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J229" i="1"/>
  <c r="BI229"/>
  <c r="BH229"/>
  <c r="BG229"/>
  <c r="BF229"/>
  <c r="BE229"/>
  <c r="BD229"/>
  <c r="BC229"/>
  <c r="AU229"/>
  <c r="AP229"/>
  <c r="AK229"/>
  <c r="AC229"/>
  <c r="U229"/>
  <c r="M229"/>
  <c r="BB226"/>
  <c r="BA226"/>
  <c r="AZ226"/>
  <c r="AY226"/>
  <c r="AW226"/>
  <c r="AV226"/>
  <c r="AT226"/>
  <c r="AS226"/>
  <c r="AR226"/>
  <c r="AQ226"/>
  <c r="AO226"/>
  <c r="AL226"/>
  <c r="AJ226"/>
  <c r="AI226"/>
  <c r="AG226"/>
  <c r="AF226"/>
  <c r="AE226"/>
  <c r="AD226"/>
  <c r="AB226"/>
  <c r="AA226"/>
  <c r="Z226"/>
  <c r="Y226"/>
  <c r="X226"/>
  <c r="W226"/>
  <c r="V226"/>
  <c r="Q226"/>
  <c r="N226"/>
  <c r="L226"/>
  <c r="F226"/>
  <c r="BJ225"/>
  <c r="BI225"/>
  <c r="BH225"/>
  <c r="BG225"/>
  <c r="BF225"/>
  <c r="BE225"/>
  <c r="BD225"/>
  <c r="BC225"/>
  <c r="AU225"/>
  <c r="AP225"/>
  <c r="AK225"/>
  <c r="AC225"/>
  <c r="U225"/>
  <c r="M225"/>
  <c r="BJ224"/>
  <c r="BG224"/>
  <c r="BF224"/>
  <c r="BE224"/>
  <c r="BD224"/>
  <c r="BC224"/>
  <c r="AU224"/>
  <c r="AP224"/>
  <c r="AI224"/>
  <c r="BI224" s="1"/>
  <c r="AH224"/>
  <c r="AH226" s="1"/>
  <c r="AC224"/>
  <c r="U224"/>
  <c r="M224"/>
  <c r="BJ223"/>
  <c r="BG223"/>
  <c r="BE223"/>
  <c r="BD223"/>
  <c r="BC223"/>
  <c r="AU223"/>
  <c r="AP223"/>
  <c r="AK223"/>
  <c r="AC223"/>
  <c r="U223"/>
  <c r="K223"/>
  <c r="BI223" s="1"/>
  <c r="J223"/>
  <c r="BH223" s="1"/>
  <c r="H223"/>
  <c r="BF223" s="1"/>
  <c r="BG222"/>
  <c r="BD222"/>
  <c r="AX222"/>
  <c r="AX226" s="1"/>
  <c r="AU222"/>
  <c r="AP222"/>
  <c r="AK222"/>
  <c r="AC222"/>
  <c r="T222"/>
  <c r="BJ222" s="1"/>
  <c r="S222"/>
  <c r="BI222" s="1"/>
  <c r="R222"/>
  <c r="R226" s="1"/>
  <c r="P222"/>
  <c r="BF222" s="1"/>
  <c r="O222"/>
  <c r="O226" s="1"/>
  <c r="M222"/>
  <c r="BJ221"/>
  <c r="BH221"/>
  <c r="BG221"/>
  <c r="BF221"/>
  <c r="BE221"/>
  <c r="BD221"/>
  <c r="BC221"/>
  <c r="AU221"/>
  <c r="AP221"/>
  <c r="AN221"/>
  <c r="BI221" s="1"/>
  <c r="AM221"/>
  <c r="AK221"/>
  <c r="AC221"/>
  <c r="U221"/>
  <c r="M221"/>
  <c r="BJ220"/>
  <c r="BI220"/>
  <c r="BE220"/>
  <c r="BD220"/>
  <c r="BC220"/>
  <c r="AU220"/>
  <c r="AN220"/>
  <c r="AM220"/>
  <c r="BH220" s="1"/>
  <c r="AK220"/>
  <c r="AC220"/>
  <c r="U220"/>
  <c r="I220"/>
  <c r="I226" s="1"/>
  <c r="H220"/>
  <c r="BF220" s="1"/>
  <c r="BJ219"/>
  <c r="BG219"/>
  <c r="BE219"/>
  <c r="BD219"/>
  <c r="BC219"/>
  <c r="AU219"/>
  <c r="AP219"/>
  <c r="AK219"/>
  <c r="AC219"/>
  <c r="U219"/>
  <c r="K219"/>
  <c r="BI219" s="1"/>
  <c r="J219"/>
  <c r="BH219" s="1"/>
  <c r="H219"/>
  <c r="BF219" s="1"/>
  <c r="BJ218"/>
  <c r="BI218"/>
  <c r="BG218"/>
  <c r="BF218"/>
  <c r="BE218"/>
  <c r="BD218"/>
  <c r="BC218"/>
  <c r="AU218"/>
  <c r="AM218"/>
  <c r="AP218" s="1"/>
  <c r="AK218"/>
  <c r="AC218"/>
  <c r="U218"/>
  <c r="M218"/>
  <c r="BJ217"/>
  <c r="BG217"/>
  <c r="BE217"/>
  <c r="BD217"/>
  <c r="BC217"/>
  <c r="AU217"/>
  <c r="AN217"/>
  <c r="BI217" s="1"/>
  <c r="AM217"/>
  <c r="AK217"/>
  <c r="AC217"/>
  <c r="U217"/>
  <c r="H217"/>
  <c r="M217" s="1"/>
  <c r="BJ216"/>
  <c r="BI216"/>
  <c r="BG216"/>
  <c r="BF216"/>
  <c r="BE216"/>
  <c r="BD216"/>
  <c r="BC216"/>
  <c r="AU216"/>
  <c r="AM216"/>
  <c r="BH216" s="1"/>
  <c r="AK216"/>
  <c r="AC216"/>
  <c r="U216"/>
  <c r="M216"/>
  <c r="BJ215"/>
  <c r="BI215"/>
  <c r="BH215"/>
  <c r="BG215"/>
  <c r="BF215"/>
  <c r="BE215"/>
  <c r="BD215"/>
  <c r="BC215"/>
  <c r="AU215"/>
  <c r="AP215"/>
  <c r="AK215"/>
  <c r="AC215"/>
  <c r="U215"/>
  <c r="M215"/>
  <c r="BJ214"/>
  <c r="BG214"/>
  <c r="BD214"/>
  <c r="BC214"/>
  <c r="AU214"/>
  <c r="AN214"/>
  <c r="AN226" s="1"/>
  <c r="AM214"/>
  <c r="AK214"/>
  <c r="AC214"/>
  <c r="U214"/>
  <c r="M214"/>
  <c r="H214"/>
  <c r="BF214" s="1"/>
  <c r="G214"/>
  <c r="BE214" s="1"/>
  <c r="BJ213"/>
  <c r="BG213"/>
  <c r="BF213"/>
  <c r="BE213"/>
  <c r="BD213"/>
  <c r="BD226" s="1"/>
  <c r="BC213"/>
  <c r="AU213"/>
  <c r="AP213"/>
  <c r="AK213"/>
  <c r="AC213"/>
  <c r="AC226" s="1"/>
  <c r="U213"/>
  <c r="K213"/>
  <c r="BI213" s="1"/>
  <c r="J213"/>
  <c r="BB212"/>
  <c r="BA212"/>
  <c r="AZ212"/>
  <c r="AY212"/>
  <c r="AX212"/>
  <c r="AW212"/>
  <c r="AV212"/>
  <c r="AT212"/>
  <c r="AS212"/>
  <c r="AR212"/>
  <c r="AQ212"/>
  <c r="AO212"/>
  <c r="AN212"/>
  <c r="AM212"/>
  <c r="AL212"/>
  <c r="AJ212"/>
  <c r="AI212"/>
  <c r="AH212"/>
  <c r="AG212"/>
  <c r="AF212"/>
  <c r="AE212"/>
  <c r="AD212"/>
  <c r="AB212"/>
  <c r="AA212"/>
  <c r="Z212"/>
  <c r="Y212"/>
  <c r="X212"/>
  <c r="W212"/>
  <c r="V212"/>
  <c r="S212"/>
  <c r="Q212"/>
  <c r="P212"/>
  <c r="O212"/>
  <c r="N212"/>
  <c r="L212"/>
  <c r="K212"/>
  <c r="J212"/>
  <c r="I212"/>
  <c r="H212"/>
  <c r="G212"/>
  <c r="F212"/>
  <c r="BI211"/>
  <c r="BI212" s="1"/>
  <c r="BG211"/>
  <c r="BG212" s="1"/>
  <c r="BF211"/>
  <c r="BF212" s="1"/>
  <c r="BE211"/>
  <c r="BE212" s="1"/>
  <c r="BD211"/>
  <c r="BD212" s="1"/>
  <c r="BC211"/>
  <c r="BC212" s="1"/>
  <c r="AU211"/>
  <c r="AU212" s="1"/>
  <c r="AP211"/>
  <c r="AP212" s="1"/>
  <c r="AK211"/>
  <c r="AK212" s="1"/>
  <c r="AC211"/>
  <c r="AC212" s="1"/>
  <c r="T211"/>
  <c r="T212" s="1"/>
  <c r="R211"/>
  <c r="R212" s="1"/>
  <c r="M211"/>
  <c r="M212" s="1"/>
  <c r="BB210"/>
  <c r="BA210"/>
  <c r="AZ210"/>
  <c r="AY210"/>
  <c r="AV210"/>
  <c r="AQ210"/>
  <c r="AO210"/>
  <c r="AL210"/>
  <c r="AJ210"/>
  <c r="AG210"/>
  <c r="AF210"/>
  <c r="AE210"/>
  <c r="AD210"/>
  <c r="Y210"/>
  <c r="X210"/>
  <c r="W210"/>
  <c r="V210"/>
  <c r="Q210"/>
  <c r="P210"/>
  <c r="O210"/>
  <c r="N210"/>
  <c r="L210"/>
  <c r="G210"/>
  <c r="F210"/>
  <c r="BJ209"/>
  <c r="BH209"/>
  <c r="BG209"/>
  <c r="BF209"/>
  <c r="BE209"/>
  <c r="BD209"/>
  <c r="BC209"/>
  <c r="AU209"/>
  <c r="AP209"/>
  <c r="AK209"/>
  <c r="AI209"/>
  <c r="BI209" s="1"/>
  <c r="AH209"/>
  <c r="AC209"/>
  <c r="U209"/>
  <c r="M209"/>
  <c r="BJ208"/>
  <c r="BI208"/>
  <c r="BH208"/>
  <c r="BG208"/>
  <c r="BF208"/>
  <c r="BE208"/>
  <c r="BD208"/>
  <c r="BC208"/>
  <c r="AU208"/>
  <c r="AP208"/>
  <c r="AK208"/>
  <c r="AC208"/>
  <c r="U208"/>
  <c r="M208"/>
  <c r="BG207"/>
  <c r="BF207"/>
  <c r="BE207"/>
  <c r="BD207"/>
  <c r="BC207"/>
  <c r="AU207"/>
  <c r="AP207"/>
  <c r="AK207"/>
  <c r="AB207"/>
  <c r="BJ207" s="1"/>
  <c r="AA207"/>
  <c r="BI207" s="1"/>
  <c r="Z207"/>
  <c r="U207"/>
  <c r="M207"/>
  <c r="BJ206"/>
  <c r="BE206"/>
  <c r="BD206"/>
  <c r="BC206"/>
  <c r="AU206"/>
  <c r="AP206"/>
  <c r="AK206"/>
  <c r="AC206"/>
  <c r="T206"/>
  <c r="S206"/>
  <c r="BI206" s="1"/>
  <c r="R206"/>
  <c r="BH206" s="1"/>
  <c r="I206"/>
  <c r="BG206" s="1"/>
  <c r="H206"/>
  <c r="BF206" s="1"/>
  <c r="BJ205"/>
  <c r="BI205"/>
  <c r="BH205"/>
  <c r="BG205"/>
  <c r="BF205"/>
  <c r="BE205"/>
  <c r="BD205"/>
  <c r="BC205"/>
  <c r="AU205"/>
  <c r="AP205"/>
  <c r="AK205"/>
  <c r="AC205"/>
  <c r="U205"/>
  <c r="M205"/>
  <c r="BJ204"/>
  <c r="BI204"/>
  <c r="BH204"/>
  <c r="BG204"/>
  <c r="BF204"/>
  <c r="BE204"/>
  <c r="BD204"/>
  <c r="BC204"/>
  <c r="AU204"/>
  <c r="AP204"/>
  <c r="AK204"/>
  <c r="AC204"/>
  <c r="U204"/>
  <c r="M204"/>
  <c r="BJ203"/>
  <c r="BI203"/>
  <c r="BH203"/>
  <c r="BG203"/>
  <c r="BF203"/>
  <c r="BE203"/>
  <c r="BD203"/>
  <c r="BC203"/>
  <c r="AU203"/>
  <c r="AP203"/>
  <c r="AK203"/>
  <c r="AC203"/>
  <c r="U203"/>
  <c r="M203"/>
  <c r="BJ202"/>
  <c r="BH202"/>
  <c r="BG202"/>
  <c r="BF202"/>
  <c r="BE202"/>
  <c r="BD202"/>
  <c r="BC202"/>
  <c r="AU202"/>
  <c r="AP202"/>
  <c r="AI202"/>
  <c r="AK202" s="1"/>
  <c r="AH202"/>
  <c r="AC202"/>
  <c r="U202"/>
  <c r="M202"/>
  <c r="BJ201"/>
  <c r="BI201"/>
  <c r="BH201"/>
  <c r="BG201"/>
  <c r="BF201"/>
  <c r="BE201"/>
  <c r="BD201"/>
  <c r="BC201"/>
  <c r="AU201"/>
  <c r="AP201"/>
  <c r="AK201"/>
  <c r="AC201"/>
  <c r="U201"/>
  <c r="M201"/>
  <c r="BJ200"/>
  <c r="BH200"/>
  <c r="BG200"/>
  <c r="BF200"/>
  <c r="BE200"/>
  <c r="BD200"/>
  <c r="BC200"/>
  <c r="AU200"/>
  <c r="AP200"/>
  <c r="AI200"/>
  <c r="AK200" s="1"/>
  <c r="AH200"/>
  <c r="AC200"/>
  <c r="U200"/>
  <c r="M200"/>
  <c r="BJ199"/>
  <c r="BI199"/>
  <c r="BH199"/>
  <c r="BG199"/>
  <c r="BF199"/>
  <c r="BE199"/>
  <c r="BD199"/>
  <c r="BK199" s="1"/>
  <c r="BC199"/>
  <c r="AU199"/>
  <c r="AP199"/>
  <c r="AK199"/>
  <c r="AC199"/>
  <c r="U199"/>
  <c r="M199"/>
  <c r="BJ198"/>
  <c r="BI198"/>
  <c r="BH198"/>
  <c r="BG198"/>
  <c r="BF198"/>
  <c r="BE198"/>
  <c r="BD198"/>
  <c r="BC198"/>
  <c r="AU198"/>
  <c r="AP198"/>
  <c r="AK198"/>
  <c r="AC198"/>
  <c r="U198"/>
  <c r="M198"/>
  <c r="BJ197"/>
  <c r="BH197"/>
  <c r="BG197"/>
  <c r="BF197"/>
  <c r="BE197"/>
  <c r="BD197"/>
  <c r="BC197"/>
  <c r="AU197"/>
  <c r="AP197"/>
  <c r="AI197"/>
  <c r="BI197" s="1"/>
  <c r="AC197"/>
  <c r="U197"/>
  <c r="M197"/>
  <c r="BJ196"/>
  <c r="BE196"/>
  <c r="BD196"/>
  <c r="BC196"/>
  <c r="AT196"/>
  <c r="AS196"/>
  <c r="BI196" s="1"/>
  <c r="AR196"/>
  <c r="AP196"/>
  <c r="AK196"/>
  <c r="AC196"/>
  <c r="U196"/>
  <c r="I196"/>
  <c r="BG196" s="1"/>
  <c r="H196"/>
  <c r="BF196" s="1"/>
  <c r="BJ195"/>
  <c r="BI195"/>
  <c r="BH195"/>
  <c r="BG195"/>
  <c r="BF195"/>
  <c r="BE195"/>
  <c r="BD195"/>
  <c r="BK195" s="1"/>
  <c r="BC195"/>
  <c r="AU195"/>
  <c r="AP195"/>
  <c r="AK195"/>
  <c r="AC195"/>
  <c r="U195"/>
  <c r="M195"/>
  <c r="BI194"/>
  <c r="BG194"/>
  <c r="BE194"/>
  <c r="BD194"/>
  <c r="BC194"/>
  <c r="AU194"/>
  <c r="AP194"/>
  <c r="AK194"/>
  <c r="AC194"/>
  <c r="U194"/>
  <c r="T194"/>
  <c r="BJ194" s="1"/>
  <c r="R194"/>
  <c r="BH194" s="1"/>
  <c r="H194"/>
  <c r="BF194" s="1"/>
  <c r="BK194" s="1"/>
  <c r="BG193"/>
  <c r="BE193"/>
  <c r="BD193"/>
  <c r="BC193"/>
  <c r="AU193"/>
  <c r="AP193"/>
  <c r="AK193"/>
  <c r="AC193"/>
  <c r="T193"/>
  <c r="BJ193" s="1"/>
  <c r="S193"/>
  <c r="BI193" s="1"/>
  <c r="R193"/>
  <c r="H193"/>
  <c r="BJ192"/>
  <c r="BG192"/>
  <c r="BE192"/>
  <c r="BD192"/>
  <c r="BC192"/>
  <c r="AU192"/>
  <c r="AP192"/>
  <c r="AK192"/>
  <c r="AC192"/>
  <c r="U192"/>
  <c r="K192"/>
  <c r="BI192" s="1"/>
  <c r="J192"/>
  <c r="BH192" s="1"/>
  <c r="H192"/>
  <c r="BF192" s="1"/>
  <c r="BJ191"/>
  <c r="BH191"/>
  <c r="BE191"/>
  <c r="BD191"/>
  <c r="BC191"/>
  <c r="AU191"/>
  <c r="AP191"/>
  <c r="AN191"/>
  <c r="BI191" s="1"/>
  <c r="AM191"/>
  <c r="AK191"/>
  <c r="AC191"/>
  <c r="U191"/>
  <c r="I191"/>
  <c r="BG191" s="1"/>
  <c r="H191"/>
  <c r="BJ190"/>
  <c r="BI190"/>
  <c r="BH190"/>
  <c r="BG190"/>
  <c r="BF190"/>
  <c r="BE190"/>
  <c r="BD190"/>
  <c r="BC190"/>
  <c r="AU190"/>
  <c r="AP190"/>
  <c r="AK190"/>
  <c r="AC190"/>
  <c r="U190"/>
  <c r="M190"/>
  <c r="BJ189"/>
  <c r="BH189"/>
  <c r="BG189"/>
  <c r="BE189"/>
  <c r="BD189"/>
  <c r="BC189"/>
  <c r="AU189"/>
  <c r="AN189"/>
  <c r="AK189"/>
  <c r="AC189"/>
  <c r="U189"/>
  <c r="M189"/>
  <c r="H189"/>
  <c r="BF189" s="1"/>
  <c r="BJ188"/>
  <c r="BI188"/>
  <c r="BH188"/>
  <c r="BG188"/>
  <c r="BF188"/>
  <c r="BE188"/>
  <c r="BD188"/>
  <c r="BC188"/>
  <c r="AU188"/>
  <c r="AP188"/>
  <c r="AK188"/>
  <c r="AC188"/>
  <c r="U188"/>
  <c r="M188"/>
  <c r="BJ187"/>
  <c r="BI187"/>
  <c r="BH187"/>
  <c r="BG187"/>
  <c r="BF187"/>
  <c r="BE187"/>
  <c r="BD187"/>
  <c r="BK187" s="1"/>
  <c r="BC187"/>
  <c r="AU187"/>
  <c r="AP187"/>
  <c r="AK187"/>
  <c r="AC187"/>
  <c r="U187"/>
  <c r="H187"/>
  <c r="M187" s="1"/>
  <c r="BJ186"/>
  <c r="BG186"/>
  <c r="BF186"/>
  <c r="BE186"/>
  <c r="BD186"/>
  <c r="BC186"/>
  <c r="AU186"/>
  <c r="AP186"/>
  <c r="AI186"/>
  <c r="BI186" s="1"/>
  <c r="AH186"/>
  <c r="BH186" s="1"/>
  <c r="AC186"/>
  <c r="U186"/>
  <c r="M186"/>
  <c r="BD185"/>
  <c r="AW185"/>
  <c r="AW210" s="1"/>
  <c r="AT185"/>
  <c r="BJ185" s="1"/>
  <c r="AS185"/>
  <c r="AS210" s="1"/>
  <c r="AR185"/>
  <c r="AU185" s="1"/>
  <c r="AP185"/>
  <c r="AK185"/>
  <c r="AC185"/>
  <c r="U185"/>
  <c r="I185"/>
  <c r="BG185" s="1"/>
  <c r="H185"/>
  <c r="BF185" s="1"/>
  <c r="BJ184"/>
  <c r="BE184"/>
  <c r="BD184"/>
  <c r="BC184"/>
  <c r="AU184"/>
  <c r="AN184"/>
  <c r="BI184" s="1"/>
  <c r="AM184"/>
  <c r="BH184" s="1"/>
  <c r="AK184"/>
  <c r="AC184"/>
  <c r="U184"/>
  <c r="I184"/>
  <c r="BG184" s="1"/>
  <c r="H184"/>
  <c r="M184" s="1"/>
  <c r="BG183"/>
  <c r="BF183"/>
  <c r="BE183"/>
  <c r="BD183"/>
  <c r="BC183"/>
  <c r="AU183"/>
  <c r="AP183"/>
  <c r="AK183"/>
  <c r="AB183"/>
  <c r="BJ183" s="1"/>
  <c r="AA183"/>
  <c r="Z183"/>
  <c r="Z210" s="1"/>
  <c r="U183"/>
  <c r="M183"/>
  <c r="BJ182"/>
  <c r="BI182"/>
  <c r="BH182"/>
  <c r="BG182"/>
  <c r="BF182"/>
  <c r="BE182"/>
  <c r="BD182"/>
  <c r="BC182"/>
  <c r="AU182"/>
  <c r="AP182"/>
  <c r="AK182"/>
  <c r="AC182"/>
  <c r="U182"/>
  <c r="M182"/>
  <c r="BI181"/>
  <c r="BH181"/>
  <c r="BG181"/>
  <c r="BF181"/>
  <c r="BE181"/>
  <c r="BD181"/>
  <c r="BC181"/>
  <c r="AU181"/>
  <c r="AP181"/>
  <c r="AK181"/>
  <c r="AB181"/>
  <c r="AC181" s="1"/>
  <c r="U181"/>
  <c r="M181"/>
  <c r="H181"/>
  <c r="BJ180"/>
  <c r="BI180"/>
  <c r="BE180"/>
  <c r="BD180"/>
  <c r="BC180"/>
  <c r="AU180"/>
  <c r="AN180"/>
  <c r="AM180"/>
  <c r="BH180" s="1"/>
  <c r="AK180"/>
  <c r="AC180"/>
  <c r="U180"/>
  <c r="I180"/>
  <c r="BG180" s="1"/>
  <c r="H180"/>
  <c r="BF180" s="1"/>
  <c r="BK180" s="1"/>
  <c r="BJ179"/>
  <c r="BI179"/>
  <c r="BH179"/>
  <c r="BG179"/>
  <c r="BF179"/>
  <c r="BE179"/>
  <c r="BD179"/>
  <c r="BC179"/>
  <c r="AU179"/>
  <c r="AP179"/>
  <c r="AK179"/>
  <c r="AC179"/>
  <c r="U179"/>
  <c r="M179"/>
  <c r="BJ178"/>
  <c r="BI178"/>
  <c r="BH178"/>
  <c r="BG178"/>
  <c r="BF178"/>
  <c r="BE178"/>
  <c r="BK178" s="1"/>
  <c r="BD178"/>
  <c r="BC178"/>
  <c r="AU178"/>
  <c r="AP178"/>
  <c r="AK178"/>
  <c r="AC178"/>
  <c r="U178"/>
  <c r="M178"/>
  <c r="BJ177"/>
  <c r="BF177"/>
  <c r="BE177"/>
  <c r="BD177"/>
  <c r="BC177"/>
  <c r="AU177"/>
  <c r="AN177"/>
  <c r="BI177" s="1"/>
  <c r="AM177"/>
  <c r="AK177"/>
  <c r="AC177"/>
  <c r="U177"/>
  <c r="I177"/>
  <c r="BG177" s="1"/>
  <c r="BJ176"/>
  <c r="BE176"/>
  <c r="BD176"/>
  <c r="BC176"/>
  <c r="AU176"/>
  <c r="AN176"/>
  <c r="BI176" s="1"/>
  <c r="AM176"/>
  <c r="BH176" s="1"/>
  <c r="AK176"/>
  <c r="AC176"/>
  <c r="U176"/>
  <c r="I176"/>
  <c r="BG176" s="1"/>
  <c r="H176"/>
  <c r="BJ175"/>
  <c r="BI175"/>
  <c r="BH175"/>
  <c r="BG175"/>
  <c r="BF175"/>
  <c r="BE175"/>
  <c r="BD175"/>
  <c r="BK175" s="1"/>
  <c r="BC175"/>
  <c r="AU175"/>
  <c r="AP175"/>
  <c r="AK175"/>
  <c r="AC175"/>
  <c r="U175"/>
  <c r="M175"/>
  <c r="BJ174"/>
  <c r="BE174"/>
  <c r="BD174"/>
  <c r="AX174"/>
  <c r="AX210" s="1"/>
  <c r="AU174"/>
  <c r="AN174"/>
  <c r="BI174" s="1"/>
  <c r="AM174"/>
  <c r="BH174" s="1"/>
  <c r="AK174"/>
  <c r="AC174"/>
  <c r="U174"/>
  <c r="I174"/>
  <c r="I210" s="1"/>
  <c r="H174"/>
  <c r="H210" s="1"/>
  <c r="BJ173"/>
  <c r="BG173"/>
  <c r="BF173"/>
  <c r="BE173"/>
  <c r="BD173"/>
  <c r="BC173"/>
  <c r="AU173"/>
  <c r="AP173"/>
  <c r="AI173"/>
  <c r="BI173" s="1"/>
  <c r="AH173"/>
  <c r="AH210" s="1"/>
  <c r="AC173"/>
  <c r="U173"/>
  <c r="M173"/>
  <c r="BB172"/>
  <c r="BA172"/>
  <c r="AZ172"/>
  <c r="AY172"/>
  <c r="AX172"/>
  <c r="AW172"/>
  <c r="AV172"/>
  <c r="AT172"/>
  <c r="AS172"/>
  <c r="AR172"/>
  <c r="AQ172"/>
  <c r="AO172"/>
  <c r="AN172"/>
  <c r="AM172"/>
  <c r="AL172"/>
  <c r="AJ172"/>
  <c r="AG172"/>
  <c r="AF172"/>
  <c r="AE172"/>
  <c r="AD172"/>
  <c r="AB172"/>
  <c r="AA172"/>
  <c r="Z172"/>
  <c r="Y172"/>
  <c r="X172"/>
  <c r="W172"/>
  <c r="V172"/>
  <c r="S172"/>
  <c r="Q172"/>
  <c r="P172"/>
  <c r="O172"/>
  <c r="N172"/>
  <c r="L172"/>
  <c r="K172"/>
  <c r="J172"/>
  <c r="I172"/>
  <c r="H172"/>
  <c r="G172"/>
  <c r="F172"/>
  <c r="BI171"/>
  <c r="BG171"/>
  <c r="BF171"/>
  <c r="BE171"/>
  <c r="BD171"/>
  <c r="BC171"/>
  <c r="AU171"/>
  <c r="AP171"/>
  <c r="AK171"/>
  <c r="AC171"/>
  <c r="T171"/>
  <c r="T172" s="1"/>
  <c r="S171"/>
  <c r="R171"/>
  <c r="M171"/>
  <c r="BJ170"/>
  <c r="BI170"/>
  <c r="BH170"/>
  <c r="BG170"/>
  <c r="BF170"/>
  <c r="BE170"/>
  <c r="BD170"/>
  <c r="BK170" s="1"/>
  <c r="BC170"/>
  <c r="AU170"/>
  <c r="AP170"/>
  <c r="AK170"/>
  <c r="AC170"/>
  <c r="U170"/>
  <c r="M170"/>
  <c r="BJ169"/>
  <c r="BG169"/>
  <c r="BF169"/>
  <c r="BE169"/>
  <c r="BD169"/>
  <c r="BC169"/>
  <c r="AU169"/>
  <c r="AP169"/>
  <c r="AI169"/>
  <c r="BI169" s="1"/>
  <c r="AH169"/>
  <c r="BH169" s="1"/>
  <c r="AC169"/>
  <c r="U169"/>
  <c r="M169"/>
  <c r="BJ168"/>
  <c r="BI168"/>
  <c r="BG168"/>
  <c r="BF168"/>
  <c r="BE168"/>
  <c r="BD168"/>
  <c r="BC168"/>
  <c r="AU168"/>
  <c r="AP168"/>
  <c r="AH168"/>
  <c r="AC168"/>
  <c r="U168"/>
  <c r="M168"/>
  <c r="BJ167"/>
  <c r="BI167"/>
  <c r="BH167"/>
  <c r="BG167"/>
  <c r="BG172" s="1"/>
  <c r="BF167"/>
  <c r="BE167"/>
  <c r="BD167"/>
  <c r="BD172" s="1"/>
  <c r="BC167"/>
  <c r="BC172" s="1"/>
  <c r="AU167"/>
  <c r="AP167"/>
  <c r="AK167"/>
  <c r="AC167"/>
  <c r="AC172" s="1"/>
  <c r="U167"/>
  <c r="M167"/>
  <c r="BB166"/>
  <c r="BA166"/>
  <c r="AZ166"/>
  <c r="AY166"/>
  <c r="AX166"/>
  <c r="AW166"/>
  <c r="AV166"/>
  <c r="AQ166"/>
  <c r="AO166"/>
  <c r="AN166"/>
  <c r="AM166"/>
  <c r="AL166"/>
  <c r="AJ166"/>
  <c r="AG166"/>
  <c r="AE166"/>
  <c r="AD166"/>
  <c r="Y166"/>
  <c r="X166"/>
  <c r="W166"/>
  <c r="V166"/>
  <c r="T166"/>
  <c r="S166"/>
  <c r="R166"/>
  <c r="Q166"/>
  <c r="P166"/>
  <c r="O166"/>
  <c r="N166"/>
  <c r="L166"/>
  <c r="I166"/>
  <c r="G166"/>
  <c r="F166"/>
  <c r="BG165"/>
  <c r="BF165"/>
  <c r="BE165"/>
  <c r="BD165"/>
  <c r="BC165"/>
  <c r="AU165"/>
  <c r="AP165"/>
  <c r="AK165"/>
  <c r="AB165"/>
  <c r="BJ165" s="1"/>
  <c r="AA165"/>
  <c r="BI165" s="1"/>
  <c r="Z165"/>
  <c r="U165"/>
  <c r="M165"/>
  <c r="BJ164"/>
  <c r="BI164"/>
  <c r="BH164"/>
  <c r="BG164"/>
  <c r="BE164"/>
  <c r="BD164"/>
  <c r="BC164"/>
  <c r="AU164"/>
  <c r="AP164"/>
  <c r="AF164"/>
  <c r="AF166" s="1"/>
  <c r="AC164"/>
  <c r="U164"/>
  <c r="M164"/>
  <c r="BG163"/>
  <c r="BF163"/>
  <c r="BE163"/>
  <c r="BD163"/>
  <c r="BC163"/>
  <c r="AT163"/>
  <c r="AT166" s="1"/>
  <c r="AS163"/>
  <c r="AR163"/>
  <c r="AP163"/>
  <c r="AK163"/>
  <c r="AC163"/>
  <c r="U163"/>
  <c r="M163"/>
  <c r="BJ162"/>
  <c r="BI162"/>
  <c r="BG162"/>
  <c r="BF162"/>
  <c r="BE162"/>
  <c r="BD162"/>
  <c r="BC162"/>
  <c r="AU162"/>
  <c r="AP162"/>
  <c r="AI162"/>
  <c r="AH162"/>
  <c r="BH162" s="1"/>
  <c r="AC162"/>
  <c r="U162"/>
  <c r="M162"/>
  <c r="BJ161"/>
  <c r="BI161"/>
  <c r="BH161"/>
  <c r="BG161"/>
  <c r="BF161"/>
  <c r="BE161"/>
  <c r="BD161"/>
  <c r="BC161"/>
  <c r="AU161"/>
  <c r="AP161"/>
  <c r="AK161"/>
  <c r="AC161"/>
  <c r="U161"/>
  <c r="M161"/>
  <c r="BG160"/>
  <c r="BF160"/>
  <c r="BE160"/>
  <c r="BD160"/>
  <c r="BC160"/>
  <c r="AU160"/>
  <c r="AP160"/>
  <c r="AK160"/>
  <c r="AB160"/>
  <c r="BJ160" s="1"/>
  <c r="AA160"/>
  <c r="AA166" s="1"/>
  <c r="Z160"/>
  <c r="BH160" s="1"/>
  <c r="U160"/>
  <c r="M160"/>
  <c r="BJ159"/>
  <c r="BG159"/>
  <c r="BF159"/>
  <c r="BE159"/>
  <c r="BD159"/>
  <c r="BC159"/>
  <c r="AU159"/>
  <c r="AP159"/>
  <c r="AI159"/>
  <c r="BI159" s="1"/>
  <c r="AH159"/>
  <c r="AH166" s="1"/>
  <c r="AC159"/>
  <c r="U159"/>
  <c r="M159"/>
  <c r="BJ158"/>
  <c r="BG158"/>
  <c r="BG166" s="1"/>
  <c r="BE158"/>
  <c r="BD158"/>
  <c r="BC158"/>
  <c r="BC166" s="1"/>
  <c r="AU158"/>
  <c r="AP158"/>
  <c r="AK158"/>
  <c r="AC158"/>
  <c r="U158"/>
  <c r="K158"/>
  <c r="K166" s="1"/>
  <c r="J158"/>
  <c r="J166" s="1"/>
  <c r="H158"/>
  <c r="BF158" s="1"/>
  <c r="BB157"/>
  <c r="BA157"/>
  <c r="AZ157"/>
  <c r="AY157"/>
  <c r="AX157"/>
  <c r="AW157"/>
  <c r="AV157"/>
  <c r="AT157"/>
  <c r="AS157"/>
  <c r="AR157"/>
  <c r="AQ157"/>
  <c r="AO157"/>
  <c r="AN157"/>
  <c r="AM157"/>
  <c r="AL157"/>
  <c r="AJ157"/>
  <c r="AI157"/>
  <c r="AH157"/>
  <c r="AG157"/>
  <c r="AF157"/>
  <c r="AE157"/>
  <c r="AD157"/>
  <c r="AB157"/>
  <c r="AA157"/>
  <c r="Z157"/>
  <c r="Y157"/>
  <c r="X157"/>
  <c r="W157"/>
  <c r="V157"/>
  <c r="Q157"/>
  <c r="P157"/>
  <c r="O157"/>
  <c r="N157"/>
  <c r="L157"/>
  <c r="I157"/>
  <c r="G157"/>
  <c r="F157"/>
  <c r="BJ156"/>
  <c r="BG156"/>
  <c r="BF156"/>
  <c r="BE156"/>
  <c r="BD156"/>
  <c r="BC156"/>
  <c r="AU156"/>
  <c r="AP156"/>
  <c r="AK156"/>
  <c r="AC156"/>
  <c r="U156"/>
  <c r="K156"/>
  <c r="K157" s="1"/>
  <c r="J156"/>
  <c r="J157" s="1"/>
  <c r="BJ155"/>
  <c r="BI155"/>
  <c r="BH155"/>
  <c r="BG155"/>
  <c r="BF155"/>
  <c r="BE155"/>
  <c r="BD155"/>
  <c r="BC155"/>
  <c r="AU155"/>
  <c r="AP155"/>
  <c r="AK155"/>
  <c r="AC155"/>
  <c r="U155"/>
  <c r="M155"/>
  <c r="BJ154"/>
  <c r="BI154"/>
  <c r="BH154"/>
  <c r="BG154"/>
  <c r="BF154"/>
  <c r="BE154"/>
  <c r="BD154"/>
  <c r="BC154"/>
  <c r="AU154"/>
  <c r="AP154"/>
  <c r="AK154"/>
  <c r="AC154"/>
  <c r="U154"/>
  <c r="M154"/>
  <c r="BG153"/>
  <c r="BF153"/>
  <c r="BE153"/>
  <c r="BD153"/>
  <c r="BC153"/>
  <c r="BC157" s="1"/>
  <c r="AU153"/>
  <c r="AP153"/>
  <c r="AK153"/>
  <c r="AC153"/>
  <c r="AC157" s="1"/>
  <c r="T153"/>
  <c r="T157" s="1"/>
  <c r="S153"/>
  <c r="BI153" s="1"/>
  <c r="R153"/>
  <c r="R157" s="1"/>
  <c r="M153"/>
  <c r="BJ152"/>
  <c r="BI152"/>
  <c r="BH152"/>
  <c r="BG152"/>
  <c r="BE152"/>
  <c r="BE157" s="1"/>
  <c r="BD152"/>
  <c r="BC152"/>
  <c r="AU152"/>
  <c r="AU157" s="1"/>
  <c r="AP152"/>
  <c r="AP157" s="1"/>
  <c r="AK152"/>
  <c r="AC152"/>
  <c r="U152"/>
  <c r="H152"/>
  <c r="H157" s="1"/>
  <c r="BB151"/>
  <c r="BA151"/>
  <c r="AZ151"/>
  <c r="AY151"/>
  <c r="AX151"/>
  <c r="AW151"/>
  <c r="AV151"/>
  <c r="AT151"/>
  <c r="AS151"/>
  <c r="AR151"/>
  <c r="AQ151"/>
  <c r="AO151"/>
  <c r="AN151"/>
  <c r="AM151"/>
  <c r="AL151"/>
  <c r="AJ151"/>
  <c r="AI151"/>
  <c r="AH151"/>
  <c r="AG151"/>
  <c r="AF151"/>
  <c r="AE151"/>
  <c r="AD151"/>
  <c r="AB151"/>
  <c r="AA151"/>
  <c r="Z151"/>
  <c r="Y151"/>
  <c r="X151"/>
  <c r="W151"/>
  <c r="V151"/>
  <c r="T151"/>
  <c r="R151"/>
  <c r="Q151"/>
  <c r="P151"/>
  <c r="O151"/>
  <c r="N151"/>
  <c r="L151"/>
  <c r="K151"/>
  <c r="J151"/>
  <c r="I151"/>
  <c r="H151"/>
  <c r="G151"/>
  <c r="F151"/>
  <c r="BH150"/>
  <c r="BH151" s="1"/>
  <c r="BG150"/>
  <c r="BG151" s="1"/>
  <c r="BF150"/>
  <c r="BF151" s="1"/>
  <c r="BE150"/>
  <c r="BE151" s="1"/>
  <c r="BD150"/>
  <c r="BD151" s="1"/>
  <c r="BC150"/>
  <c r="BC151" s="1"/>
  <c r="AU150"/>
  <c r="AU151" s="1"/>
  <c r="AP150"/>
  <c r="AP151" s="1"/>
  <c r="AK150"/>
  <c r="AK151" s="1"/>
  <c r="AC150"/>
  <c r="AC151" s="1"/>
  <c r="U150"/>
  <c r="U151" s="1"/>
  <c r="T150"/>
  <c r="BJ150" s="1"/>
  <c r="BJ151" s="1"/>
  <c r="S150"/>
  <c r="M150"/>
  <c r="M151" s="1"/>
  <c r="BB149"/>
  <c r="BA149"/>
  <c r="AZ149"/>
  <c r="AY149"/>
  <c r="AX149"/>
  <c r="AW149"/>
  <c r="AV149"/>
  <c r="AT149"/>
  <c r="AS149"/>
  <c r="AR149"/>
  <c r="AQ149"/>
  <c r="AO149"/>
  <c r="AN149"/>
  <c r="AJ149"/>
  <c r="AG149"/>
  <c r="AF149"/>
  <c r="AE149"/>
  <c r="AD149"/>
  <c r="AB149"/>
  <c r="AA149"/>
  <c r="Z149"/>
  <c r="Y149"/>
  <c r="X149"/>
  <c r="W149"/>
  <c r="V149"/>
  <c r="T149"/>
  <c r="S149"/>
  <c r="R149"/>
  <c r="Q149"/>
  <c r="P149"/>
  <c r="O149"/>
  <c r="N149"/>
  <c r="L149"/>
  <c r="K149"/>
  <c r="J149"/>
  <c r="H149"/>
  <c r="G149"/>
  <c r="F149"/>
  <c r="BJ148"/>
  <c r="BI148"/>
  <c r="BF148"/>
  <c r="BE148"/>
  <c r="BD148"/>
  <c r="BC148"/>
  <c r="BC149" s="1"/>
  <c r="AU148"/>
  <c r="AN148"/>
  <c r="AM148"/>
  <c r="BH148" s="1"/>
  <c r="AL148"/>
  <c r="AL149" s="1"/>
  <c r="AK148"/>
  <c r="AC148"/>
  <c r="U148"/>
  <c r="M148"/>
  <c r="M149" s="1"/>
  <c r="I148"/>
  <c r="I149" s="1"/>
  <c r="BJ147"/>
  <c r="BI147"/>
  <c r="BI149" s="1"/>
  <c r="BH147"/>
  <c r="BH149" s="1"/>
  <c r="BG147"/>
  <c r="BF147"/>
  <c r="BF149" s="1"/>
  <c r="BE147"/>
  <c r="BE149" s="1"/>
  <c r="BD147"/>
  <c r="BC147"/>
  <c r="AU147"/>
  <c r="AU149" s="1"/>
  <c r="AP147"/>
  <c r="AK147"/>
  <c r="AK149" s="1"/>
  <c r="AI147"/>
  <c r="AI149" s="1"/>
  <c r="AH147"/>
  <c r="AH149" s="1"/>
  <c r="AC147"/>
  <c r="AC149" s="1"/>
  <c r="U147"/>
  <c r="U149" s="1"/>
  <c r="M147"/>
  <c r="BB146"/>
  <c r="BA146"/>
  <c r="AZ146"/>
  <c r="AY146"/>
  <c r="AX146"/>
  <c r="AW146"/>
  <c r="AV146"/>
  <c r="AQ146"/>
  <c r="AO146"/>
  <c r="AM146"/>
  <c r="AL146"/>
  <c r="AJ146"/>
  <c r="AI146"/>
  <c r="AG146"/>
  <c r="AF146"/>
  <c r="AE146"/>
  <c r="AD146"/>
  <c r="Y146"/>
  <c r="X146"/>
  <c r="W146"/>
  <c r="V146"/>
  <c r="P146"/>
  <c r="O146"/>
  <c r="N146"/>
  <c r="L146"/>
  <c r="K146"/>
  <c r="J146"/>
  <c r="G146"/>
  <c r="F146"/>
  <c r="BJ145"/>
  <c r="BI145"/>
  <c r="BH145"/>
  <c r="BE145"/>
  <c r="BD145"/>
  <c r="BC145"/>
  <c r="AU145"/>
  <c r="AP145"/>
  <c r="AK145"/>
  <c r="AC145"/>
  <c r="Q145"/>
  <c r="U145" s="1"/>
  <c r="H145"/>
  <c r="BF145" s="1"/>
  <c r="BI144"/>
  <c r="BH144"/>
  <c r="BG144"/>
  <c r="BF144"/>
  <c r="BE144"/>
  <c r="BD144"/>
  <c r="BC144"/>
  <c r="AU144"/>
  <c r="AP144"/>
  <c r="AK144"/>
  <c r="AC144"/>
  <c r="T144"/>
  <c r="BJ144" s="1"/>
  <c r="M144"/>
  <c r="BG143"/>
  <c r="BF143"/>
  <c r="BE143"/>
  <c r="BD143"/>
  <c r="BC143"/>
  <c r="AU143"/>
  <c r="AP143"/>
  <c r="AK143"/>
  <c r="AC143"/>
  <c r="T143"/>
  <c r="T146" s="1"/>
  <c r="S143"/>
  <c r="S146" s="1"/>
  <c r="R143"/>
  <c r="R146" s="1"/>
  <c r="M143"/>
  <c r="BG142"/>
  <c r="BF142"/>
  <c r="BE142"/>
  <c r="BD142"/>
  <c r="BC142"/>
  <c r="AU142"/>
  <c r="AP142"/>
  <c r="AK142"/>
  <c r="AB142"/>
  <c r="AB146" s="1"/>
  <c r="AA142"/>
  <c r="BI142" s="1"/>
  <c r="Z142"/>
  <c r="Z146" s="1"/>
  <c r="U142"/>
  <c r="M142"/>
  <c r="BJ141"/>
  <c r="BI141"/>
  <c r="BH141"/>
  <c r="BG141"/>
  <c r="BE141"/>
  <c r="BD141"/>
  <c r="BC141"/>
  <c r="AU141"/>
  <c r="AP141"/>
  <c r="AK141"/>
  <c r="AC141"/>
  <c r="U141"/>
  <c r="H141"/>
  <c r="M141" s="1"/>
  <c r="BJ140"/>
  <c r="BH140"/>
  <c r="BE140"/>
  <c r="BD140"/>
  <c r="BC140"/>
  <c r="AU140"/>
  <c r="AP140"/>
  <c r="AN140"/>
  <c r="AN146" s="1"/>
  <c r="AM140"/>
  <c r="AK140"/>
  <c r="AC140"/>
  <c r="U140"/>
  <c r="I140"/>
  <c r="BG140" s="1"/>
  <c r="H140"/>
  <c r="M140" s="1"/>
  <c r="BJ139"/>
  <c r="BI139"/>
  <c r="BH139"/>
  <c r="BG139"/>
  <c r="BF139"/>
  <c r="BE139"/>
  <c r="BD139"/>
  <c r="BC139"/>
  <c r="AU139"/>
  <c r="AP139"/>
  <c r="AK139"/>
  <c r="AC139"/>
  <c r="U139"/>
  <c r="M139"/>
  <c r="BJ138"/>
  <c r="BI138"/>
  <c r="BH138"/>
  <c r="BG138"/>
  <c r="BF138"/>
  <c r="BE138"/>
  <c r="BD138"/>
  <c r="BK138" s="1"/>
  <c r="BC138"/>
  <c r="AU138"/>
  <c r="AP138"/>
  <c r="AK138"/>
  <c r="AC138"/>
  <c r="U138"/>
  <c r="M138"/>
  <c r="BI137"/>
  <c r="BG137"/>
  <c r="BF137"/>
  <c r="BE137"/>
  <c r="BD137"/>
  <c r="BC137"/>
  <c r="AT137"/>
  <c r="BJ137" s="1"/>
  <c r="AR137"/>
  <c r="BH137" s="1"/>
  <c r="AP137"/>
  <c r="AK137"/>
  <c r="AC137"/>
  <c r="U137"/>
  <c r="M137"/>
  <c r="BJ136"/>
  <c r="BI136"/>
  <c r="BH136"/>
  <c r="BG136"/>
  <c r="BF136"/>
  <c r="BE136"/>
  <c r="BD136"/>
  <c r="BC136"/>
  <c r="AU136"/>
  <c r="AP136"/>
  <c r="AK136"/>
  <c r="AC136"/>
  <c r="U136"/>
  <c r="M136"/>
  <c r="BJ135"/>
  <c r="BI135"/>
  <c r="BH135"/>
  <c r="BG135"/>
  <c r="BE135"/>
  <c r="BD135"/>
  <c r="BC135"/>
  <c r="AU135"/>
  <c r="AP135"/>
  <c r="AK135"/>
  <c r="AC135"/>
  <c r="U135"/>
  <c r="M135"/>
  <c r="H135"/>
  <c r="H146" s="1"/>
  <c r="BJ134"/>
  <c r="BI134"/>
  <c r="BH134"/>
  <c r="BG134"/>
  <c r="BF134"/>
  <c r="BE134"/>
  <c r="BD134"/>
  <c r="BC134"/>
  <c r="AU134"/>
  <c r="AP134"/>
  <c r="AK134"/>
  <c r="AC134"/>
  <c r="U134"/>
  <c r="M134"/>
  <c r="BI133"/>
  <c r="BH133"/>
  <c r="BG133"/>
  <c r="BF133"/>
  <c r="BE133"/>
  <c r="BD133"/>
  <c r="BC133"/>
  <c r="AT133"/>
  <c r="BJ133" s="1"/>
  <c r="AP133"/>
  <c r="AK133"/>
  <c r="AC133"/>
  <c r="U133"/>
  <c r="M133"/>
  <c r="BJ132"/>
  <c r="BG132"/>
  <c r="BF132"/>
  <c r="BE132"/>
  <c r="BD132"/>
  <c r="BC132"/>
  <c r="AU132"/>
  <c r="AP132"/>
  <c r="AI132"/>
  <c r="BI132" s="1"/>
  <c r="AH132"/>
  <c r="BH132" s="1"/>
  <c r="AC132"/>
  <c r="U132"/>
  <c r="M132"/>
  <c r="BI131"/>
  <c r="BG131"/>
  <c r="BF131"/>
  <c r="BE131"/>
  <c r="BD131"/>
  <c r="BC131"/>
  <c r="AT131"/>
  <c r="AS131"/>
  <c r="AS146" s="1"/>
  <c r="AR131"/>
  <c r="AP131"/>
  <c r="AK131"/>
  <c r="AC131"/>
  <c r="U131"/>
  <c r="M131"/>
  <c r="BJ130"/>
  <c r="BI130"/>
  <c r="BH130"/>
  <c r="BG130"/>
  <c r="BF130"/>
  <c r="BE130"/>
  <c r="BD130"/>
  <c r="BD146" s="1"/>
  <c r="BC130"/>
  <c r="BC146" s="1"/>
  <c r="AW130"/>
  <c r="AU130"/>
  <c r="AP130"/>
  <c r="AP146" s="1"/>
  <c r="AK130"/>
  <c r="AC130"/>
  <c r="U130"/>
  <c r="M130"/>
  <c r="BB129"/>
  <c r="BA129"/>
  <c r="AZ129"/>
  <c r="AY129"/>
  <c r="AX129"/>
  <c r="AW129"/>
  <c r="AV129"/>
  <c r="AT129"/>
  <c r="AS129"/>
  <c r="AR129"/>
  <c r="AQ129"/>
  <c r="AO129"/>
  <c r="AN129"/>
  <c r="AM129"/>
  <c r="AL129"/>
  <c r="AJ129"/>
  <c r="AI129"/>
  <c r="AH129"/>
  <c r="AG129"/>
  <c r="AF129"/>
  <c r="AE129"/>
  <c r="AD129"/>
  <c r="AB129"/>
  <c r="AA129"/>
  <c r="Z129"/>
  <c r="Y129"/>
  <c r="X129"/>
  <c r="W129"/>
  <c r="V129"/>
  <c r="T129"/>
  <c r="S129"/>
  <c r="R129"/>
  <c r="Q129"/>
  <c r="P129"/>
  <c r="O129"/>
  <c r="N129"/>
  <c r="L129"/>
  <c r="K129"/>
  <c r="J129"/>
  <c r="H129"/>
  <c r="G129"/>
  <c r="F129"/>
  <c r="BJ128"/>
  <c r="BJ129" s="1"/>
  <c r="BI128"/>
  <c r="BI129" s="1"/>
  <c r="BH128"/>
  <c r="BH129" s="1"/>
  <c r="BF128"/>
  <c r="BF129" s="1"/>
  <c r="BE128"/>
  <c r="BE129" s="1"/>
  <c r="BD128"/>
  <c r="BD129" s="1"/>
  <c r="BC128"/>
  <c r="BC129" s="1"/>
  <c r="AU128"/>
  <c r="AU129" s="1"/>
  <c r="AP128"/>
  <c r="AP129" s="1"/>
  <c r="AK128"/>
  <c r="AK129" s="1"/>
  <c r="AC128"/>
  <c r="AC129" s="1"/>
  <c r="U128"/>
  <c r="U129" s="1"/>
  <c r="M128"/>
  <c r="M129" s="1"/>
  <c r="I128"/>
  <c r="BG128" s="1"/>
  <c r="BG129" s="1"/>
  <c r="BB127"/>
  <c r="BA127"/>
  <c r="AZ127"/>
  <c r="AY127"/>
  <c r="AX127"/>
  <c r="AW127"/>
  <c r="AV127"/>
  <c r="AT127"/>
  <c r="AS127"/>
  <c r="AR127"/>
  <c r="AQ127"/>
  <c r="AO127"/>
  <c r="AN127"/>
  <c r="AM127"/>
  <c r="AL127"/>
  <c r="AJ127"/>
  <c r="AI127"/>
  <c r="AH127"/>
  <c r="AG127"/>
  <c r="AF127"/>
  <c r="AE127"/>
  <c r="AD127"/>
  <c r="AB127"/>
  <c r="AA127"/>
  <c r="Z127"/>
  <c r="Y127"/>
  <c r="X127"/>
  <c r="W127"/>
  <c r="V127"/>
  <c r="T127"/>
  <c r="S127"/>
  <c r="R127"/>
  <c r="Q127"/>
  <c r="P127"/>
  <c r="O127"/>
  <c r="N127"/>
  <c r="L127"/>
  <c r="I127"/>
  <c r="H127"/>
  <c r="G127"/>
  <c r="F127"/>
  <c r="BJ126"/>
  <c r="BJ127" s="1"/>
  <c r="BG126"/>
  <c r="BG127" s="1"/>
  <c r="BF126"/>
  <c r="BF127" s="1"/>
  <c r="BE126"/>
  <c r="BE127" s="1"/>
  <c r="BD126"/>
  <c r="BD127" s="1"/>
  <c r="BC126"/>
  <c r="BC127" s="1"/>
  <c r="AU126"/>
  <c r="AU127" s="1"/>
  <c r="AP126"/>
  <c r="AP127" s="1"/>
  <c r="AK126"/>
  <c r="AK127" s="1"/>
  <c r="AC126"/>
  <c r="AC127" s="1"/>
  <c r="U126"/>
  <c r="U127" s="1"/>
  <c r="K126"/>
  <c r="K127" s="1"/>
  <c r="J126"/>
  <c r="M126" s="1"/>
  <c r="M127" s="1"/>
  <c r="BB125"/>
  <c r="BA125"/>
  <c r="AZ125"/>
  <c r="AY125"/>
  <c r="AX125"/>
  <c r="AW125"/>
  <c r="AV125"/>
  <c r="AT125"/>
  <c r="AS125"/>
  <c r="AR125"/>
  <c r="AQ125"/>
  <c r="AO125"/>
  <c r="AN125"/>
  <c r="AM125"/>
  <c r="AL125"/>
  <c r="AJ125"/>
  <c r="AI125"/>
  <c r="AH125"/>
  <c r="AG125"/>
  <c r="AF125"/>
  <c r="AE125"/>
  <c r="AD125"/>
  <c r="AB125"/>
  <c r="AA125"/>
  <c r="Z125"/>
  <c r="Y125"/>
  <c r="X125"/>
  <c r="W125"/>
  <c r="V125"/>
  <c r="T125"/>
  <c r="S125"/>
  <c r="R125"/>
  <c r="Q125"/>
  <c r="P125"/>
  <c r="O125"/>
  <c r="N125"/>
  <c r="L125"/>
  <c r="J125"/>
  <c r="I125"/>
  <c r="G125"/>
  <c r="F125"/>
  <c r="BJ124"/>
  <c r="BI124"/>
  <c r="BH124"/>
  <c r="BG124"/>
  <c r="BF124"/>
  <c r="BE124"/>
  <c r="BD124"/>
  <c r="BC124"/>
  <c r="AU124"/>
  <c r="AP124"/>
  <c r="AK124"/>
  <c r="AC124"/>
  <c r="U124"/>
  <c r="M124"/>
  <c r="BJ123"/>
  <c r="BH123"/>
  <c r="BG123"/>
  <c r="BF123"/>
  <c r="BE123"/>
  <c r="BD123"/>
  <c r="BC123"/>
  <c r="AU123"/>
  <c r="AP123"/>
  <c r="AK123"/>
  <c r="AC123"/>
  <c r="U123"/>
  <c r="M123"/>
  <c r="K123"/>
  <c r="K125" s="1"/>
  <c r="H123"/>
  <c r="H125" s="1"/>
  <c r="BJ122"/>
  <c r="BI122"/>
  <c r="BH122"/>
  <c r="BH125" s="1"/>
  <c r="BG122"/>
  <c r="BF122"/>
  <c r="BE122"/>
  <c r="BD122"/>
  <c r="BD125" s="1"/>
  <c r="BC122"/>
  <c r="AU122"/>
  <c r="AP122"/>
  <c r="AK122"/>
  <c r="AK125" s="1"/>
  <c r="AC122"/>
  <c r="U122"/>
  <c r="M122"/>
  <c r="BB121"/>
  <c r="BA121"/>
  <c r="AZ121"/>
  <c r="AY121"/>
  <c r="AX121"/>
  <c r="AW121"/>
  <c r="AV121"/>
  <c r="AT121"/>
  <c r="AS121"/>
  <c r="AR121"/>
  <c r="AQ121"/>
  <c r="AO121"/>
  <c r="AN121"/>
  <c r="AM121"/>
  <c r="AL121"/>
  <c r="AJ121"/>
  <c r="AI121"/>
  <c r="AG121"/>
  <c r="AE121"/>
  <c r="AD121"/>
  <c r="AB121"/>
  <c r="AA121"/>
  <c r="Z121"/>
  <c r="Y121"/>
  <c r="X121"/>
  <c r="W121"/>
  <c r="V121"/>
  <c r="S121"/>
  <c r="Q121"/>
  <c r="P121"/>
  <c r="O121"/>
  <c r="N121"/>
  <c r="L121"/>
  <c r="K121"/>
  <c r="J121"/>
  <c r="I121"/>
  <c r="H121"/>
  <c r="G121"/>
  <c r="F121"/>
  <c r="BJ120"/>
  <c r="BI120"/>
  <c r="BH120"/>
  <c r="BG120"/>
  <c r="BF120"/>
  <c r="BE120"/>
  <c r="BD120"/>
  <c r="BC120"/>
  <c r="AU120"/>
  <c r="AP120"/>
  <c r="AK120"/>
  <c r="AC120"/>
  <c r="U120"/>
  <c r="M120"/>
  <c r="BJ119"/>
  <c r="BI119"/>
  <c r="BG119"/>
  <c r="BE119"/>
  <c r="BD119"/>
  <c r="BC119"/>
  <c r="AU119"/>
  <c r="AP119"/>
  <c r="AH119"/>
  <c r="BH119" s="1"/>
  <c r="AF119"/>
  <c r="AF121" s="1"/>
  <c r="AC119"/>
  <c r="U119"/>
  <c r="M119"/>
  <c r="BI118"/>
  <c r="BG118"/>
  <c r="BG121" s="1"/>
  <c r="BF118"/>
  <c r="BE118"/>
  <c r="BD118"/>
  <c r="BC118"/>
  <c r="BC121" s="1"/>
  <c r="AU118"/>
  <c r="AP118"/>
  <c r="AK118"/>
  <c r="AC118"/>
  <c r="AC121" s="1"/>
  <c r="T118"/>
  <c r="R118"/>
  <c r="M118"/>
  <c r="BJ117"/>
  <c r="BI117"/>
  <c r="BI121" s="1"/>
  <c r="BH117"/>
  <c r="BG117"/>
  <c r="BF117"/>
  <c r="BE117"/>
  <c r="BE121" s="1"/>
  <c r="BD117"/>
  <c r="BC117"/>
  <c r="AU117"/>
  <c r="AU121" s="1"/>
  <c r="AP117"/>
  <c r="AP121" s="1"/>
  <c r="AK117"/>
  <c r="AC117"/>
  <c r="U117"/>
  <c r="M117"/>
  <c r="M121" s="1"/>
  <c r="BB116"/>
  <c r="BA116"/>
  <c r="AZ116"/>
  <c r="AY116"/>
  <c r="AV116"/>
  <c r="AQ116"/>
  <c r="AO116"/>
  <c r="AL116"/>
  <c r="AJ116"/>
  <c r="AG116"/>
  <c r="AE116"/>
  <c r="AD116"/>
  <c r="Y116"/>
  <c r="X116"/>
  <c r="W116"/>
  <c r="V116"/>
  <c r="Q116"/>
  <c r="P116"/>
  <c r="O116"/>
  <c r="N116"/>
  <c r="L116"/>
  <c r="G116"/>
  <c r="F116"/>
  <c r="BJ115"/>
  <c r="BI115"/>
  <c r="BH115"/>
  <c r="BG115"/>
  <c r="BF115"/>
  <c r="BE115"/>
  <c r="BD115"/>
  <c r="BC115"/>
  <c r="AU115"/>
  <c r="AP115"/>
  <c r="AK115"/>
  <c r="AC115"/>
  <c r="U115"/>
  <c r="M115"/>
  <c r="BJ114"/>
  <c r="BH114"/>
  <c r="BF114"/>
  <c r="BE114"/>
  <c r="BD114"/>
  <c r="BC114"/>
  <c r="AU114"/>
  <c r="AN114"/>
  <c r="BI114" s="1"/>
  <c r="AM114"/>
  <c r="AK114"/>
  <c r="AC114"/>
  <c r="U114"/>
  <c r="I114"/>
  <c r="BJ113"/>
  <c r="BF113"/>
  <c r="BE113"/>
  <c r="BD113"/>
  <c r="BC113"/>
  <c r="AU113"/>
  <c r="AN113"/>
  <c r="BI113" s="1"/>
  <c r="AM113"/>
  <c r="AP113" s="1"/>
  <c r="AK113"/>
  <c r="AC113"/>
  <c r="U113"/>
  <c r="I113"/>
  <c r="BG113" s="1"/>
  <c r="BJ112"/>
  <c r="BI112"/>
  <c r="BH112"/>
  <c r="BG112"/>
  <c r="BF112"/>
  <c r="BE112"/>
  <c r="BD112"/>
  <c r="BC112"/>
  <c r="AU112"/>
  <c r="AP112"/>
  <c r="AK112"/>
  <c r="AC112"/>
  <c r="U112"/>
  <c r="M112"/>
  <c r="BJ111"/>
  <c r="BI111"/>
  <c r="BH111"/>
  <c r="BG111"/>
  <c r="BF111"/>
  <c r="BE111"/>
  <c r="BK111" s="1"/>
  <c r="BD111"/>
  <c r="BC111"/>
  <c r="AU111"/>
  <c r="AP111"/>
  <c r="AK111"/>
  <c r="AC111"/>
  <c r="U111"/>
  <c r="M111"/>
  <c r="BJ110"/>
  <c r="BG110"/>
  <c r="BE110"/>
  <c r="BD110"/>
  <c r="BC110"/>
  <c r="AU110"/>
  <c r="AP110"/>
  <c r="AK110"/>
  <c r="AC110"/>
  <c r="U110"/>
  <c r="K110"/>
  <c r="BI110" s="1"/>
  <c r="J110"/>
  <c r="BH110" s="1"/>
  <c r="H110"/>
  <c r="BG109"/>
  <c r="BF109"/>
  <c r="BE109"/>
  <c r="BD109"/>
  <c r="BC109"/>
  <c r="AU109"/>
  <c r="AP109"/>
  <c r="AK109"/>
  <c r="AB109"/>
  <c r="AB116" s="1"/>
  <c r="AA109"/>
  <c r="AA116" s="1"/>
  <c r="Z109"/>
  <c r="U109"/>
  <c r="M109"/>
  <c r="BJ108"/>
  <c r="BG108"/>
  <c r="BE108"/>
  <c r="BD108"/>
  <c r="BC108"/>
  <c r="AU108"/>
  <c r="AP108"/>
  <c r="AI108"/>
  <c r="BI108" s="1"/>
  <c r="AH108"/>
  <c r="BH108" s="1"/>
  <c r="AC108"/>
  <c r="U108"/>
  <c r="H108"/>
  <c r="BF108" s="1"/>
  <c r="BK108" s="1"/>
  <c r="BJ107"/>
  <c r="BI107"/>
  <c r="BH107"/>
  <c r="BG107"/>
  <c r="BF107"/>
  <c r="BE107"/>
  <c r="BD107"/>
  <c r="BC107"/>
  <c r="AU107"/>
  <c r="AP107"/>
  <c r="AK107"/>
  <c r="AC107"/>
  <c r="U107"/>
  <c r="M107"/>
  <c r="BJ106"/>
  <c r="BG106"/>
  <c r="BE106"/>
  <c r="BD106"/>
  <c r="BC106"/>
  <c r="AU106"/>
  <c r="AN106"/>
  <c r="BI106" s="1"/>
  <c r="AM106"/>
  <c r="BH106" s="1"/>
  <c r="AK106"/>
  <c r="AC106"/>
  <c r="U106"/>
  <c r="I106"/>
  <c r="H106"/>
  <c r="BF106" s="1"/>
  <c r="BH105"/>
  <c r="BG105"/>
  <c r="BF105"/>
  <c r="BE105"/>
  <c r="BD105"/>
  <c r="BC105"/>
  <c r="AU105"/>
  <c r="AP105"/>
  <c r="AK105"/>
  <c r="AC105"/>
  <c r="T105"/>
  <c r="BJ105" s="1"/>
  <c r="S105"/>
  <c r="BI105" s="1"/>
  <c r="R105"/>
  <c r="M105"/>
  <c r="BJ104"/>
  <c r="BI104"/>
  <c r="BG104"/>
  <c r="BF104"/>
  <c r="BE104"/>
  <c r="BD104"/>
  <c r="BC104"/>
  <c r="AU104"/>
  <c r="AP104"/>
  <c r="AH104"/>
  <c r="BH104" s="1"/>
  <c r="AC104"/>
  <c r="U104"/>
  <c r="M104"/>
  <c r="BH103"/>
  <c r="BE103"/>
  <c r="BD103"/>
  <c r="BC103"/>
  <c r="AT103"/>
  <c r="BJ103" s="1"/>
  <c r="AS103"/>
  <c r="BI103" s="1"/>
  <c r="AR103"/>
  <c r="AP103"/>
  <c r="AK103"/>
  <c r="AC103"/>
  <c r="U103"/>
  <c r="I103"/>
  <c r="BG103" s="1"/>
  <c r="H103"/>
  <c r="BF103" s="1"/>
  <c r="BJ102"/>
  <c r="BE102"/>
  <c r="BD102"/>
  <c r="AX102"/>
  <c r="AU102"/>
  <c r="AN102"/>
  <c r="BI102" s="1"/>
  <c r="AM102"/>
  <c r="BH102" s="1"/>
  <c r="AK102"/>
  <c r="AC102"/>
  <c r="U102"/>
  <c r="M102"/>
  <c r="I102"/>
  <c r="BG102" s="1"/>
  <c r="H102"/>
  <c r="BJ101"/>
  <c r="BI101"/>
  <c r="BH101"/>
  <c r="BG101"/>
  <c r="BF101"/>
  <c r="BE101"/>
  <c r="BD101"/>
  <c r="BC101"/>
  <c r="AU101"/>
  <c r="AP101"/>
  <c r="AK101"/>
  <c r="AC101"/>
  <c r="U101"/>
  <c r="M101"/>
  <c r="BJ100"/>
  <c r="BG100"/>
  <c r="BE100"/>
  <c r="BD100"/>
  <c r="BC100"/>
  <c r="AU100"/>
  <c r="AN100"/>
  <c r="BI100" s="1"/>
  <c r="AM100"/>
  <c r="BH100" s="1"/>
  <c r="AK100"/>
  <c r="AC100"/>
  <c r="U100"/>
  <c r="M100"/>
  <c r="H100"/>
  <c r="BF100" s="1"/>
  <c r="BJ99"/>
  <c r="BE99"/>
  <c r="BD99"/>
  <c r="BC99"/>
  <c r="AU99"/>
  <c r="AP99"/>
  <c r="AN99"/>
  <c r="BI99" s="1"/>
  <c r="AM99"/>
  <c r="BH99" s="1"/>
  <c r="AK99"/>
  <c r="AC99"/>
  <c r="U99"/>
  <c r="I99"/>
  <c r="BG99" s="1"/>
  <c r="H99"/>
  <c r="M99" s="1"/>
  <c r="BJ98"/>
  <c r="BI98"/>
  <c r="BH98"/>
  <c r="BG98"/>
  <c r="BF98"/>
  <c r="BE98"/>
  <c r="BD98"/>
  <c r="BC98"/>
  <c r="AU98"/>
  <c r="AP98"/>
  <c r="AK98"/>
  <c r="AC98"/>
  <c r="U98"/>
  <c r="M98"/>
  <c r="BG97"/>
  <c r="BF97"/>
  <c r="BE97"/>
  <c r="BD97"/>
  <c r="BC97"/>
  <c r="AU97"/>
  <c r="AP97"/>
  <c r="AK97"/>
  <c r="AC97"/>
  <c r="T97"/>
  <c r="BJ97" s="1"/>
  <c r="S97"/>
  <c r="BI97" s="1"/>
  <c r="R97"/>
  <c r="M97"/>
  <c r="BG96"/>
  <c r="BF96"/>
  <c r="BE96"/>
  <c r="BD96"/>
  <c r="BC96"/>
  <c r="AT96"/>
  <c r="BJ96" s="1"/>
  <c r="AS96"/>
  <c r="BI96" s="1"/>
  <c r="AR96"/>
  <c r="BH96" s="1"/>
  <c r="AP96"/>
  <c r="AK96"/>
  <c r="AC96"/>
  <c r="U96"/>
  <c r="M96"/>
  <c r="H96"/>
  <c r="BI95"/>
  <c r="BG95"/>
  <c r="BF95"/>
  <c r="BE95"/>
  <c r="BD95"/>
  <c r="BC95"/>
  <c r="AU95"/>
  <c r="AP95"/>
  <c r="AK95"/>
  <c r="AC95"/>
  <c r="T95"/>
  <c r="BJ95" s="1"/>
  <c r="R95"/>
  <c r="BH95" s="1"/>
  <c r="M95"/>
  <c r="BJ94"/>
  <c r="BI94"/>
  <c r="BH94"/>
  <c r="BG94"/>
  <c r="BF94"/>
  <c r="BE94"/>
  <c r="BD94"/>
  <c r="BC94"/>
  <c r="AU94"/>
  <c r="AP94"/>
  <c r="AK94"/>
  <c r="AC94"/>
  <c r="U94"/>
  <c r="M94"/>
  <c r="BH93"/>
  <c r="BE93"/>
  <c r="BD93"/>
  <c r="BC93"/>
  <c r="AU93"/>
  <c r="AP93"/>
  <c r="AK93"/>
  <c r="AC93"/>
  <c r="T93"/>
  <c r="T116" s="1"/>
  <c r="S93"/>
  <c r="S116" s="1"/>
  <c r="R93"/>
  <c r="I93"/>
  <c r="BG93" s="1"/>
  <c r="H93"/>
  <c r="BF93" s="1"/>
  <c r="BJ92"/>
  <c r="BE92"/>
  <c r="BD92"/>
  <c r="BC92"/>
  <c r="AU92"/>
  <c r="AN92"/>
  <c r="AM92"/>
  <c r="BH92" s="1"/>
  <c r="AK92"/>
  <c r="AC92"/>
  <c r="U92"/>
  <c r="I92"/>
  <c r="BG92" s="1"/>
  <c r="H92"/>
  <c r="BJ91"/>
  <c r="BG91"/>
  <c r="BE91"/>
  <c r="BD91"/>
  <c r="BC91"/>
  <c r="AU91"/>
  <c r="AP91"/>
  <c r="AI91"/>
  <c r="BI91" s="1"/>
  <c r="AH91"/>
  <c r="BH91" s="1"/>
  <c r="AC91"/>
  <c r="U91"/>
  <c r="H91"/>
  <c r="BF91" s="1"/>
  <c r="BJ90"/>
  <c r="BG90"/>
  <c r="BF90"/>
  <c r="BE90"/>
  <c r="BD90"/>
  <c r="BC90"/>
  <c r="AU90"/>
  <c r="AP90"/>
  <c r="AI90"/>
  <c r="BI90" s="1"/>
  <c r="AH90"/>
  <c r="AC90"/>
  <c r="U90"/>
  <c r="M90"/>
  <c r="BJ89"/>
  <c r="BI89"/>
  <c r="BH89"/>
  <c r="BG89"/>
  <c r="BF89"/>
  <c r="BE89"/>
  <c r="BD89"/>
  <c r="BC89"/>
  <c r="AU89"/>
  <c r="AP89"/>
  <c r="AK89"/>
  <c r="AC89"/>
  <c r="U89"/>
  <c r="M89"/>
  <c r="BJ88"/>
  <c r="BI88"/>
  <c r="BG88"/>
  <c r="BE88"/>
  <c r="BD88"/>
  <c r="BC88"/>
  <c r="AU88"/>
  <c r="AP88"/>
  <c r="AK88"/>
  <c r="AC88"/>
  <c r="U88"/>
  <c r="K88"/>
  <c r="J88"/>
  <c r="H88"/>
  <c r="M88" s="1"/>
  <c r="BJ87"/>
  <c r="BG87"/>
  <c r="BF87"/>
  <c r="BE87"/>
  <c r="BD87"/>
  <c r="BC87"/>
  <c r="AU87"/>
  <c r="AP87"/>
  <c r="AI87"/>
  <c r="BI87" s="1"/>
  <c r="AH87"/>
  <c r="AH116" s="1"/>
  <c r="AC87"/>
  <c r="U87"/>
  <c r="M87"/>
  <c r="BJ86"/>
  <c r="BI86"/>
  <c r="BE86"/>
  <c r="BD86"/>
  <c r="BC86"/>
  <c r="AU86"/>
  <c r="AM86"/>
  <c r="AF86"/>
  <c r="AK86" s="1"/>
  <c r="AC86"/>
  <c r="U86"/>
  <c r="I86"/>
  <c r="BD85"/>
  <c r="BD116" s="1"/>
  <c r="BC85"/>
  <c r="AW85"/>
  <c r="BE85" s="1"/>
  <c r="AT85"/>
  <c r="AS85"/>
  <c r="BI85" s="1"/>
  <c r="AR85"/>
  <c r="AP85"/>
  <c r="AF85"/>
  <c r="AF116" s="1"/>
  <c r="AC85"/>
  <c r="U85"/>
  <c r="I85"/>
  <c r="I116" s="1"/>
  <c r="H85"/>
  <c r="H116" s="1"/>
  <c r="BB84"/>
  <c r="BA84"/>
  <c r="AZ84"/>
  <c r="AY84"/>
  <c r="AX84"/>
  <c r="AW84"/>
  <c r="AV84"/>
  <c r="AT84"/>
  <c r="AS84"/>
  <c r="AR84"/>
  <c r="AQ84"/>
  <c r="AO84"/>
  <c r="AN84"/>
  <c r="AM84"/>
  <c r="AL84"/>
  <c r="AJ84"/>
  <c r="AI84"/>
  <c r="AH84"/>
  <c r="AG84"/>
  <c r="AF84"/>
  <c r="AE84"/>
  <c r="AD84"/>
  <c r="AB84"/>
  <c r="AA84"/>
  <c r="Z84"/>
  <c r="Y84"/>
  <c r="X84"/>
  <c r="W84"/>
  <c r="V84"/>
  <c r="T84"/>
  <c r="S84"/>
  <c r="R84"/>
  <c r="Q84"/>
  <c r="P84"/>
  <c r="O84"/>
  <c r="N84"/>
  <c r="L84"/>
  <c r="I84"/>
  <c r="G84"/>
  <c r="F84"/>
  <c r="BJ83"/>
  <c r="BJ84" s="1"/>
  <c r="BG83"/>
  <c r="BG84" s="1"/>
  <c r="BE83"/>
  <c r="BE84" s="1"/>
  <c r="BD83"/>
  <c r="BD84" s="1"/>
  <c r="BC83"/>
  <c r="BC84" s="1"/>
  <c r="AU83"/>
  <c r="AU84" s="1"/>
  <c r="AP83"/>
  <c r="AP84" s="1"/>
  <c r="AK83"/>
  <c r="AK84" s="1"/>
  <c r="AC83"/>
  <c r="AC84" s="1"/>
  <c r="U83"/>
  <c r="U84" s="1"/>
  <c r="K83"/>
  <c r="J83"/>
  <c r="J84" s="1"/>
  <c r="H83"/>
  <c r="M83" s="1"/>
  <c r="M84" s="1"/>
  <c r="BB82"/>
  <c r="BA82"/>
  <c r="AZ82"/>
  <c r="AY82"/>
  <c r="AX82"/>
  <c r="AW82"/>
  <c r="AV82"/>
  <c r="AT82"/>
  <c r="AS82"/>
  <c r="AR82"/>
  <c r="AQ82"/>
  <c r="AO82"/>
  <c r="AN82"/>
  <c r="AM82"/>
  <c r="AL82"/>
  <c r="AJ82"/>
  <c r="AG82"/>
  <c r="AF82"/>
  <c r="AE82"/>
  <c r="AD82"/>
  <c r="AB82"/>
  <c r="AA82"/>
  <c r="Z82"/>
  <c r="Y82"/>
  <c r="X82"/>
  <c r="W82"/>
  <c r="V82"/>
  <c r="T82"/>
  <c r="S82"/>
  <c r="R82"/>
  <c r="Q82"/>
  <c r="P82"/>
  <c r="O82"/>
  <c r="N82"/>
  <c r="L82"/>
  <c r="I82"/>
  <c r="G82"/>
  <c r="F82"/>
  <c r="BJ81"/>
  <c r="BI81"/>
  <c r="BG81"/>
  <c r="BF81"/>
  <c r="BE81"/>
  <c r="BD81"/>
  <c r="BC81"/>
  <c r="AU81"/>
  <c r="AP81"/>
  <c r="AK81"/>
  <c r="AC81"/>
  <c r="U81"/>
  <c r="J81"/>
  <c r="BH81" s="1"/>
  <c r="BJ80"/>
  <c r="BI80"/>
  <c r="BH80"/>
  <c r="BG80"/>
  <c r="BF80"/>
  <c r="BE80"/>
  <c r="BD80"/>
  <c r="BC80"/>
  <c r="AU80"/>
  <c r="AP80"/>
  <c r="AK80"/>
  <c r="AC80"/>
  <c r="U80"/>
  <c r="M80"/>
  <c r="BJ79"/>
  <c r="BI79"/>
  <c r="BH79"/>
  <c r="BG79"/>
  <c r="BF79"/>
  <c r="BE79"/>
  <c r="BD79"/>
  <c r="BC79"/>
  <c r="AU79"/>
  <c r="AP79"/>
  <c r="AK79"/>
  <c r="AC79"/>
  <c r="U79"/>
  <c r="M79"/>
  <c r="BJ78"/>
  <c r="BG78"/>
  <c r="BF78"/>
  <c r="BE78"/>
  <c r="BD78"/>
  <c r="BC78"/>
  <c r="AU78"/>
  <c r="AP78"/>
  <c r="AI78"/>
  <c r="BI78" s="1"/>
  <c r="AH78"/>
  <c r="BH78" s="1"/>
  <c r="AC78"/>
  <c r="U78"/>
  <c r="M78"/>
  <c r="BJ77"/>
  <c r="BI77"/>
  <c r="BG77"/>
  <c r="BF77"/>
  <c r="BE77"/>
  <c r="BD77"/>
  <c r="BC77"/>
  <c r="AU77"/>
  <c r="AP77"/>
  <c r="AK77"/>
  <c r="AC77"/>
  <c r="U77"/>
  <c r="J77"/>
  <c r="BH77" s="1"/>
  <c r="BJ76"/>
  <c r="BG76"/>
  <c r="BE76"/>
  <c r="BD76"/>
  <c r="BC76"/>
  <c r="AU76"/>
  <c r="AP76"/>
  <c r="AK76"/>
  <c r="AC76"/>
  <c r="U76"/>
  <c r="K76"/>
  <c r="BI76" s="1"/>
  <c r="J76"/>
  <c r="H76"/>
  <c r="M76" s="1"/>
  <c r="BJ75"/>
  <c r="BI75"/>
  <c r="BH75"/>
  <c r="BG75"/>
  <c r="BF75"/>
  <c r="BE75"/>
  <c r="BD75"/>
  <c r="BC75"/>
  <c r="AU75"/>
  <c r="AP75"/>
  <c r="AK75"/>
  <c r="AC75"/>
  <c r="U75"/>
  <c r="M75"/>
  <c r="BJ74"/>
  <c r="BI74"/>
  <c r="BH74"/>
  <c r="BG74"/>
  <c r="BE74"/>
  <c r="BD74"/>
  <c r="BC74"/>
  <c r="AU74"/>
  <c r="AP74"/>
  <c r="AK74"/>
  <c r="AC74"/>
  <c r="U74"/>
  <c r="H74"/>
  <c r="BJ73"/>
  <c r="BJ82" s="1"/>
  <c r="BI73"/>
  <c r="BH73"/>
  <c r="BG73"/>
  <c r="BF73"/>
  <c r="BE73"/>
  <c r="BD73"/>
  <c r="BC73"/>
  <c r="AU73"/>
  <c r="AU82" s="1"/>
  <c r="AP73"/>
  <c r="AP82" s="1"/>
  <c r="AK73"/>
  <c r="AC73"/>
  <c r="U73"/>
  <c r="U82" s="1"/>
  <c r="M73"/>
  <c r="BB72"/>
  <c r="BA72"/>
  <c r="AZ72"/>
  <c r="AY72"/>
  <c r="AX72"/>
  <c r="AW72"/>
  <c r="AV72"/>
  <c r="AT72"/>
  <c r="AS72"/>
  <c r="AR72"/>
  <c r="AQ72"/>
  <c r="AO72"/>
  <c r="AN72"/>
  <c r="AM72"/>
  <c r="AL72"/>
  <c r="AJ72"/>
  <c r="AI72"/>
  <c r="AH72"/>
  <c r="AG72"/>
  <c r="AF72"/>
  <c r="AE72"/>
  <c r="AD72"/>
  <c r="AA72"/>
  <c r="Z72"/>
  <c r="Y72"/>
  <c r="X72"/>
  <c r="W72"/>
  <c r="V72"/>
  <c r="T72"/>
  <c r="S72"/>
  <c r="R72"/>
  <c r="Q72"/>
  <c r="P72"/>
  <c r="O72"/>
  <c r="N72"/>
  <c r="L72"/>
  <c r="K72"/>
  <c r="J72"/>
  <c r="I72"/>
  <c r="H72"/>
  <c r="G72"/>
  <c r="F72"/>
  <c r="BI71"/>
  <c r="BI72" s="1"/>
  <c r="BH71"/>
  <c r="BH72" s="1"/>
  <c r="BG71"/>
  <c r="BG72" s="1"/>
  <c r="BF71"/>
  <c r="BF72" s="1"/>
  <c r="BE71"/>
  <c r="BE72" s="1"/>
  <c r="BD71"/>
  <c r="BC71"/>
  <c r="BC72" s="1"/>
  <c r="AU71"/>
  <c r="AU72" s="1"/>
  <c r="AP71"/>
  <c r="AP72" s="1"/>
  <c r="AK71"/>
  <c r="AK72" s="1"/>
  <c r="AB71"/>
  <c r="AB72" s="1"/>
  <c r="U71"/>
  <c r="U72" s="1"/>
  <c r="M71"/>
  <c r="M72" s="1"/>
  <c r="BB70"/>
  <c r="BA70"/>
  <c r="AZ70"/>
  <c r="AY70"/>
  <c r="AX70"/>
  <c r="AW70"/>
  <c r="AV70"/>
  <c r="AT70"/>
  <c r="AS70"/>
  <c r="AR70"/>
  <c r="AQ70"/>
  <c r="AO70"/>
  <c r="AN70"/>
  <c r="AM70"/>
  <c r="AL70"/>
  <c r="AJ70"/>
  <c r="AI70"/>
  <c r="AH70"/>
  <c r="AG70"/>
  <c r="AF70"/>
  <c r="AE70"/>
  <c r="AD70"/>
  <c r="AB70"/>
  <c r="AA70"/>
  <c r="Z70"/>
  <c r="Y70"/>
  <c r="X70"/>
  <c r="W70"/>
  <c r="V70"/>
  <c r="T70"/>
  <c r="S70"/>
  <c r="R70"/>
  <c r="Q70"/>
  <c r="P70"/>
  <c r="O70"/>
  <c r="N70"/>
  <c r="L70"/>
  <c r="K70"/>
  <c r="J70"/>
  <c r="I70"/>
  <c r="H70"/>
  <c r="G70"/>
  <c r="F70"/>
  <c r="BJ69"/>
  <c r="BJ70" s="1"/>
  <c r="BI69"/>
  <c r="BI70" s="1"/>
  <c r="BH69"/>
  <c r="BH70" s="1"/>
  <c r="BG69"/>
  <c r="BG70" s="1"/>
  <c r="BF69"/>
  <c r="BF70" s="1"/>
  <c r="BE69"/>
  <c r="BE70" s="1"/>
  <c r="BD69"/>
  <c r="BD70" s="1"/>
  <c r="BC69"/>
  <c r="BC70" s="1"/>
  <c r="AU69"/>
  <c r="AU70" s="1"/>
  <c r="AP69"/>
  <c r="AP70" s="1"/>
  <c r="AK69"/>
  <c r="AK70" s="1"/>
  <c r="AC69"/>
  <c r="AC70" s="1"/>
  <c r="U69"/>
  <c r="U70" s="1"/>
  <c r="M69"/>
  <c r="M70" s="1"/>
  <c r="BB68"/>
  <c r="BA68"/>
  <c r="AZ68"/>
  <c r="AY68"/>
  <c r="AX68"/>
  <c r="AW68"/>
  <c r="AV68"/>
  <c r="AT68"/>
  <c r="AS68"/>
  <c r="AR68"/>
  <c r="AQ68"/>
  <c r="AO68"/>
  <c r="AL68"/>
  <c r="AJ68"/>
  <c r="AI68"/>
  <c r="AH68"/>
  <c r="AG68"/>
  <c r="AF68"/>
  <c r="AE68"/>
  <c r="AD68"/>
  <c r="AB68"/>
  <c r="AA68"/>
  <c r="Z68"/>
  <c r="Y68"/>
  <c r="X68"/>
  <c r="W68"/>
  <c r="V68"/>
  <c r="T68"/>
  <c r="S68"/>
  <c r="R68"/>
  <c r="Q68"/>
  <c r="P68"/>
  <c r="O68"/>
  <c r="N68"/>
  <c r="L68"/>
  <c r="K68"/>
  <c r="J68"/>
  <c r="H68"/>
  <c r="G68"/>
  <c r="F68"/>
  <c r="BJ67"/>
  <c r="BI67"/>
  <c r="BH67"/>
  <c r="BG67"/>
  <c r="BF67"/>
  <c r="BE67"/>
  <c r="BD67"/>
  <c r="BC67"/>
  <c r="AU67"/>
  <c r="AP67"/>
  <c r="AK67"/>
  <c r="AC67"/>
  <c r="U67"/>
  <c r="M67"/>
  <c r="BJ66"/>
  <c r="BF66"/>
  <c r="BE66"/>
  <c r="BD66"/>
  <c r="BC66"/>
  <c r="AU66"/>
  <c r="AN66"/>
  <c r="BI66" s="1"/>
  <c r="AM66"/>
  <c r="AP66" s="1"/>
  <c r="AK66"/>
  <c r="AC66"/>
  <c r="U66"/>
  <c r="I66"/>
  <c r="I68" s="1"/>
  <c r="BJ65"/>
  <c r="BG65"/>
  <c r="BF65"/>
  <c r="BE65"/>
  <c r="BD65"/>
  <c r="BC65"/>
  <c r="AU65"/>
  <c r="AN65"/>
  <c r="AN68" s="1"/>
  <c r="AM65"/>
  <c r="BH65" s="1"/>
  <c r="AK65"/>
  <c r="AC65"/>
  <c r="U65"/>
  <c r="M65"/>
  <c r="BJ64"/>
  <c r="BI64"/>
  <c r="BH64"/>
  <c r="BG64"/>
  <c r="BF64"/>
  <c r="BE64"/>
  <c r="BD64"/>
  <c r="BD68" s="1"/>
  <c r="BC64"/>
  <c r="BC68" s="1"/>
  <c r="AU64"/>
  <c r="AP64"/>
  <c r="AK64"/>
  <c r="AK68" s="1"/>
  <c r="AC64"/>
  <c r="AC68" s="1"/>
  <c r="U64"/>
  <c r="M64"/>
  <c r="BB63"/>
  <c r="BA63"/>
  <c r="AZ63"/>
  <c r="AY63"/>
  <c r="AX63"/>
  <c r="AW63"/>
  <c r="AV63"/>
  <c r="AT63"/>
  <c r="AS63"/>
  <c r="AR63"/>
  <c r="AQ63"/>
  <c r="AO63"/>
  <c r="AN63"/>
  <c r="AM63"/>
  <c r="AL63"/>
  <c r="AJ63"/>
  <c r="AI63"/>
  <c r="AG63"/>
  <c r="AE63"/>
  <c r="AD63"/>
  <c r="AB63"/>
  <c r="AA63"/>
  <c r="Z63"/>
  <c r="Y63"/>
  <c r="X63"/>
  <c r="W63"/>
  <c r="V63"/>
  <c r="T63"/>
  <c r="S63"/>
  <c r="R63"/>
  <c r="Q63"/>
  <c r="P63"/>
  <c r="O63"/>
  <c r="N63"/>
  <c r="L63"/>
  <c r="I63"/>
  <c r="G63"/>
  <c r="F63"/>
  <c r="BJ62"/>
  <c r="BI62"/>
  <c r="BH62"/>
  <c r="BG62"/>
  <c r="BF62"/>
  <c r="BE62"/>
  <c r="BD62"/>
  <c r="BK62" s="1"/>
  <c r="BC62"/>
  <c r="AU62"/>
  <c r="AP62"/>
  <c r="AK62"/>
  <c r="AC62"/>
  <c r="U62"/>
  <c r="M62"/>
  <c r="BJ61"/>
  <c r="BG61"/>
  <c r="BF61"/>
  <c r="BE61"/>
  <c r="BD61"/>
  <c r="BC61"/>
  <c r="AU61"/>
  <c r="AP61"/>
  <c r="AK61"/>
  <c r="AC61"/>
  <c r="U61"/>
  <c r="K61"/>
  <c r="K63" s="1"/>
  <c r="J61"/>
  <c r="BH61" s="1"/>
  <c r="BJ60"/>
  <c r="BI60"/>
  <c r="BG60"/>
  <c r="BF60"/>
  <c r="BE60"/>
  <c r="BD60"/>
  <c r="BC60"/>
  <c r="AU60"/>
  <c r="AP60"/>
  <c r="AH60"/>
  <c r="BH60" s="1"/>
  <c r="AC60"/>
  <c r="U60"/>
  <c r="M60"/>
  <c r="BJ59"/>
  <c r="BI59"/>
  <c r="BH59"/>
  <c r="BG59"/>
  <c r="BE59"/>
  <c r="BD59"/>
  <c r="BC59"/>
  <c r="AU59"/>
  <c r="AP59"/>
  <c r="AK59"/>
  <c r="AC59"/>
  <c r="U59"/>
  <c r="H59"/>
  <c r="M59" s="1"/>
  <c r="BJ58"/>
  <c r="BI58"/>
  <c r="BH58"/>
  <c r="BG58"/>
  <c r="BE58"/>
  <c r="BD58"/>
  <c r="BC58"/>
  <c r="AU58"/>
  <c r="AP58"/>
  <c r="AK58"/>
  <c r="AC58"/>
  <c r="U58"/>
  <c r="H58"/>
  <c r="M58" s="1"/>
  <c r="BJ57"/>
  <c r="BI57"/>
  <c r="BH57"/>
  <c r="BG57"/>
  <c r="BF57"/>
  <c r="BE57"/>
  <c r="BD57"/>
  <c r="BC57"/>
  <c r="AU57"/>
  <c r="AP57"/>
  <c r="AK57"/>
  <c r="AC57"/>
  <c r="U57"/>
  <c r="M57"/>
  <c r="BJ56"/>
  <c r="BI56"/>
  <c r="BH56"/>
  <c r="BG56"/>
  <c r="BF56"/>
  <c r="BE56"/>
  <c r="BD56"/>
  <c r="BC56"/>
  <c r="AU56"/>
  <c r="AP56"/>
  <c r="AK56"/>
  <c r="AC56"/>
  <c r="U56"/>
  <c r="M56"/>
  <c r="BJ55"/>
  <c r="BI55"/>
  <c r="BG55"/>
  <c r="BE55"/>
  <c r="BE63" s="1"/>
  <c r="BD55"/>
  <c r="BC55"/>
  <c r="AU55"/>
  <c r="AP55"/>
  <c r="AP63" s="1"/>
  <c r="AH55"/>
  <c r="BH55" s="1"/>
  <c r="BH63" s="1"/>
  <c r="AF55"/>
  <c r="AF63" s="1"/>
  <c r="AC55"/>
  <c r="U55"/>
  <c r="U63" s="1"/>
  <c r="M55"/>
  <c r="BB54"/>
  <c r="BA54"/>
  <c r="AZ54"/>
  <c r="AY54"/>
  <c r="AX54"/>
  <c r="AW54"/>
  <c r="AV54"/>
  <c r="AT54"/>
  <c r="AS54"/>
  <c r="AR54"/>
  <c r="AQ54"/>
  <c r="AO54"/>
  <c r="AL54"/>
  <c r="AJ54"/>
  <c r="AG54"/>
  <c r="AE54"/>
  <c r="AD54"/>
  <c r="Z54"/>
  <c r="Y54"/>
  <c r="X54"/>
  <c r="W54"/>
  <c r="V54"/>
  <c r="T54"/>
  <c r="S54"/>
  <c r="R54"/>
  <c r="Q54"/>
  <c r="P54"/>
  <c r="O54"/>
  <c r="N54"/>
  <c r="L54"/>
  <c r="K54"/>
  <c r="G54"/>
  <c r="F54"/>
  <c r="BJ53"/>
  <c r="BE53"/>
  <c r="BD53"/>
  <c r="BC53"/>
  <c r="AU53"/>
  <c r="AP53"/>
  <c r="AN53"/>
  <c r="BI53" s="1"/>
  <c r="AM53"/>
  <c r="BH53" s="1"/>
  <c r="AK53"/>
  <c r="AC53"/>
  <c r="U53"/>
  <c r="I53"/>
  <c r="BG53" s="1"/>
  <c r="H53"/>
  <c r="BF53" s="1"/>
  <c r="BH52"/>
  <c r="BG52"/>
  <c r="BE52"/>
  <c r="BD52"/>
  <c r="BC52"/>
  <c r="AU52"/>
  <c r="AP52"/>
  <c r="AK52"/>
  <c r="AC52"/>
  <c r="AB52"/>
  <c r="AB54" s="1"/>
  <c r="AA52"/>
  <c r="BI52" s="1"/>
  <c r="U52"/>
  <c r="M52"/>
  <c r="H52"/>
  <c r="BF52" s="1"/>
  <c r="BJ51"/>
  <c r="BI51"/>
  <c r="BG51"/>
  <c r="BE51"/>
  <c r="BD51"/>
  <c r="BC51"/>
  <c r="AU51"/>
  <c r="AP51"/>
  <c r="AK51"/>
  <c r="AC51"/>
  <c r="U51"/>
  <c r="J51"/>
  <c r="BH51" s="1"/>
  <c r="H51"/>
  <c r="M51" s="1"/>
  <c r="BJ50"/>
  <c r="BH50"/>
  <c r="BG50"/>
  <c r="BE50"/>
  <c r="BD50"/>
  <c r="BC50"/>
  <c r="AU50"/>
  <c r="AN50"/>
  <c r="BI50" s="1"/>
  <c r="AK50"/>
  <c r="AC50"/>
  <c r="U50"/>
  <c r="H50"/>
  <c r="M50" s="1"/>
  <c r="BJ49"/>
  <c r="BI49"/>
  <c r="BH49"/>
  <c r="BG49"/>
  <c r="BF49"/>
  <c r="BE49"/>
  <c r="BD49"/>
  <c r="BC49"/>
  <c r="AU49"/>
  <c r="AP49"/>
  <c r="AK49"/>
  <c r="AC49"/>
  <c r="U49"/>
  <c r="M49"/>
  <c r="BJ48"/>
  <c r="BI48"/>
  <c r="BH48"/>
  <c r="BG48"/>
  <c r="BF48"/>
  <c r="BE48"/>
  <c r="BK48" s="1"/>
  <c r="BD48"/>
  <c r="BC48"/>
  <c r="AU48"/>
  <c r="AP48"/>
  <c r="AK48"/>
  <c r="AC48"/>
  <c r="U48"/>
  <c r="M48"/>
  <c r="BJ47"/>
  <c r="BE47"/>
  <c r="BD47"/>
  <c r="BC47"/>
  <c r="AU47"/>
  <c r="AN47"/>
  <c r="AN54" s="1"/>
  <c r="AM47"/>
  <c r="AM54" s="1"/>
  <c r="AK47"/>
  <c r="AC47"/>
  <c r="U47"/>
  <c r="I47"/>
  <c r="BG47" s="1"/>
  <c r="H47"/>
  <c r="BJ46"/>
  <c r="BI46"/>
  <c r="BG46"/>
  <c r="BE46"/>
  <c r="BD46"/>
  <c r="BC46"/>
  <c r="BC54" s="1"/>
  <c r="AU46"/>
  <c r="AU54" s="1"/>
  <c r="AP46"/>
  <c r="AI46"/>
  <c r="AI54" s="1"/>
  <c r="AH46"/>
  <c r="AH54" s="1"/>
  <c r="AF46"/>
  <c r="AF54" s="1"/>
  <c r="AC46"/>
  <c r="U46"/>
  <c r="M46"/>
  <c r="BB45"/>
  <c r="BA45"/>
  <c r="AZ45"/>
  <c r="AY45"/>
  <c r="AX45"/>
  <c r="AW45"/>
  <c r="AV45"/>
  <c r="AT45"/>
  <c r="AS45"/>
  <c r="AR45"/>
  <c r="AQ45"/>
  <c r="AO45"/>
  <c r="AL45"/>
  <c r="AJ45"/>
  <c r="AI45"/>
  <c r="AH45"/>
  <c r="AG45"/>
  <c r="AD45"/>
  <c r="AB45"/>
  <c r="AA45"/>
  <c r="Z45"/>
  <c r="Y45"/>
  <c r="X45"/>
  <c r="W45"/>
  <c r="V45"/>
  <c r="S45"/>
  <c r="Q45"/>
  <c r="P45"/>
  <c r="O45"/>
  <c r="N45"/>
  <c r="L45"/>
  <c r="G45"/>
  <c r="F45"/>
  <c r="BJ44"/>
  <c r="BI44"/>
  <c r="BH44"/>
  <c r="BG44"/>
  <c r="BF44"/>
  <c r="BE44"/>
  <c r="BD44"/>
  <c r="BK44" s="1"/>
  <c r="BC44"/>
  <c r="AU44"/>
  <c r="AP44"/>
  <c r="AK44"/>
  <c r="AC44"/>
  <c r="U44"/>
  <c r="M44"/>
  <c r="BJ43"/>
  <c r="BI43"/>
  <c r="BG43"/>
  <c r="BE43"/>
  <c r="BD43"/>
  <c r="BC43"/>
  <c r="AU43"/>
  <c r="AP43"/>
  <c r="AK43"/>
  <c r="AC43"/>
  <c r="U43"/>
  <c r="K43"/>
  <c r="K45" s="1"/>
  <c r="J43"/>
  <c r="J45" s="1"/>
  <c r="H43"/>
  <c r="BJ42"/>
  <c r="BI42"/>
  <c r="BH42"/>
  <c r="BG42"/>
  <c r="BF42"/>
  <c r="BE42"/>
  <c r="BD42"/>
  <c r="BK42" s="1"/>
  <c r="BC42"/>
  <c r="AU42"/>
  <c r="AP42"/>
  <c r="AK42"/>
  <c r="AC42"/>
  <c r="U42"/>
  <c r="M42"/>
  <c r="BJ41"/>
  <c r="BI41"/>
  <c r="BH41"/>
  <c r="BG41"/>
  <c r="BF41"/>
  <c r="BE41"/>
  <c r="BD41"/>
  <c r="BC41"/>
  <c r="AU41"/>
  <c r="AP41"/>
  <c r="AK41"/>
  <c r="AC41"/>
  <c r="U41"/>
  <c r="M41"/>
  <c r="BJ40"/>
  <c r="BF40"/>
  <c r="BD40"/>
  <c r="BC40"/>
  <c r="AU40"/>
  <c r="AP40"/>
  <c r="AN40"/>
  <c r="AN45" s="1"/>
  <c r="AM40"/>
  <c r="AM45" s="1"/>
  <c r="AE40"/>
  <c r="BE40" s="1"/>
  <c r="AC40"/>
  <c r="U40"/>
  <c r="I40"/>
  <c r="I45" s="1"/>
  <c r="BJ39"/>
  <c r="BI39"/>
  <c r="BH39"/>
  <c r="BG39"/>
  <c r="BF39"/>
  <c r="BE39"/>
  <c r="BD39"/>
  <c r="BC39"/>
  <c r="AU39"/>
  <c r="AP39"/>
  <c r="AK39"/>
  <c r="AC39"/>
  <c r="U39"/>
  <c r="M39"/>
  <c r="BI38"/>
  <c r="BG38"/>
  <c r="BF38"/>
  <c r="BE38"/>
  <c r="BD38"/>
  <c r="BC38"/>
  <c r="AU38"/>
  <c r="AP38"/>
  <c r="AK38"/>
  <c r="AC38"/>
  <c r="T38"/>
  <c r="T45" s="1"/>
  <c r="R38"/>
  <c r="BH38" s="1"/>
  <c r="M38"/>
  <c r="BJ37"/>
  <c r="BI37"/>
  <c r="BH37"/>
  <c r="BG37"/>
  <c r="BE37"/>
  <c r="BD37"/>
  <c r="BC37"/>
  <c r="AU37"/>
  <c r="AP37"/>
  <c r="AK37"/>
  <c r="AF37"/>
  <c r="AF45" s="1"/>
  <c r="AC37"/>
  <c r="U37"/>
  <c r="M37"/>
  <c r="BJ36"/>
  <c r="BI36"/>
  <c r="BH36"/>
  <c r="BG36"/>
  <c r="BE36"/>
  <c r="BD36"/>
  <c r="BC36"/>
  <c r="BC45" s="1"/>
  <c r="AU36"/>
  <c r="AU45" s="1"/>
  <c r="AP36"/>
  <c r="AK36"/>
  <c r="AC36"/>
  <c r="AC45" s="1"/>
  <c r="U36"/>
  <c r="H36"/>
  <c r="BB35"/>
  <c r="BA35"/>
  <c r="AZ35"/>
  <c r="AY35"/>
  <c r="AX35"/>
  <c r="AW35"/>
  <c r="AV35"/>
  <c r="AS35"/>
  <c r="AR35"/>
  <c r="AQ35"/>
  <c r="AO35"/>
  <c r="AN35"/>
  <c r="AM35"/>
  <c r="AL35"/>
  <c r="AJ35"/>
  <c r="AI35"/>
  <c r="AH35"/>
  <c r="AG35"/>
  <c r="AF35"/>
  <c r="AE35"/>
  <c r="AD35"/>
  <c r="AB35"/>
  <c r="AA35"/>
  <c r="Z35"/>
  <c r="Y35"/>
  <c r="X35"/>
  <c r="W35"/>
  <c r="V35"/>
  <c r="T35"/>
  <c r="S35"/>
  <c r="R35"/>
  <c r="Q35"/>
  <c r="P35"/>
  <c r="O35"/>
  <c r="N35"/>
  <c r="L35"/>
  <c r="K35"/>
  <c r="J35"/>
  <c r="I35"/>
  <c r="G35"/>
  <c r="F35"/>
  <c r="BJ34"/>
  <c r="BI34"/>
  <c r="BH34"/>
  <c r="BG34"/>
  <c r="BF34"/>
  <c r="BE34"/>
  <c r="BD34"/>
  <c r="BC34"/>
  <c r="AU34"/>
  <c r="AP34"/>
  <c r="AK34"/>
  <c r="AC34"/>
  <c r="U34"/>
  <c r="M34"/>
  <c r="BJ33"/>
  <c r="BI33"/>
  <c r="BH33"/>
  <c r="BG33"/>
  <c r="BF33"/>
  <c r="BE33"/>
  <c r="BD33"/>
  <c r="BC33"/>
  <c r="AU33"/>
  <c r="AP33"/>
  <c r="AK33"/>
  <c r="AC33"/>
  <c r="U33"/>
  <c r="M33"/>
  <c r="BI32"/>
  <c r="BH32"/>
  <c r="BG32"/>
  <c r="BE32"/>
  <c r="BD32"/>
  <c r="BC32"/>
  <c r="AT32"/>
  <c r="AT35" s="1"/>
  <c r="AP32"/>
  <c r="AK32"/>
  <c r="AC32"/>
  <c r="U32"/>
  <c r="M32"/>
  <c r="H32"/>
  <c r="H35" s="1"/>
  <c r="BJ31"/>
  <c r="BI31"/>
  <c r="BI35" s="1"/>
  <c r="BH31"/>
  <c r="BH35" s="1"/>
  <c r="BG31"/>
  <c r="BF31"/>
  <c r="BE31"/>
  <c r="BE35" s="1"/>
  <c r="BD31"/>
  <c r="BD35" s="1"/>
  <c r="BC31"/>
  <c r="AU31"/>
  <c r="AP31"/>
  <c r="AP35" s="1"/>
  <c r="AK31"/>
  <c r="AK35" s="1"/>
  <c r="AC31"/>
  <c r="U31"/>
  <c r="M31"/>
  <c r="M35" s="1"/>
  <c r="BB30"/>
  <c r="BA30"/>
  <c r="AZ30"/>
  <c r="AY30"/>
  <c r="AX30"/>
  <c r="AW30"/>
  <c r="AV30"/>
  <c r="AT30"/>
  <c r="AS30"/>
  <c r="AR30"/>
  <c r="AQ30"/>
  <c r="AO30"/>
  <c r="AN30"/>
  <c r="AM30"/>
  <c r="AL30"/>
  <c r="AJ30"/>
  <c r="AI30"/>
  <c r="AH30"/>
  <c r="AG30"/>
  <c r="AF30"/>
  <c r="AE30"/>
  <c r="AD30"/>
  <c r="AB30"/>
  <c r="AA30"/>
  <c r="Z30"/>
  <c r="Y30"/>
  <c r="X30"/>
  <c r="W30"/>
  <c r="V30"/>
  <c r="T30"/>
  <c r="S30"/>
  <c r="R30"/>
  <c r="Q30"/>
  <c r="P30"/>
  <c r="O30"/>
  <c r="N30"/>
  <c r="L30"/>
  <c r="K30"/>
  <c r="J30"/>
  <c r="I30"/>
  <c r="H30"/>
  <c r="G30"/>
  <c r="F30"/>
  <c r="BJ29"/>
  <c r="BI29"/>
  <c r="BH29"/>
  <c r="BG29"/>
  <c r="BF29"/>
  <c r="BE29"/>
  <c r="BD29"/>
  <c r="BC29"/>
  <c r="AU29"/>
  <c r="AP29"/>
  <c r="AK29"/>
  <c r="AC29"/>
  <c r="U29"/>
  <c r="M29"/>
  <c r="BJ28"/>
  <c r="BI28"/>
  <c r="BH28"/>
  <c r="BH30" s="1"/>
  <c r="BG28"/>
  <c r="BG30" s="1"/>
  <c r="BF28"/>
  <c r="BE28"/>
  <c r="BD28"/>
  <c r="BD30" s="1"/>
  <c r="BC28"/>
  <c r="BC30" s="1"/>
  <c r="AU28"/>
  <c r="AP28"/>
  <c r="AK28"/>
  <c r="AK30" s="1"/>
  <c r="AC28"/>
  <c r="AC30" s="1"/>
  <c r="U28"/>
  <c r="M28"/>
  <c r="BB27"/>
  <c r="BA27"/>
  <c r="AZ27"/>
  <c r="AY27"/>
  <c r="AX27"/>
  <c r="AW27"/>
  <c r="AV27"/>
  <c r="AT27"/>
  <c r="AS27"/>
  <c r="AR27"/>
  <c r="AQ27"/>
  <c r="AO27"/>
  <c r="AL27"/>
  <c r="AJ27"/>
  <c r="AI27"/>
  <c r="AG27"/>
  <c r="AE27"/>
  <c r="AD27"/>
  <c r="AB27"/>
  <c r="AA27"/>
  <c r="Z27"/>
  <c r="Y27"/>
  <c r="X27"/>
  <c r="W27"/>
  <c r="V27"/>
  <c r="T27"/>
  <c r="S27"/>
  <c r="R27"/>
  <c r="Q27"/>
  <c r="P27"/>
  <c r="O27"/>
  <c r="N27"/>
  <c r="L27"/>
  <c r="K27"/>
  <c r="H27"/>
  <c r="G27"/>
  <c r="F27"/>
  <c r="BJ26"/>
  <c r="BI26"/>
  <c r="BH26"/>
  <c r="BG26"/>
  <c r="BF26"/>
  <c r="BE26"/>
  <c r="BD26"/>
  <c r="BC26"/>
  <c r="AU26"/>
  <c r="AP26"/>
  <c r="AK26"/>
  <c r="AC26"/>
  <c r="U26"/>
  <c r="M26"/>
  <c r="BJ25"/>
  <c r="BI25"/>
  <c r="BH25"/>
  <c r="BG25"/>
  <c r="BF25"/>
  <c r="BE25"/>
  <c r="BD25"/>
  <c r="BK25" s="1"/>
  <c r="BC25"/>
  <c r="AU25"/>
  <c r="AP25"/>
  <c r="AK25"/>
  <c r="AH25"/>
  <c r="AH27" s="1"/>
  <c r="AC25"/>
  <c r="U25"/>
  <c r="M25"/>
  <c r="BJ24"/>
  <c r="BI24"/>
  <c r="BG24"/>
  <c r="BF24"/>
  <c r="BE24"/>
  <c r="BD24"/>
  <c r="BC24"/>
  <c r="AU24"/>
  <c r="AP24"/>
  <c r="AK24"/>
  <c r="AC24"/>
  <c r="U24"/>
  <c r="J24"/>
  <c r="J27" s="1"/>
  <c r="H24"/>
  <c r="BJ23"/>
  <c r="BI23"/>
  <c r="BE23"/>
  <c r="BD23"/>
  <c r="BC23"/>
  <c r="AU23"/>
  <c r="AU27" s="1"/>
  <c r="AP23"/>
  <c r="AN23"/>
  <c r="AM23"/>
  <c r="BH23" s="1"/>
  <c r="AF23"/>
  <c r="AF27" s="1"/>
  <c r="AC23"/>
  <c r="U23"/>
  <c r="I23"/>
  <c r="M23" s="1"/>
  <c r="BJ22"/>
  <c r="BF22"/>
  <c r="BE22"/>
  <c r="BD22"/>
  <c r="BD27" s="1"/>
  <c r="BC22"/>
  <c r="BC27" s="1"/>
  <c r="AU22"/>
  <c r="AN22"/>
  <c r="AN27" s="1"/>
  <c r="AM22"/>
  <c r="AM27" s="1"/>
  <c r="AK22"/>
  <c r="AC22"/>
  <c r="U22"/>
  <c r="I22"/>
  <c r="BG22" s="1"/>
  <c r="BB21"/>
  <c r="BA21"/>
  <c r="AZ21"/>
  <c r="AY21"/>
  <c r="AX21"/>
  <c r="AW21"/>
  <c r="AV21"/>
  <c r="AT21"/>
  <c r="AS21"/>
  <c r="AR21"/>
  <c r="AQ21"/>
  <c r="AO21"/>
  <c r="AN21"/>
  <c r="AM21"/>
  <c r="AL21"/>
  <c r="AJ21"/>
  <c r="AI21"/>
  <c r="AH21"/>
  <c r="AG21"/>
  <c r="AF21"/>
  <c r="AE21"/>
  <c r="AD21"/>
  <c r="AB21"/>
  <c r="AA21"/>
  <c r="Z21"/>
  <c r="Y21"/>
  <c r="X21"/>
  <c r="W21"/>
  <c r="V21"/>
  <c r="T21"/>
  <c r="S21"/>
  <c r="R21"/>
  <c r="Q21"/>
  <c r="P21"/>
  <c r="O21"/>
  <c r="N21"/>
  <c r="L21"/>
  <c r="I21"/>
  <c r="G21"/>
  <c r="F21"/>
  <c r="BJ20"/>
  <c r="BH20"/>
  <c r="BG20"/>
  <c r="BE20"/>
  <c r="BD20"/>
  <c r="BC20"/>
  <c r="AU20"/>
  <c r="AP20"/>
  <c r="AK20"/>
  <c r="AC20"/>
  <c r="U20"/>
  <c r="K20"/>
  <c r="K21" s="1"/>
  <c r="J20"/>
  <c r="H20"/>
  <c r="H21" s="1"/>
  <c r="BJ19"/>
  <c r="BI19"/>
  <c r="BH19"/>
  <c r="BG19"/>
  <c r="BF19"/>
  <c r="BK19" s="1"/>
  <c r="BE19"/>
  <c r="BD19"/>
  <c r="BC19"/>
  <c r="AU19"/>
  <c r="AP19"/>
  <c r="AK19"/>
  <c r="AC19"/>
  <c r="U19"/>
  <c r="M19"/>
  <c r="BJ18"/>
  <c r="BG18"/>
  <c r="BF18"/>
  <c r="BE18"/>
  <c r="BD18"/>
  <c r="BC18"/>
  <c r="AU18"/>
  <c r="AP18"/>
  <c r="AK18"/>
  <c r="AC18"/>
  <c r="U18"/>
  <c r="K18"/>
  <c r="BI18" s="1"/>
  <c r="J18"/>
  <c r="BH18" s="1"/>
  <c r="BJ17"/>
  <c r="BI17"/>
  <c r="BH17"/>
  <c r="BG17"/>
  <c r="BG21" s="1"/>
  <c r="BF17"/>
  <c r="BE17"/>
  <c r="BD17"/>
  <c r="BD21" s="1"/>
  <c r="BC17"/>
  <c r="BC21" s="1"/>
  <c r="AU17"/>
  <c r="AP17"/>
  <c r="AK17"/>
  <c r="AK21" s="1"/>
  <c r="AC17"/>
  <c r="AC21" s="1"/>
  <c r="U17"/>
  <c r="M17"/>
  <c r="BB16"/>
  <c r="BA16"/>
  <c r="BA228" s="1"/>
  <c r="AZ16"/>
  <c r="AY16"/>
  <c r="AX16"/>
  <c r="AW16"/>
  <c r="AV16"/>
  <c r="AQ16"/>
  <c r="AO16"/>
  <c r="AO228" s="1"/>
  <c r="AO230" s="1"/>
  <c r="AL16"/>
  <c r="AJ16"/>
  <c r="AG16"/>
  <c r="AG228" s="1"/>
  <c r="AG230" s="1"/>
  <c r="AE16"/>
  <c r="AD16"/>
  <c r="AB16"/>
  <c r="AA16"/>
  <c r="Z16"/>
  <c r="Y16"/>
  <c r="X16"/>
  <c r="W16"/>
  <c r="V16"/>
  <c r="Q16"/>
  <c r="P16"/>
  <c r="O16"/>
  <c r="N16"/>
  <c r="L16"/>
  <c r="K16"/>
  <c r="J16"/>
  <c r="G16"/>
  <c r="F16"/>
  <c r="BI15"/>
  <c r="BG15"/>
  <c r="BE15"/>
  <c r="BD15"/>
  <c r="BC15"/>
  <c r="AU15"/>
  <c r="AP15"/>
  <c r="AK15"/>
  <c r="AC15"/>
  <c r="T15"/>
  <c r="BJ15" s="1"/>
  <c r="R15"/>
  <c r="I15"/>
  <c r="H15"/>
  <c r="BF15" s="1"/>
  <c r="BJ14"/>
  <c r="BE14"/>
  <c r="BD14"/>
  <c r="BC14"/>
  <c r="AU14"/>
  <c r="AN14"/>
  <c r="BI14" s="1"/>
  <c r="AM14"/>
  <c r="AF14"/>
  <c r="AK14" s="1"/>
  <c r="AC14"/>
  <c r="U14"/>
  <c r="I14"/>
  <c r="BG14" s="1"/>
  <c r="H14"/>
  <c r="M14" s="1"/>
  <c r="BG13"/>
  <c r="BF13"/>
  <c r="BE13"/>
  <c r="BD13"/>
  <c r="BC13"/>
  <c r="AU13"/>
  <c r="AP13"/>
  <c r="AK13"/>
  <c r="AC13"/>
  <c r="T13"/>
  <c r="T16" s="1"/>
  <c r="S13"/>
  <c r="BI13" s="1"/>
  <c r="R13"/>
  <c r="M13"/>
  <c r="BJ12"/>
  <c r="BI12"/>
  <c r="BG12"/>
  <c r="BE12"/>
  <c r="BD12"/>
  <c r="BC12"/>
  <c r="AU12"/>
  <c r="AP12"/>
  <c r="AI12"/>
  <c r="AH12"/>
  <c r="BH12" s="1"/>
  <c r="AF12"/>
  <c r="BF12" s="1"/>
  <c r="AC12"/>
  <c r="U12"/>
  <c r="M12"/>
  <c r="BJ11"/>
  <c r="BG11"/>
  <c r="BF11"/>
  <c r="BE11"/>
  <c r="BD11"/>
  <c r="BC11"/>
  <c r="AU11"/>
  <c r="AN11"/>
  <c r="BI11" s="1"/>
  <c r="AM11"/>
  <c r="AP11" s="1"/>
  <c r="AK11"/>
  <c r="AC11"/>
  <c r="U11"/>
  <c r="M11"/>
  <c r="BJ10"/>
  <c r="BG10"/>
  <c r="BE10"/>
  <c r="BD10"/>
  <c r="BC10"/>
  <c r="AU10"/>
  <c r="AP10"/>
  <c r="AI10"/>
  <c r="AK10" s="1"/>
  <c r="AH10"/>
  <c r="BH10" s="1"/>
  <c r="AF10"/>
  <c r="BF10" s="1"/>
  <c r="AC10"/>
  <c r="U10"/>
  <c r="M10"/>
  <c r="BI9"/>
  <c r="BG9"/>
  <c r="BF9"/>
  <c r="BE9"/>
  <c r="BD9"/>
  <c r="BC9"/>
  <c r="AT9"/>
  <c r="AT16" s="1"/>
  <c r="AS9"/>
  <c r="AS16" s="1"/>
  <c r="AR9"/>
  <c r="AR16" s="1"/>
  <c r="AP9"/>
  <c r="AK9"/>
  <c r="AC9"/>
  <c r="U9"/>
  <c r="M9"/>
  <c r="BJ8"/>
  <c r="BE8"/>
  <c r="BD8"/>
  <c r="BC8"/>
  <c r="AU8"/>
  <c r="AN8"/>
  <c r="BI8" s="1"/>
  <c r="AM8"/>
  <c r="BH8" s="1"/>
  <c r="AF8"/>
  <c r="AK8" s="1"/>
  <c r="AC8"/>
  <c r="U8"/>
  <c r="I8"/>
  <c r="BG8" s="1"/>
  <c r="H8"/>
  <c r="BF8" s="1"/>
  <c r="BJ7"/>
  <c r="BE7"/>
  <c r="BD7"/>
  <c r="BC7"/>
  <c r="AU7"/>
  <c r="AN7"/>
  <c r="BI7" s="1"/>
  <c r="AM7"/>
  <c r="BH7" s="1"/>
  <c r="AF7"/>
  <c r="BF7" s="1"/>
  <c r="AC7"/>
  <c r="U7"/>
  <c r="I7"/>
  <c r="M7" s="1"/>
  <c r="BJ6"/>
  <c r="BF6"/>
  <c r="BE6"/>
  <c r="BD6"/>
  <c r="BC6"/>
  <c r="AU6"/>
  <c r="AN6"/>
  <c r="BI6" s="1"/>
  <c r="AM6"/>
  <c r="AK6"/>
  <c r="AC6"/>
  <c r="U6"/>
  <c r="I6"/>
  <c r="BG6" s="1"/>
  <c r="BJ5"/>
  <c r="BE5"/>
  <c r="BE16" s="1"/>
  <c r="BD5"/>
  <c r="BC5"/>
  <c r="AU5"/>
  <c r="AN5"/>
  <c r="AN16" s="1"/>
  <c r="AM5"/>
  <c r="BH5" s="1"/>
  <c r="AF5"/>
  <c r="AC5"/>
  <c r="U5"/>
  <c r="I5"/>
  <c r="BG5" s="1"/>
  <c r="H5"/>
  <c r="AK12" l="1"/>
  <c r="U15"/>
  <c r="AC16"/>
  <c r="BG7"/>
  <c r="BG16" s="1"/>
  <c r="U13"/>
  <c r="U16" s="1"/>
  <c r="BF14"/>
  <c r="AH16"/>
  <c r="U27"/>
  <c r="BE27"/>
  <c r="M30"/>
  <c r="AP30"/>
  <c r="BE30"/>
  <c r="BI30"/>
  <c r="U35"/>
  <c r="AU35"/>
  <c r="AU32"/>
  <c r="BK34"/>
  <c r="H45"/>
  <c r="AK45"/>
  <c r="BD45"/>
  <c r="BK39"/>
  <c r="M40"/>
  <c r="AK40"/>
  <c r="BI40"/>
  <c r="BI45" s="1"/>
  <c r="U54"/>
  <c r="BD54"/>
  <c r="AP47"/>
  <c r="BK49"/>
  <c r="AC63"/>
  <c r="AU63"/>
  <c r="BG63"/>
  <c r="BK57"/>
  <c r="BE68"/>
  <c r="AC82"/>
  <c r="BC82"/>
  <c r="BG82"/>
  <c r="H82"/>
  <c r="BK75"/>
  <c r="J82"/>
  <c r="BK80"/>
  <c r="M81"/>
  <c r="M85"/>
  <c r="AK85"/>
  <c r="AT116"/>
  <c r="AM116"/>
  <c r="BK89"/>
  <c r="AN116"/>
  <c r="BK94"/>
  <c r="U105"/>
  <c r="M108"/>
  <c r="BK112"/>
  <c r="M113"/>
  <c r="U125"/>
  <c r="AU125"/>
  <c r="BK122"/>
  <c r="BJ125"/>
  <c r="I129"/>
  <c r="BE146"/>
  <c r="BK134"/>
  <c r="BF135"/>
  <c r="BK137"/>
  <c r="BK139"/>
  <c r="BJ149"/>
  <c r="BJ153"/>
  <c r="BJ157" s="1"/>
  <c r="BK154"/>
  <c r="AU163"/>
  <c r="BJ163"/>
  <c r="M172"/>
  <c r="AP172"/>
  <c r="BE172"/>
  <c r="BI172"/>
  <c r="AK173"/>
  <c r="BD210"/>
  <c r="BH173"/>
  <c r="M174"/>
  <c r="AC183"/>
  <c r="R210"/>
  <c r="AR210"/>
  <c r="BK208"/>
  <c r="AP216"/>
  <c r="BC222"/>
  <c r="BH222"/>
  <c r="M223"/>
  <c r="BK223"/>
  <c r="BK225"/>
  <c r="M125"/>
  <c r="AP125"/>
  <c r="BE125"/>
  <c r="BI123"/>
  <c r="BI125" s="1"/>
  <c r="BK135"/>
  <c r="BF141"/>
  <c r="BG157"/>
  <c r="AU166"/>
  <c r="BC185"/>
  <c r="BK197"/>
  <c r="BK198"/>
  <c r="BK209"/>
  <c r="BD16"/>
  <c r="AP14"/>
  <c r="U21"/>
  <c r="AU21"/>
  <c r="BH22"/>
  <c r="BK26"/>
  <c r="BK33"/>
  <c r="M43"/>
  <c r="BG54"/>
  <c r="BF51"/>
  <c r="BJ63"/>
  <c r="BK56"/>
  <c r="BK67"/>
  <c r="BE82"/>
  <c r="BI82"/>
  <c r="BK79"/>
  <c r="M92"/>
  <c r="AU96"/>
  <c r="BK96"/>
  <c r="U97"/>
  <c r="BK105"/>
  <c r="M110"/>
  <c r="BK124"/>
  <c r="AK146"/>
  <c r="BK136"/>
  <c r="BH143"/>
  <c r="AA146"/>
  <c r="BK147"/>
  <c r="BJ166"/>
  <c r="BK161"/>
  <c r="BG174"/>
  <c r="BG210" s="1"/>
  <c r="M176"/>
  <c r="BH185"/>
  <c r="BK188"/>
  <c r="BK201"/>
  <c r="BK203"/>
  <c r="BK205"/>
  <c r="BC226"/>
  <c r="BG226"/>
  <c r="AP214"/>
  <c r="BG220"/>
  <c r="BE222"/>
  <c r="BK222" s="1"/>
  <c r="AM16"/>
  <c r="AP6"/>
  <c r="BJ13"/>
  <c r="BJ21"/>
  <c r="H16"/>
  <c r="AF16"/>
  <c r="BC16"/>
  <c r="R16"/>
  <c r="M15"/>
  <c r="L228"/>
  <c r="L230" s="1"/>
  <c r="Y228"/>
  <c r="Y230" s="1"/>
  <c r="BE21"/>
  <c r="M18"/>
  <c r="AP21"/>
  <c r="J21"/>
  <c r="AC27"/>
  <c r="U30"/>
  <c r="AU30"/>
  <c r="BF30"/>
  <c r="BJ30"/>
  <c r="BK29"/>
  <c r="AC35"/>
  <c r="BC35"/>
  <c r="BG35"/>
  <c r="M36"/>
  <c r="AP45"/>
  <c r="BK41"/>
  <c r="AC54"/>
  <c r="BE54"/>
  <c r="H54"/>
  <c r="BH47"/>
  <c r="BC63"/>
  <c r="AK60"/>
  <c r="U68"/>
  <c r="AU68"/>
  <c r="BF68"/>
  <c r="BJ68"/>
  <c r="AC71"/>
  <c r="AC72" s="1"/>
  <c r="BD82"/>
  <c r="M77"/>
  <c r="BE116"/>
  <c r="BH86"/>
  <c r="AK87"/>
  <c r="BH87"/>
  <c r="BK87" s="1"/>
  <c r="M91"/>
  <c r="R116"/>
  <c r="U95"/>
  <c r="BF102"/>
  <c r="AK104"/>
  <c r="BI109"/>
  <c r="BK115"/>
  <c r="U118"/>
  <c r="U121" s="1"/>
  <c r="BK120"/>
  <c r="AC125"/>
  <c r="BC125"/>
  <c r="BG125"/>
  <c r="AT146"/>
  <c r="AK132"/>
  <c r="M145"/>
  <c r="AK157"/>
  <c r="AP166"/>
  <c r="BE166"/>
  <c r="AK159"/>
  <c r="BH159"/>
  <c r="BK159" s="1"/>
  <c r="BI160"/>
  <c r="AK162"/>
  <c r="H166"/>
  <c r="BF172"/>
  <c r="AH172"/>
  <c r="AU172"/>
  <c r="BE210"/>
  <c r="BK182"/>
  <c r="M185"/>
  <c r="BE185"/>
  <c r="BK190"/>
  <c r="BK204"/>
  <c r="AU226"/>
  <c r="M219"/>
  <c r="AP220"/>
  <c r="S226"/>
  <c r="BK229"/>
  <c r="BK12"/>
  <c r="BK6"/>
  <c r="BH21"/>
  <c r="BK8"/>
  <c r="AF228"/>
  <c r="AF230" s="1"/>
  <c r="BK7"/>
  <c r="BK11"/>
  <c r="BK18"/>
  <c r="M5"/>
  <c r="AK5"/>
  <c r="BF5"/>
  <c r="BF16" s="1"/>
  <c r="BH6"/>
  <c r="AP7"/>
  <c r="AP8"/>
  <c r="BI10"/>
  <c r="BK10" s="1"/>
  <c r="BH11"/>
  <c r="BH13"/>
  <c r="BK13" s="1"/>
  <c r="BH14"/>
  <c r="BK14" s="1"/>
  <c r="O228"/>
  <c r="O230" s="1"/>
  <c r="S16"/>
  <c r="W228"/>
  <c r="W230" s="1"/>
  <c r="AI16"/>
  <c r="AQ228"/>
  <c r="AQ230" s="1"/>
  <c r="AY228"/>
  <c r="BF20"/>
  <c r="BF21" s="1"/>
  <c r="BJ27"/>
  <c r="BG23"/>
  <c r="BG27" s="1"/>
  <c r="I27"/>
  <c r="BK51"/>
  <c r="BK77"/>
  <c r="BK192"/>
  <c r="I16"/>
  <c r="AP5"/>
  <c r="BI5"/>
  <c r="BI16" s="1"/>
  <c r="M6"/>
  <c r="AU9"/>
  <c r="AU16" s="1"/>
  <c r="BJ9"/>
  <c r="BJ16" s="1"/>
  <c r="BH15"/>
  <c r="BK15" s="1"/>
  <c r="F228"/>
  <c r="F230" s="1"/>
  <c r="N228"/>
  <c r="N230" s="1"/>
  <c r="V228"/>
  <c r="V230" s="1"/>
  <c r="AD228"/>
  <c r="AD230" s="1"/>
  <c r="AL228"/>
  <c r="AL230" s="1"/>
  <c r="BB228"/>
  <c r="BK17"/>
  <c r="M20"/>
  <c r="M21" s="1"/>
  <c r="BI20"/>
  <c r="BK20" s="1"/>
  <c r="AP22"/>
  <c r="AP27" s="1"/>
  <c r="BI22"/>
  <c r="BI27" s="1"/>
  <c r="AK23"/>
  <c r="AK27" s="1"/>
  <c r="BF23"/>
  <c r="M24"/>
  <c r="BK81"/>
  <c r="BK100"/>
  <c r="M146"/>
  <c r="BK186"/>
  <c r="BK206"/>
  <c r="AK226"/>
  <c r="BA230"/>
  <c r="BK53"/>
  <c r="BK78"/>
  <c r="BH24"/>
  <c r="BH27" s="1"/>
  <c r="BK5"/>
  <c r="AK7"/>
  <c r="M8"/>
  <c r="BH9"/>
  <c r="BK9" s="1"/>
  <c r="P228"/>
  <c r="P230" s="1"/>
  <c r="X228"/>
  <c r="X230" s="1"/>
  <c r="AJ228"/>
  <c r="AJ230" s="1"/>
  <c r="AV228"/>
  <c r="AZ228"/>
  <c r="M22"/>
  <c r="M27" s="1"/>
  <c r="M45"/>
  <c r="BE45"/>
  <c r="BK60"/>
  <c r="BK91"/>
  <c r="BK106"/>
  <c r="BK169"/>
  <c r="BK220"/>
  <c r="T121"/>
  <c r="BJ118"/>
  <c r="BJ121" s="1"/>
  <c r="AR146"/>
  <c r="BH131"/>
  <c r="BK131" s="1"/>
  <c r="R172"/>
  <c r="BH171"/>
  <c r="BF193"/>
  <c r="M193"/>
  <c r="U38"/>
  <c r="U45" s="1"/>
  <c r="BJ38"/>
  <c r="BK38" s="1"/>
  <c r="BH40"/>
  <c r="BH43"/>
  <c r="AE45"/>
  <c r="AE228" s="1"/>
  <c r="AE230" s="1"/>
  <c r="BF47"/>
  <c r="AA54"/>
  <c r="AA228" s="1"/>
  <c r="AA230" s="1"/>
  <c r="BF55"/>
  <c r="BK55" s="1"/>
  <c r="J63"/>
  <c r="AH63"/>
  <c r="BK64"/>
  <c r="BH66"/>
  <c r="BH68" s="1"/>
  <c r="AM68"/>
  <c r="BJ71"/>
  <c r="BJ72" s="1"/>
  <c r="BD72"/>
  <c r="M74"/>
  <c r="M82" s="1"/>
  <c r="BH76"/>
  <c r="BH82" s="1"/>
  <c r="K82"/>
  <c r="AI82"/>
  <c r="BH83"/>
  <c r="BH84" s="1"/>
  <c r="AU85"/>
  <c r="BH85"/>
  <c r="AP86"/>
  <c r="BI92"/>
  <c r="BI116" s="1"/>
  <c r="M93"/>
  <c r="U93"/>
  <c r="BK95"/>
  <c r="BK98"/>
  <c r="BF99"/>
  <c r="BK99" s="1"/>
  <c r="AP100"/>
  <c r="AP102"/>
  <c r="BK107"/>
  <c r="AI116"/>
  <c r="AR116"/>
  <c r="AW116"/>
  <c r="AW228" s="1"/>
  <c r="BF119"/>
  <c r="BF121" s="1"/>
  <c r="BH126"/>
  <c r="BH127" s="1"/>
  <c r="J127"/>
  <c r="BK133"/>
  <c r="AU137"/>
  <c r="BH142"/>
  <c r="BK144"/>
  <c r="I146"/>
  <c r="Q146"/>
  <c r="Q228" s="1"/>
  <c r="Q230" s="1"/>
  <c r="U153"/>
  <c r="U157" s="1"/>
  <c r="M156"/>
  <c r="BI156"/>
  <c r="BI157" s="1"/>
  <c r="M158"/>
  <c r="M166" s="1"/>
  <c r="AC160"/>
  <c r="AC166" s="1"/>
  <c r="BF164"/>
  <c r="BF166" s="1"/>
  <c r="AC165"/>
  <c r="Z166"/>
  <c r="AI166"/>
  <c r="AR166"/>
  <c r="AK168"/>
  <c r="BH168"/>
  <c r="BK168" s="1"/>
  <c r="BK173"/>
  <c r="BC174"/>
  <c r="BC210" s="1"/>
  <c r="M177"/>
  <c r="AP177"/>
  <c r="BH177"/>
  <c r="AP180"/>
  <c r="BJ181"/>
  <c r="BJ210" s="1"/>
  <c r="AP184"/>
  <c r="M191"/>
  <c r="BF191"/>
  <c r="BK191" s="1"/>
  <c r="M192"/>
  <c r="BH193"/>
  <c r="M194"/>
  <c r="BI200"/>
  <c r="BK200" s="1"/>
  <c r="M206"/>
  <c r="U206"/>
  <c r="K210"/>
  <c r="T210"/>
  <c r="AM210"/>
  <c r="U211"/>
  <c r="U212" s="1"/>
  <c r="BJ226"/>
  <c r="BH214"/>
  <c r="BF217"/>
  <c r="BK217" s="1"/>
  <c r="BH218"/>
  <c r="BK218" s="1"/>
  <c r="BK221"/>
  <c r="AK224"/>
  <c r="BH224"/>
  <c r="BK224" s="1"/>
  <c r="H226"/>
  <c r="AM226"/>
  <c r="BG86"/>
  <c r="M86"/>
  <c r="J116"/>
  <c r="BH88"/>
  <c r="BD121"/>
  <c r="BK117"/>
  <c r="AS166"/>
  <c r="BI163"/>
  <c r="BI189"/>
  <c r="BK189" s="1"/>
  <c r="AP189"/>
  <c r="J226"/>
  <c r="M213"/>
  <c r="BK28"/>
  <c r="BK30" s="1"/>
  <c r="BK31"/>
  <c r="BF32"/>
  <c r="BK32" s="1"/>
  <c r="BJ32"/>
  <c r="BJ35" s="1"/>
  <c r="BF36"/>
  <c r="BF37"/>
  <c r="BK37" s="1"/>
  <c r="BG40"/>
  <c r="BK40" s="1"/>
  <c r="R45"/>
  <c r="AK46"/>
  <c r="AK54" s="1"/>
  <c r="BH46"/>
  <c r="BH54" s="1"/>
  <c r="BI47"/>
  <c r="BI54" s="1"/>
  <c r="BF50"/>
  <c r="BK50" s="1"/>
  <c r="J54"/>
  <c r="J228" s="1"/>
  <c r="J230" s="1"/>
  <c r="AP65"/>
  <c r="AP68" s="1"/>
  <c r="BI65"/>
  <c r="BK65" s="1"/>
  <c r="M66"/>
  <c r="M68" s="1"/>
  <c r="BG66"/>
  <c r="BG68" s="1"/>
  <c r="BK69"/>
  <c r="BK70" s="1"/>
  <c r="AH82"/>
  <c r="BG85"/>
  <c r="BK86"/>
  <c r="AK91"/>
  <c r="BJ93"/>
  <c r="BK102"/>
  <c r="M103"/>
  <c r="AU103"/>
  <c r="BK104"/>
  <c r="AP106"/>
  <c r="BJ109"/>
  <c r="BF110"/>
  <c r="BK110" s="1"/>
  <c r="AP114"/>
  <c r="K116"/>
  <c r="AH121"/>
  <c r="BF125"/>
  <c r="BK128"/>
  <c r="BK129" s="1"/>
  <c r="AU131"/>
  <c r="BF140"/>
  <c r="BF146" s="1"/>
  <c r="BK141"/>
  <c r="AC142"/>
  <c r="AC146" s="1"/>
  <c r="U143"/>
  <c r="BJ143"/>
  <c r="AH146"/>
  <c r="BG148"/>
  <c r="BG149" s="1"/>
  <c r="BF152"/>
  <c r="BF157" s="1"/>
  <c r="BK155"/>
  <c r="BH156"/>
  <c r="BK156" s="1"/>
  <c r="S157"/>
  <c r="BI158"/>
  <c r="BI166" s="1"/>
  <c r="BK160"/>
  <c r="BH163"/>
  <c r="BK163" s="1"/>
  <c r="BH165"/>
  <c r="BK165" s="1"/>
  <c r="BD166"/>
  <c r="BK167"/>
  <c r="U171"/>
  <c r="U172" s="1"/>
  <c r="AI172"/>
  <c r="BF174"/>
  <c r="BK174" s="1"/>
  <c r="BF176"/>
  <c r="BK176" s="1"/>
  <c r="BI183"/>
  <c r="BH196"/>
  <c r="BK196" s="1"/>
  <c r="BI202"/>
  <c r="BK202" s="1"/>
  <c r="AC207"/>
  <c r="AC210" s="1"/>
  <c r="J210"/>
  <c r="S210"/>
  <c r="AB210"/>
  <c r="BJ211"/>
  <c r="BJ212" s="1"/>
  <c r="BH213"/>
  <c r="BK215"/>
  <c r="M220"/>
  <c r="G226"/>
  <c r="G228" s="1"/>
  <c r="G230" s="1"/>
  <c r="P226"/>
  <c r="AX116"/>
  <c r="AX228" s="1"/>
  <c r="BC102"/>
  <c r="BC116" s="1"/>
  <c r="Z116"/>
  <c r="Z228" s="1"/>
  <c r="Z230" s="1"/>
  <c r="AC109"/>
  <c r="AC116" s="1"/>
  <c r="BF43"/>
  <c r="BK43" s="1"/>
  <c r="AP50"/>
  <c r="AP54" s="1"/>
  <c r="BJ52"/>
  <c r="BK52" s="1"/>
  <c r="M53"/>
  <c r="I54"/>
  <c r="AK55"/>
  <c r="AK63" s="1"/>
  <c r="BF58"/>
  <c r="BK58" s="1"/>
  <c r="BF59"/>
  <c r="BK59" s="1"/>
  <c r="M61"/>
  <c r="M63" s="1"/>
  <c r="BI61"/>
  <c r="BK61" s="1"/>
  <c r="H63"/>
  <c r="BD63"/>
  <c r="BK73"/>
  <c r="BF76"/>
  <c r="BK76" s="1"/>
  <c r="BF83"/>
  <c r="BF84" s="1"/>
  <c r="BF85"/>
  <c r="BF88"/>
  <c r="BK88" s="1"/>
  <c r="BF92"/>
  <c r="BK92" s="1"/>
  <c r="BK93"/>
  <c r="BI93"/>
  <c r="BH97"/>
  <c r="BK97" s="1"/>
  <c r="BH113"/>
  <c r="BK113" s="1"/>
  <c r="BK114"/>
  <c r="BH118"/>
  <c r="BK118" s="1"/>
  <c r="AK119"/>
  <c r="AK121" s="1"/>
  <c r="BK123"/>
  <c r="BK125" s="1"/>
  <c r="BK130"/>
  <c r="BJ131"/>
  <c r="AU133"/>
  <c r="BI143"/>
  <c r="U144"/>
  <c r="AM149"/>
  <c r="BD149"/>
  <c r="M152"/>
  <c r="BH153"/>
  <c r="BK153" s="1"/>
  <c r="BH158"/>
  <c r="BK162"/>
  <c r="AK164"/>
  <c r="AK166" s="1"/>
  <c r="AB166"/>
  <c r="BJ172"/>
  <c r="BJ171"/>
  <c r="U210"/>
  <c r="AP176"/>
  <c r="M180"/>
  <c r="M210" s="1"/>
  <c r="BK181"/>
  <c r="BH183"/>
  <c r="BK183" s="1"/>
  <c r="BI185"/>
  <c r="BK185" s="1"/>
  <c r="AK197"/>
  <c r="AK210" s="1"/>
  <c r="BK207"/>
  <c r="BH207"/>
  <c r="AA210"/>
  <c r="AT210"/>
  <c r="AT228" s="1"/>
  <c r="AT230" s="1"/>
  <c r="BK216"/>
  <c r="AP217"/>
  <c r="AP226" s="1"/>
  <c r="BH217"/>
  <c r="BK219"/>
  <c r="K226"/>
  <c r="T226"/>
  <c r="K84"/>
  <c r="BI83"/>
  <c r="BI84" s="1"/>
  <c r="BH90"/>
  <c r="BK90" s="1"/>
  <c r="AK90"/>
  <c r="BG114"/>
  <c r="M114"/>
  <c r="S151"/>
  <c r="BI150"/>
  <c r="BI151" s="1"/>
  <c r="BD157"/>
  <c r="BK152"/>
  <c r="BF46"/>
  <c r="BF54" s="1"/>
  <c r="M47"/>
  <c r="M54" s="1"/>
  <c r="BF74"/>
  <c r="BK74" s="1"/>
  <c r="AK78"/>
  <c r="AK82" s="1"/>
  <c r="H84"/>
  <c r="BJ85"/>
  <c r="BF86"/>
  <c r="AP92"/>
  <c r="BK101"/>
  <c r="BK103"/>
  <c r="M106"/>
  <c r="AK108"/>
  <c r="BK109"/>
  <c r="BH109"/>
  <c r="AS116"/>
  <c r="R121"/>
  <c r="BI126"/>
  <c r="BI127" s="1"/>
  <c r="BK132"/>
  <c r="BI140"/>
  <c r="BJ142"/>
  <c r="BG145"/>
  <c r="BG146" s="1"/>
  <c r="AP148"/>
  <c r="AP149" s="1"/>
  <c r="U166"/>
  <c r="AK169"/>
  <c r="BI210"/>
  <c r="AP174"/>
  <c r="BK179"/>
  <c r="BF184"/>
  <c r="BK184" s="1"/>
  <c r="AK186"/>
  <c r="U193"/>
  <c r="M196"/>
  <c r="AU196"/>
  <c r="AU210" s="1"/>
  <c r="AI210"/>
  <c r="AN210"/>
  <c r="AN228" s="1"/>
  <c r="AN230" s="1"/>
  <c r="BF226"/>
  <c r="BK213"/>
  <c r="BI214"/>
  <c r="BI226" s="1"/>
  <c r="U222"/>
  <c r="U226" s="1"/>
  <c r="BH211"/>
  <c r="BH212" s="1"/>
  <c r="AK116" l="1"/>
  <c r="AP210"/>
  <c r="BI146"/>
  <c r="AS228"/>
  <c r="AS230" s="1"/>
  <c r="AB228"/>
  <c r="AB230" s="1"/>
  <c r="BD228"/>
  <c r="BD230" s="1"/>
  <c r="AC228"/>
  <c r="AC230" s="1"/>
  <c r="BK150"/>
  <c r="BK151" s="1"/>
  <c r="U146"/>
  <c r="AU146"/>
  <c r="BG116"/>
  <c r="R228"/>
  <c r="R230" s="1"/>
  <c r="AR228"/>
  <c r="AR230" s="1"/>
  <c r="U116"/>
  <c r="U228" s="1"/>
  <c r="U230" s="1"/>
  <c r="K228"/>
  <c r="K230" s="1"/>
  <c r="AH228"/>
  <c r="AH230" s="1"/>
  <c r="BK47"/>
  <c r="BK171"/>
  <c r="BK172" s="1"/>
  <c r="BK22"/>
  <c r="BK143"/>
  <c r="AK172"/>
  <c r="AP116"/>
  <c r="BH45"/>
  <c r="BK193"/>
  <c r="BE226"/>
  <c r="M116"/>
  <c r="BE228"/>
  <c r="BE230" s="1"/>
  <c r="BH172"/>
  <c r="H228"/>
  <c r="H230" s="1"/>
  <c r="BH210"/>
  <c r="BH146"/>
  <c r="AM228"/>
  <c r="AM230" s="1"/>
  <c r="T228"/>
  <c r="T230" s="1"/>
  <c r="BK119"/>
  <c r="BK121" s="1"/>
  <c r="BK23"/>
  <c r="BH16"/>
  <c r="AW230"/>
  <c r="BC228"/>
  <c r="BC230" s="1"/>
  <c r="BK63"/>
  <c r="AX230"/>
  <c r="BK157"/>
  <c r="BJ146"/>
  <c r="BK46"/>
  <c r="BK54" s="1"/>
  <c r="BJ116"/>
  <c r="BH166"/>
  <c r="BK140"/>
  <c r="M157"/>
  <c r="BH226"/>
  <c r="M226"/>
  <c r="AU116"/>
  <c r="AU228" s="1"/>
  <c r="AU230" s="1"/>
  <c r="BK177"/>
  <c r="BK210" s="1"/>
  <c r="BK27"/>
  <c r="BF210"/>
  <c r="BK71"/>
  <c r="BK72" s="1"/>
  <c r="BG45"/>
  <c r="BG228" s="1"/>
  <c r="BG230" s="1"/>
  <c r="BK66"/>
  <c r="BK68" s="1"/>
  <c r="BK21"/>
  <c r="AP16"/>
  <c r="BK158"/>
  <c r="M16"/>
  <c r="M228" s="1"/>
  <c r="M230" s="1"/>
  <c r="BK24"/>
  <c r="AV230"/>
  <c r="BK83"/>
  <c r="BK84" s="1"/>
  <c r="BK126"/>
  <c r="BK127" s="1"/>
  <c r="BF45"/>
  <c r="BK211"/>
  <c r="BK212" s="1"/>
  <c r="BH116"/>
  <c r="BI63"/>
  <c r="BK16"/>
  <c r="BK142"/>
  <c r="BK146" s="1"/>
  <c r="BF82"/>
  <c r="BK145"/>
  <c r="BJ54"/>
  <c r="BF35"/>
  <c r="BF228" s="1"/>
  <c r="BF230" s="1"/>
  <c r="BF27"/>
  <c r="AI228"/>
  <c r="AI230" s="1"/>
  <c r="S228"/>
  <c r="S230" s="1"/>
  <c r="AK16"/>
  <c r="AK228" s="1"/>
  <c r="AK230" s="1"/>
  <c r="BI21"/>
  <c r="BF116"/>
  <c r="BK85"/>
  <c r="BK116" s="1"/>
  <c r="AZ230"/>
  <c r="BH157"/>
  <c r="BH121"/>
  <c r="BK35"/>
  <c r="BK214"/>
  <c r="BK226" s="1"/>
  <c r="BK164"/>
  <c r="BK148"/>
  <c r="BK149" s="1"/>
  <c r="BI68"/>
  <c r="BB230"/>
  <c r="AY230"/>
  <c r="BK82"/>
  <c r="BF63"/>
  <c r="BK36"/>
  <c r="BK45" s="1"/>
  <c r="BJ45"/>
  <c r="I228"/>
  <c r="I230" s="1"/>
  <c r="BH228" l="1"/>
  <c r="BH230" s="1"/>
  <c r="BI228"/>
  <c r="BI230" s="1"/>
  <c r="AP228"/>
  <c r="AP230" s="1"/>
  <c r="BJ228"/>
  <c r="BJ230" s="1"/>
  <c r="BK166"/>
  <c r="BK228"/>
  <c r="BK230" s="1"/>
</calcChain>
</file>

<file path=xl/sharedStrings.xml><?xml version="1.0" encoding="utf-8"?>
<sst xmlns="http://schemas.openxmlformats.org/spreadsheetml/2006/main" count="714" uniqueCount="426">
  <si>
    <t>Fund Relesed Detail as Scheme, Dist., State, Year &amp; RO wise from 2015-16 to 2021-22 (till31.03.2022)</t>
  </si>
  <si>
    <t>Registered Organisations (Dist. &amp; State wise)</t>
  </si>
  <si>
    <t>Schemes &amp; Years</t>
  </si>
  <si>
    <t>Year wise Total</t>
  </si>
  <si>
    <t>States</t>
  </si>
  <si>
    <t>Sl. No.</t>
  </si>
  <si>
    <t>Registered Organisation</t>
  </si>
  <si>
    <t>District</t>
  </si>
  <si>
    <t>State</t>
  </si>
  <si>
    <t xml:space="preserve">DISHA SCHEME </t>
  </si>
  <si>
    <t>GHARAUNDA SCHEME</t>
  </si>
  <si>
    <t>SAMARTH SCHEME</t>
  </si>
  <si>
    <t>VIKAAS SCHEME</t>
  </si>
  <si>
    <t xml:space="preserve">DISHA-CUM-VIKAAS SCHEME </t>
  </si>
  <si>
    <t>SAMARTH-CUM-GHARAUNDA SCHEME</t>
  </si>
  <si>
    <t>SAHYOGI SCHEME</t>
  </si>
  <si>
    <t>GRAND TOTAL</t>
  </si>
  <si>
    <t>2015-16</t>
  </si>
  <si>
    <t>2016-17</t>
  </si>
  <si>
    <t>2017-18</t>
  </si>
  <si>
    <t>2018-19</t>
  </si>
  <si>
    <t>2019-20</t>
  </si>
  <si>
    <t>2020-21</t>
  </si>
  <si>
    <t>2021-22</t>
  </si>
  <si>
    <t>Total</t>
  </si>
  <si>
    <t xml:space="preserve">2018-19 </t>
  </si>
  <si>
    <t>Grand Total</t>
  </si>
  <si>
    <t>Andhra Pradesh</t>
  </si>
  <si>
    <t>Kasinadhuni Durgamba Butchaiah Trust</t>
  </si>
  <si>
    <t>Krishna</t>
  </si>
  <si>
    <t>Prabhata Sindhuri Educational Society</t>
  </si>
  <si>
    <t>Guntur</t>
  </si>
  <si>
    <t>Sirisha Rehabilitation Centre</t>
  </si>
  <si>
    <t>Sreya Foundation</t>
  </si>
  <si>
    <t>Visakhapatnam</t>
  </si>
  <si>
    <t>Sri Dakshinya Bhava Samithi</t>
  </si>
  <si>
    <t>Sunlight Educational Society</t>
  </si>
  <si>
    <t>Srikakulam</t>
  </si>
  <si>
    <t>Tadepallis Satya Sai Cheyutha Society</t>
  </si>
  <si>
    <t>Vijayawada</t>
  </si>
  <si>
    <t>Assisi Health Care Society</t>
  </si>
  <si>
    <t>Uma Educational and Technical Society</t>
  </si>
  <si>
    <t>Chittoor</t>
  </si>
  <si>
    <t>Vasantha Lakshmi Charitable Trust and Research Center</t>
  </si>
  <si>
    <t>Nellore</t>
  </si>
  <si>
    <t>Velugu</t>
  </si>
  <si>
    <t>Chittor</t>
  </si>
  <si>
    <t>Total of Andhra Pradesh</t>
  </si>
  <si>
    <t>Assam</t>
  </si>
  <si>
    <t>Deshbandhu Club</t>
  </si>
  <si>
    <t>Cachar</t>
  </si>
  <si>
    <t>Mrinaljyoti Rehabilitation Centre</t>
  </si>
  <si>
    <t>Dibrugarh</t>
  </si>
  <si>
    <t>Sahayika Sishu Niradeshan Kendra</t>
  </si>
  <si>
    <t>Guwahati</t>
  </si>
  <si>
    <t>Prerona Pratibandhi Sishu Bikash Kendra</t>
  </si>
  <si>
    <t>Jorhat</t>
  </si>
  <si>
    <t>Total of Assam</t>
  </si>
  <si>
    <t>Bihar</t>
  </si>
  <si>
    <t>Aarogyaa Foundation for Health Promotion and Community Based Rehabilitation</t>
  </si>
  <si>
    <t>Sitamarhi</t>
  </si>
  <si>
    <t>Aastha Charitable and Welfare Society</t>
  </si>
  <si>
    <t>Patna</t>
  </si>
  <si>
    <t>Koshi Kshetriya Biklang Bidhwa Bridh Kalyan Samiti</t>
  </si>
  <si>
    <t xml:space="preserve">Saharsa </t>
  </si>
  <si>
    <t>Shama Vikas Samiti</t>
  </si>
  <si>
    <t>Nalanda</t>
  </si>
  <si>
    <t>Tapovan Bahuviklang Punarvas Sansthan</t>
  </si>
  <si>
    <t>West Champaran</t>
  </si>
  <si>
    <t>Total of Bihar</t>
  </si>
  <si>
    <t>Chandigarh</t>
  </si>
  <si>
    <t>Indian National Portage Association</t>
  </si>
  <si>
    <t>ChandIgarh</t>
  </si>
  <si>
    <t>National Association for the Blind Chandigarh and Punjab branch</t>
  </si>
  <si>
    <t>Total of Chandigarh</t>
  </si>
  <si>
    <t>Chhatisgarh</t>
  </si>
  <si>
    <t>Kopal Vani Child Welfare Organization</t>
  </si>
  <si>
    <t>Raipur</t>
  </si>
  <si>
    <t>Chattisgarh</t>
  </si>
  <si>
    <t>SHANTI MAITRI GRAMIN VIKAS SANSTHAN</t>
  </si>
  <si>
    <t>Dhamatipur</t>
  </si>
  <si>
    <t>UNNAYAK SEVA SAMITI</t>
  </si>
  <si>
    <t>Raigarh</t>
  </si>
  <si>
    <t>State Govt. of Chhatisgarh</t>
  </si>
  <si>
    <t>Total of Chattisgarh</t>
  </si>
  <si>
    <t>Delhi</t>
  </si>
  <si>
    <t>Akshya Pratisthan</t>
  </si>
  <si>
    <t>Association for Advancement and Rehabilitation of Handicapped</t>
  </si>
  <si>
    <t>Cheshire Homes India Delhi Unit</t>
  </si>
  <si>
    <t>Family Of Shiridi Sai Baba</t>
  </si>
  <si>
    <t>South Delhi</t>
  </si>
  <si>
    <t>Manovikas Charitable Society</t>
  </si>
  <si>
    <t>East Delhi</t>
  </si>
  <si>
    <t>Parents Association for the Welfare of Children with Mental Handicap/ Muskaan</t>
  </si>
  <si>
    <t>Samadhan</t>
  </si>
  <si>
    <t>Viklang Sahara Samiti Delhi</t>
  </si>
  <si>
    <t>Total of Delhi</t>
  </si>
  <si>
    <t>Gujarat</t>
  </si>
  <si>
    <t>Ankur Special School For Mentally Retarded Children</t>
  </si>
  <si>
    <t>Bhavnagar</t>
  </si>
  <si>
    <t>Ashirwad Trust for Disabled OR Ashirwad Viklang Trust</t>
  </si>
  <si>
    <t>Surendranagar</t>
  </si>
  <si>
    <t>Blind Peoples Association (India)</t>
  </si>
  <si>
    <t>Vastrapur</t>
  </si>
  <si>
    <t>Blind Welfare Council</t>
  </si>
  <si>
    <t>Dahod</t>
  </si>
  <si>
    <t>JEEVANDEEP HEALTH EDUCATION AND CHARITABLE TRUST KODINAR</t>
  </si>
  <si>
    <t>Kodinar</t>
  </si>
  <si>
    <t>KHODIYAR EDUCATION TRUST, MEHSANA</t>
  </si>
  <si>
    <t>Mehsana</t>
  </si>
  <si>
    <t>Samprat Education and Charitable Trust-Junagarh</t>
  </si>
  <si>
    <t xml:space="preserve">Junagadh </t>
  </si>
  <si>
    <t>Smt. Parsanben Narandas Ramji Shah(Talajawala) Society for Relief &amp; Rehabilitation of the Disabled</t>
  </si>
  <si>
    <t>Total of Gujarat</t>
  </si>
  <si>
    <t>Haryana</t>
  </si>
  <si>
    <t>Adarsh Para Medical Welfare Association</t>
  </si>
  <si>
    <t>Bhiwani</t>
  </si>
  <si>
    <t>Asha Kiran Special School</t>
  </si>
  <si>
    <t>Jharjhar</t>
  </si>
  <si>
    <t>Disha Sirsa</t>
  </si>
  <si>
    <t>Sirsa</t>
  </si>
  <si>
    <t>Modern Education Society</t>
  </si>
  <si>
    <t>Sonipat</t>
  </si>
  <si>
    <t>Nav Disha Education &amp; Welfare Society</t>
  </si>
  <si>
    <t>Gurgaon</t>
  </si>
  <si>
    <t>Nav Prerna</t>
  </si>
  <si>
    <t>Rewari</t>
  </si>
  <si>
    <t>Tapan Rehabilitation Society</t>
  </si>
  <si>
    <t>Karnal</t>
  </si>
  <si>
    <t>Umeed Society Rehabilitation Institute for the Intellectual and Developmental Disability</t>
  </si>
  <si>
    <t>Ambala</t>
  </si>
  <si>
    <t>Total of Haryana</t>
  </si>
  <si>
    <t>Himachal Pradesh</t>
  </si>
  <si>
    <t>CHETNA BILASPUR HIMACHAL PRADESH</t>
  </si>
  <si>
    <t>Bilaspur</t>
  </si>
  <si>
    <t>Ganpati Educational Society</t>
  </si>
  <si>
    <t>Solan</t>
  </si>
  <si>
    <t>Himachal Praeesh</t>
  </si>
  <si>
    <t>Sakar Society For Differently Abled Persons</t>
  </si>
  <si>
    <t>Mandi</t>
  </si>
  <si>
    <t>Udaan Parents and Guardians Society of Mentally Challenged Children</t>
  </si>
  <si>
    <t>Shimla</t>
  </si>
  <si>
    <t>Total of Himachal Pradesh</t>
  </si>
  <si>
    <t>Jammu &amp; Kashmir</t>
  </si>
  <si>
    <t>Muskan Fiundation</t>
  </si>
  <si>
    <t>Total of Jammu &amp; Kashmir</t>
  </si>
  <si>
    <t>Jharkhand</t>
  </si>
  <si>
    <t>Jeevan</t>
  </si>
  <si>
    <t>Dhanbad</t>
  </si>
  <si>
    <t>Total of Jharkhand</t>
  </si>
  <si>
    <t>Karnataka</t>
  </si>
  <si>
    <t>Ashadeepa Angavikalara Sarva Abhiwruddhi Seva Samsthe</t>
  </si>
  <si>
    <t>Bagalkot</t>
  </si>
  <si>
    <t>Dharithree Trust</t>
  </si>
  <si>
    <t>Bangalore</t>
  </si>
  <si>
    <t>Manju Education Society</t>
  </si>
  <si>
    <t>Gadag</t>
  </si>
  <si>
    <t>Pragna Trust</t>
  </si>
  <si>
    <t>Chikkaballapur</t>
  </si>
  <si>
    <t>Samuha</t>
  </si>
  <si>
    <t>Kopal</t>
  </si>
  <si>
    <t>Seva-In-Action Association</t>
  </si>
  <si>
    <t>Banglore</t>
  </si>
  <si>
    <t>Shri B. D. Tatti Memorial Charitable Trust</t>
  </si>
  <si>
    <t>SPOORTHY ORGANIZATION FOR EDUCATION AND SOCIAL DEVELOPMENT</t>
  </si>
  <si>
    <t>Devangere</t>
  </si>
  <si>
    <t>The Association Of People With Disability</t>
  </si>
  <si>
    <t>Total of Karnataka</t>
  </si>
  <si>
    <t>Kerala</t>
  </si>
  <si>
    <t>Manovikas School for Mentally Handicapped</t>
  </si>
  <si>
    <t>Kollam</t>
  </si>
  <si>
    <t>Total of Kerala</t>
  </si>
  <si>
    <t>Madhya Pradesh</t>
  </si>
  <si>
    <t>Aadhar Foundation</t>
  </si>
  <si>
    <t>Chhindwara</t>
  </si>
  <si>
    <t>Aastha Welfare Society</t>
  </si>
  <si>
    <t>Khandwa</t>
  </si>
  <si>
    <t>ADARSH VIKLANG SEVA SANGH</t>
  </si>
  <si>
    <t>Singrauli</t>
  </si>
  <si>
    <t>Aadhar Gyan Dhatri Samiti</t>
  </si>
  <si>
    <t>Bhopal</t>
  </si>
  <si>
    <t>Anjani Jan Kalyan Sansthan Samiti Bina</t>
  </si>
  <si>
    <t>Sagar</t>
  </si>
  <si>
    <t>Bargarh Mahavir Yuvak Mandal Samiti</t>
  </si>
  <si>
    <t>Ratlam</t>
  </si>
  <si>
    <t>BRAMHARSHI VASHISHTH SIKSHAN PRASIKSHAN AVAM SEWA SAMITI NARSINGHPUR</t>
  </si>
  <si>
    <t>Narsinghpur</t>
  </si>
  <si>
    <t>Digdarshika Institute Of Rehabilitation &amp; Research</t>
  </si>
  <si>
    <t>Jainarayan Sarvodaya Vidyalaya Samiti</t>
  </si>
  <si>
    <t>Betul</t>
  </si>
  <si>
    <t xml:space="preserve">Jan Jagran Educational and Health Welfare Society </t>
  </si>
  <si>
    <t>Jigyasa Samaj Kalyan Sewa Samiti</t>
  </si>
  <si>
    <t>BHOPAL</t>
  </si>
  <si>
    <t>Life Line Service Society</t>
  </si>
  <si>
    <t>Maa Savasan Mahila Mandal</t>
  </si>
  <si>
    <t>Madhuri Aayaam Education and Welfare Society</t>
  </si>
  <si>
    <t>Madhya Pradesh Viklang Sahayata Samiti</t>
  </si>
  <si>
    <t>Chandessara Po</t>
  </si>
  <si>
    <t>Mahila Bal Vikas Samiti</t>
  </si>
  <si>
    <t>Bhind</t>
  </si>
  <si>
    <t>Moulana Azad Education Foundation</t>
  </si>
  <si>
    <t>Jabalpur</t>
  </si>
  <si>
    <t>Nagda Zenith Social welfare Society</t>
  </si>
  <si>
    <t>Ujjain</t>
  </si>
  <si>
    <t>Navodit Gram Utthan Mahila Evam Bal Vikas Samiti</t>
  </si>
  <si>
    <t>NIRMAL JYOTI EDUCATIONAL AND CHARITABLE SOCIETY</t>
  </si>
  <si>
    <t>NISHAKT JAN AADHAR WELFARE SOCIETY</t>
  </si>
  <si>
    <t>Indore</t>
  </si>
  <si>
    <t>Raj Rani Sewa Evam Shikshan Prashikshan Sansthan And Social Welfare Society</t>
  </si>
  <si>
    <t>Rewa</t>
  </si>
  <si>
    <t>RAJEEV KUMAR SAMAJ KALYAN GRAM VIKESH SHOD SANTHAN</t>
  </si>
  <si>
    <t>Katni</t>
  </si>
  <si>
    <t>Sarv Shri Maa Narmada Shiksha Avm Jan Kalyan Seva Samiti</t>
  </si>
  <si>
    <t>Shri Shri Utkarsh Samity</t>
  </si>
  <si>
    <t>sneh mand buddhi avam mook badhir school unit of sneh shikshan avam manav seva sansthan</t>
  </si>
  <si>
    <t>Society for Community Welfare</t>
  </si>
  <si>
    <t>Tarun Jan Kalyan Samiti</t>
  </si>
  <si>
    <t>The Sun Foundation Samiti</t>
  </si>
  <si>
    <t>Ummeed Shikshan Samiti</t>
  </si>
  <si>
    <t>Vidisha</t>
  </si>
  <si>
    <t>Usha Komal Sanskrit Jan Kalyan Sewa Samiti Raisen</t>
  </si>
  <si>
    <t>Raisen</t>
  </si>
  <si>
    <t>Total of Madhya Pradesh</t>
  </si>
  <si>
    <t>Maharashtra</t>
  </si>
  <si>
    <t>Jivhala Society For The Mentally Handicapped</t>
  </si>
  <si>
    <t>Solapur</t>
  </si>
  <si>
    <t xml:space="preserve">R.S.S.JANAKALYAN SAMITI MAHARASHTRA PRANT (Sanvedana Cerebral Palsy Vikasan Kendra) </t>
  </si>
  <si>
    <t>Latur</t>
  </si>
  <si>
    <t>Smt.P.C. Alwani School for M.R. Children A Unit Of Rivka Sahil Akshar Institute</t>
  </si>
  <si>
    <t>Satara</t>
  </si>
  <si>
    <t>SOPAN(Society of Parents of Children with Autistic Disorders)</t>
  </si>
  <si>
    <t>Mumbai</t>
  </si>
  <si>
    <t>Total of Maharashtra</t>
  </si>
  <si>
    <t>Manipur</t>
  </si>
  <si>
    <t>People Advance In Social Services (PASS)</t>
  </si>
  <si>
    <t xml:space="preserve"> Churachandpur</t>
  </si>
  <si>
    <t>Handicapped Development Foundation</t>
  </si>
  <si>
    <t>Imphal West</t>
  </si>
  <si>
    <t>The Malsawm Initiative Run By Centre For Community Initiative</t>
  </si>
  <si>
    <t>Churachandpur</t>
  </si>
  <si>
    <t>Total of Manipur</t>
  </si>
  <si>
    <t>Meghalaya</t>
  </si>
  <si>
    <t>Bethany Society</t>
  </si>
  <si>
    <t>Shilong</t>
  </si>
  <si>
    <t>Total of Meghalaya</t>
  </si>
  <si>
    <t>Mizoram</t>
  </si>
  <si>
    <t>Spastics Society Of Mizoram</t>
  </si>
  <si>
    <t>Aizwal</t>
  </si>
  <si>
    <t>Total of Mizoram</t>
  </si>
  <si>
    <t>Odisha</t>
  </si>
  <si>
    <t>Adarsha Association for Developmental Actions on Rural Societies Harijans and Adibasies</t>
  </si>
  <si>
    <t>Khordha</t>
  </si>
  <si>
    <t>odisha</t>
  </si>
  <si>
    <t>Association for Social Help in Rural Area</t>
  </si>
  <si>
    <t>Balangir</t>
  </si>
  <si>
    <t>Bharat Jyoti</t>
  </si>
  <si>
    <t>Mayurbhanj</t>
  </si>
  <si>
    <t>Centre For Rehabilitation Services &amp; Research CRSR</t>
  </si>
  <si>
    <t>Bhadrak</t>
  </si>
  <si>
    <t>DR. BRAJA VIHARI MOHANTY MEMORIAL MENTALLY RETARDED BENEFIT TRUST</t>
  </si>
  <si>
    <t>Cuttack</t>
  </si>
  <si>
    <t>District Red Cross Society, Biju Patnaik Special School for Mentally Challenged, Nuapada, ORISSA</t>
  </si>
  <si>
    <t>Nuapada</t>
  </si>
  <si>
    <t>Odissa</t>
  </si>
  <si>
    <t>Institute of Health Sciences, a unit of Margdarsi</t>
  </si>
  <si>
    <t>NILACHAL SEVA PRATISTHAN</t>
  </si>
  <si>
    <t>Puri</t>
  </si>
  <si>
    <t>Open Learning</t>
  </si>
  <si>
    <t>Regional Rehabilitation and Research Center</t>
  </si>
  <si>
    <t>Rourkela</t>
  </si>
  <si>
    <t>Orissa</t>
  </si>
  <si>
    <t>Research Academy For Rural Enrichment (RARE)</t>
  </si>
  <si>
    <t>Sonepur</t>
  </si>
  <si>
    <t>Rural Organisation for Social Elevation</t>
  </si>
  <si>
    <t>SADBHABANA</t>
  </si>
  <si>
    <t>Kendujhar</t>
  </si>
  <si>
    <t>Sri Sri Jadimahal Youth Club</t>
  </si>
  <si>
    <t>Balasore</t>
  </si>
  <si>
    <t>Veer surendra Sai Institute for Mentally Handicapped</t>
  </si>
  <si>
    <t>Sambalpur</t>
  </si>
  <si>
    <t>Total of Odissa</t>
  </si>
  <si>
    <t>Punjab</t>
  </si>
  <si>
    <t>Confederation for Challenged</t>
  </si>
  <si>
    <t>Fatehgarh Sahib</t>
  </si>
  <si>
    <t>Navchetna Society</t>
  </si>
  <si>
    <t>Hoshiarpur</t>
  </si>
  <si>
    <t>Total of Punjab</t>
  </si>
  <si>
    <t>Puducherry</t>
  </si>
  <si>
    <t>Integrated Rehabilitation and Development Centre</t>
  </si>
  <si>
    <t>Puducherry (Union Territory)</t>
  </si>
  <si>
    <t>Total of Puducherry</t>
  </si>
  <si>
    <t>Rajasthan</t>
  </si>
  <si>
    <t>Deep Vidhya Mandir Samiti</t>
  </si>
  <si>
    <t>Dausa</t>
  </si>
  <si>
    <t>MAHILA BAL VIKAS GRAMOUDHYOG SHIKSHA SAMITI BHARATPUR</t>
  </si>
  <si>
    <t>Bharatpur</t>
  </si>
  <si>
    <t>Message Sansthan</t>
  </si>
  <si>
    <t>Alwar</t>
  </si>
  <si>
    <t>Rajasthan Mahila Kalyan Mandal, Ajmer</t>
  </si>
  <si>
    <t>Ajmer</t>
  </si>
  <si>
    <t>Shikhar Society For The Welfare Of Mentallty Handicapped</t>
  </si>
  <si>
    <t>Kota</t>
  </si>
  <si>
    <t>Total of Rajasthan</t>
  </si>
  <si>
    <t>Tamil Nadu</t>
  </si>
  <si>
    <t>Arvi Special School A unit of Association for Rehabilitation of Village Impairment</t>
  </si>
  <si>
    <t>Dindigul</t>
  </si>
  <si>
    <t>Asha School for the Mentally Retarded Children A unit of Asha Trust</t>
  </si>
  <si>
    <t>Thiruvallur</t>
  </si>
  <si>
    <t>Global Special School for the Mentally Challenged, A unit of Global Trust for the Differently Abled</t>
  </si>
  <si>
    <t>Cuddalore</t>
  </si>
  <si>
    <t>RUCODE INDIA SOCIAL WELFARE TRAINING CENTRE</t>
  </si>
  <si>
    <t>Kanyakumari</t>
  </si>
  <si>
    <t>Sristi Special School a unit of Sristi Foundation</t>
  </si>
  <si>
    <t>Viluppuram</t>
  </si>
  <si>
    <t>St Judes School For Mentally challenged A Unit of Ecomwel Orthopaedic Centre</t>
  </si>
  <si>
    <t>Salem</t>
  </si>
  <si>
    <t>St. Xaviers Educational Development Society</t>
  </si>
  <si>
    <t>Tiruvannamalai</t>
  </si>
  <si>
    <t>Vidya Vikasini Opportunity School a unit of Vidya Vikasini Society</t>
  </si>
  <si>
    <t>Coimbatore</t>
  </si>
  <si>
    <t>Total of Tamil Nadu</t>
  </si>
  <si>
    <t>Telangana</t>
  </si>
  <si>
    <t>Manochetna</t>
  </si>
  <si>
    <t>Warangal (Rural)</t>
  </si>
  <si>
    <t>Manochaitanya Spl School and Vocational Centre for Mentally Handicapped run by PAMENCAP</t>
  </si>
  <si>
    <t>Peddapalli</t>
  </si>
  <si>
    <t xml:space="preserve">Shanthi Niketan Residential Institution For Mentally Handicapped </t>
  </si>
  <si>
    <t>Hyderabad</t>
  </si>
  <si>
    <t>Special Friends</t>
  </si>
  <si>
    <t>Swayamkrushi</t>
  </si>
  <si>
    <t>Total of Telangana</t>
  </si>
  <si>
    <t>Uttar Pradesh</t>
  </si>
  <si>
    <t>BHAGIRATH SEWA SANSTHAN</t>
  </si>
  <si>
    <t>Ghaziabad</t>
  </si>
  <si>
    <t>Bhawna Society For Disabled</t>
  </si>
  <si>
    <t>Kanpur Nagar</t>
  </si>
  <si>
    <t>Chetna - Society For The Welfare Of The Handicapped</t>
  </si>
  <si>
    <t>Lucknow</t>
  </si>
  <si>
    <t>Deva International Society for Child Care</t>
  </si>
  <si>
    <t>Varanasi</t>
  </si>
  <si>
    <t>Gautam Buddh Shikshan Sansthan</t>
  </si>
  <si>
    <t>Gonda</t>
  </si>
  <si>
    <t>Gramin Pragati Sansthan</t>
  </si>
  <si>
    <t>Amethi(Chatrapati Sahuji Maharaj)</t>
  </si>
  <si>
    <t>Gramodaya Vikas Sansthan</t>
  </si>
  <si>
    <t>Barabanki</t>
  </si>
  <si>
    <t>I Support Foundation</t>
  </si>
  <si>
    <t>Integrated Institute of Rehabilitation for the Disabled (Viklang Samekit Punarvas Sansthan)</t>
  </si>
  <si>
    <t>Agra</t>
  </si>
  <si>
    <t>Integrated Institute For The Disabled</t>
  </si>
  <si>
    <t>Jan Chetna Sansthan</t>
  </si>
  <si>
    <t>Allahabad</t>
  </si>
  <si>
    <t>Jeevan Jyoti Samaj Sewa Sasnthan</t>
  </si>
  <si>
    <t>Kailashi Mahila Vikas SAmiti</t>
  </si>
  <si>
    <t>Azamgarh</t>
  </si>
  <si>
    <t>Lok Jagriti Sansthan</t>
  </si>
  <si>
    <t>Ambedkar Nagar</t>
  </si>
  <si>
    <t>MANAV UTTHAN SAMITI</t>
  </si>
  <si>
    <t>Mau</t>
  </si>
  <si>
    <t>Mansoori Academy</t>
  </si>
  <si>
    <t>Amroha</t>
  </si>
  <si>
    <t>Nai Subah</t>
  </si>
  <si>
    <t>Navada Gramudhyog Vikas Samiti</t>
  </si>
  <si>
    <t>Pt Rajpati Pathak Vaidhy Balika Sikshan Sansthan</t>
  </si>
  <si>
    <t>Raj Social Welfare Society</t>
  </si>
  <si>
    <t>Rajeshwari seva sansthan</t>
  </si>
  <si>
    <t>Auraiya</t>
  </si>
  <si>
    <t>Rural Informative &amp; Social Harmony Academy</t>
  </si>
  <si>
    <t>Sultanpur</t>
  </si>
  <si>
    <t>Sampata Parents and Guardians Association of Mentally Challenged persons</t>
  </si>
  <si>
    <t>Rae Bareli</t>
  </si>
  <si>
    <t>Sanchit Vikas Sansthan</t>
  </si>
  <si>
    <t>Basti</t>
  </si>
  <si>
    <t>Saraswati Educational Society</t>
  </si>
  <si>
    <t>Moradabad</t>
  </si>
  <si>
    <t>Saraswati Gyan Mandir Shiksha Samiti</t>
  </si>
  <si>
    <t>Shahjahanpur</t>
  </si>
  <si>
    <t>Shiksht Yuva Sewa Samiti</t>
  </si>
  <si>
    <t>SHRI RAM AASARE SINGH GRAM VIKAS SHIKSHA SAMITI</t>
  </si>
  <si>
    <t>Fatehpur</t>
  </si>
  <si>
    <t>Shri Sai Educational and Welfare Association</t>
  </si>
  <si>
    <t>Shubhasheesh Shiksha Evam Vikas Sewa Sansthan</t>
  </si>
  <si>
    <t>Rae Baareli</t>
  </si>
  <si>
    <t>Society For Institute Of Psychological Research &amp; Health</t>
  </si>
  <si>
    <t>SPARC India</t>
  </si>
  <si>
    <t>Shristi Parents Support Group</t>
  </si>
  <si>
    <t>Swami Vivekanand Shiksha and Samaj Kalyan Samiti</t>
  </si>
  <si>
    <t>Sant Kabir Nagar</t>
  </si>
  <si>
    <t>Divyang Kalyan Seva Sansthan / Viklang Kalyan Seva Sansthan</t>
  </si>
  <si>
    <t>Siddharthnagar</t>
  </si>
  <si>
    <t>Viklang Samakalan Sansthan</t>
  </si>
  <si>
    <t>YADUVANSHI JANTA SHIKSHAN SANSTHAN</t>
  </si>
  <si>
    <t>Ghazipur</t>
  </si>
  <si>
    <t>Total of Uttar Pradesh</t>
  </si>
  <si>
    <t>Uttarakhand</t>
  </si>
  <si>
    <t>Raphael Ryder Cheshire International Centre</t>
  </si>
  <si>
    <t>Dehradun</t>
  </si>
  <si>
    <t>Total of Uttarakhand</t>
  </si>
  <si>
    <t>West Bengal</t>
  </si>
  <si>
    <t>Asha Bhavan Centre</t>
  </si>
  <si>
    <t>Howrah</t>
  </si>
  <si>
    <t>Dantan Manav Kalyan Kendra</t>
  </si>
  <si>
    <t>Paschim Medinipur</t>
  </si>
  <si>
    <t>Indian Institute Of Cerebral Palsy (IICP)</t>
  </si>
  <si>
    <t>Kolkata</t>
  </si>
  <si>
    <t>Jhanjha Unnyan Samiti</t>
  </si>
  <si>
    <t>Murshidabad</t>
  </si>
  <si>
    <t>Kalyani Life Institute</t>
  </si>
  <si>
    <t>Nadia</t>
  </si>
  <si>
    <t>Karimpur Social Welfare Society</t>
  </si>
  <si>
    <t>Kenduadihi Bikash Society</t>
  </si>
  <si>
    <t>Bankura</t>
  </si>
  <si>
    <t>Malda Krishnapally Janajagoran Society</t>
  </si>
  <si>
    <t>Malda</t>
  </si>
  <si>
    <t>Pratibandhi Sahayak Samiti</t>
  </si>
  <si>
    <t>Purba Medinipur</t>
  </si>
  <si>
    <t>Rampurhat Spastics &amp; Handicapped Society.</t>
  </si>
  <si>
    <t>Birbhum</t>
  </si>
  <si>
    <t>Santiniketan Ratanpally Vivekananda Adibasi Kalyan Samity</t>
  </si>
  <si>
    <t>Uttarapara Ashraya - Parents Organization</t>
  </si>
  <si>
    <t>Hooghly</t>
  </si>
  <si>
    <t>Vivekananda Loksiksha Niketan</t>
  </si>
  <si>
    <t>Medinipur</t>
  </si>
  <si>
    <t>Total of West Bengal</t>
  </si>
  <si>
    <t>Grand Total of all ROs &amp; Schemes</t>
  </si>
  <si>
    <t>TLM KITS For 2020-21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</si>
</sst>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5" fillId="0" borderId="7" xfId="0" applyNumberFormat="1" applyFont="1" applyBorder="1" applyAlignment="1">
      <alignment wrapText="1"/>
    </xf>
    <xf numFmtId="0" fontId="5" fillId="2" borderId="7" xfId="0" applyNumberFormat="1" applyFont="1" applyFill="1" applyBorder="1" applyAlignment="1">
      <alignment wrapText="1"/>
    </xf>
    <xf numFmtId="0" fontId="5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1" fontId="5" fillId="2" borderId="7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top"/>
    </xf>
    <xf numFmtId="0" fontId="7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vertical="center" wrapText="1"/>
    </xf>
    <xf numFmtId="1" fontId="3" fillId="3" borderId="7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wrapText="1"/>
    </xf>
    <xf numFmtId="0" fontId="8" fillId="0" borderId="0" xfId="0" applyFont="1"/>
    <xf numFmtId="0" fontId="8" fillId="0" borderId="7" xfId="0" applyFont="1" applyBorder="1"/>
    <xf numFmtId="0" fontId="6" fillId="0" borderId="7" xfId="0" applyFont="1" applyFill="1" applyBorder="1" applyAlignment="1">
      <alignment vertical="center" wrapText="1"/>
    </xf>
    <xf numFmtId="0" fontId="0" fillId="2" borderId="7" xfId="0" applyFill="1" applyBorder="1" applyAlignment="1">
      <alignment horizontal="left" vertical="center" wrapText="1"/>
    </xf>
    <xf numFmtId="0" fontId="5" fillId="0" borderId="7" xfId="0" applyNumberFormat="1" applyFont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5" fillId="2" borderId="7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right" vertical="top"/>
    </xf>
    <xf numFmtId="0" fontId="8" fillId="2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0" borderId="6" xfId="0" applyNumberFormat="1" applyFont="1" applyBorder="1" applyAlignment="1">
      <alignment horizontal="right" vertical="center" wrapText="1"/>
    </xf>
    <xf numFmtId="0" fontId="13" fillId="0" borderId="7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vertical="center" wrapText="1"/>
    </xf>
    <xf numFmtId="0" fontId="5" fillId="0" borderId="3" xfId="0" applyFont="1" applyBorder="1" applyAlignment="1">
      <alignment wrapText="1"/>
    </xf>
    <xf numFmtId="0" fontId="10" fillId="0" borderId="3" xfId="0" applyFont="1" applyFill="1" applyBorder="1" applyAlignment="1">
      <alignment vertical="top" wrapText="1"/>
    </xf>
    <xf numFmtId="0" fontId="8" fillId="2" borderId="7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1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wrapText="1"/>
    </xf>
    <xf numFmtId="0" fontId="3" fillId="4" borderId="11" xfId="0" applyFont="1" applyFill="1" applyBorder="1" applyAlignment="1">
      <alignment horizontal="right" vertical="center" wrapText="1"/>
    </xf>
    <xf numFmtId="0" fontId="5" fillId="4" borderId="11" xfId="0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5" fillId="5" borderId="7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right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wrapText="1"/>
    </xf>
    <xf numFmtId="1" fontId="5" fillId="2" borderId="0" xfId="0" applyNumberFormat="1" applyFont="1" applyFill="1" applyAlignment="1">
      <alignment wrapText="1"/>
    </xf>
    <xf numFmtId="0" fontId="1" fillId="2" borderId="0" xfId="0" applyNumberFormat="1" applyFont="1" applyFill="1" applyBorder="1" applyAlignment="1">
      <alignment vertical="top" wrapText="1"/>
    </xf>
  </cellXfs>
  <cellStyles count="1">
    <cellStyle name="Normal" xfId="0" builtinId="0"/>
  </cellStyles>
  <dxfs count="4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233"/>
  <sheetViews>
    <sheetView tabSelected="1" workbookViewId="0">
      <selection sqref="A1:AY1"/>
    </sheetView>
  </sheetViews>
  <sheetFormatPr defaultRowHeight="15.75"/>
  <cols>
    <col min="1" max="1" width="21.140625" style="100" customWidth="1"/>
    <col min="2" max="2" width="7.28515625" style="100" customWidth="1"/>
    <col min="3" max="3" width="42.28515625" style="101" customWidth="1"/>
    <col min="4" max="4" width="16.140625" style="101" customWidth="1"/>
    <col min="5" max="5" width="19.140625" style="101" customWidth="1"/>
    <col min="6" max="7" width="12.5703125" style="31" customWidth="1"/>
    <col min="8" max="8" width="12.140625" style="102" customWidth="1"/>
    <col min="9" max="9" width="13" style="31" customWidth="1"/>
    <col min="10" max="12" width="14.7109375" style="88" customWidth="1"/>
    <col min="13" max="13" width="15.140625" style="88" customWidth="1"/>
    <col min="14" max="16" width="13.140625" style="31" customWidth="1"/>
    <col min="17" max="17" width="15" style="31" customWidth="1"/>
    <col min="18" max="20" width="16.28515625" style="88" customWidth="1"/>
    <col min="21" max="21" width="13.42578125" style="88" customWidth="1"/>
    <col min="22" max="22" width="13" style="31" customWidth="1"/>
    <col min="23" max="24" width="10.7109375" style="31" customWidth="1"/>
    <col min="25" max="25" width="14.5703125" style="31" customWidth="1"/>
    <col min="26" max="28" width="15.7109375" style="88" customWidth="1"/>
    <col min="29" max="29" width="13.5703125" style="88" customWidth="1"/>
    <col min="30" max="30" width="10.7109375" style="31" customWidth="1"/>
    <col min="31" max="31" width="11" style="31" customWidth="1"/>
    <col min="32" max="32" width="10.7109375" style="31" customWidth="1"/>
    <col min="33" max="33" width="15.140625" style="31" customWidth="1"/>
    <col min="34" max="34" width="10.140625" style="88" customWidth="1"/>
    <col min="35" max="36" width="11.140625" style="88" customWidth="1"/>
    <col min="37" max="37" width="11.28515625" style="88" customWidth="1"/>
    <col min="38" max="38" width="16.28515625" style="31" customWidth="1"/>
    <col min="39" max="39" width="15.140625" style="88" customWidth="1"/>
    <col min="40" max="41" width="14.85546875" style="88" customWidth="1"/>
    <col min="42" max="42" width="15.85546875" style="88" customWidth="1"/>
    <col min="43" max="43" width="13.140625" style="31" customWidth="1"/>
    <col min="44" max="47" width="15" style="88" customWidth="1"/>
    <col min="48" max="50" width="10.7109375" style="31" customWidth="1"/>
    <col min="51" max="51" width="12.7109375" style="31" customWidth="1"/>
    <col min="52" max="54" width="15" style="88" customWidth="1"/>
    <col min="55" max="55" width="12.5703125" style="88" customWidth="1"/>
    <col min="56" max="56" width="10.7109375" style="31" customWidth="1"/>
    <col min="57" max="58" width="14.140625" style="31" customWidth="1"/>
    <col min="59" max="59" width="15.85546875" style="31" customWidth="1"/>
    <col min="60" max="62" width="15.85546875" style="103" customWidth="1"/>
    <col min="63" max="63" width="15" style="88" customWidth="1"/>
    <col min="64" max="65" width="9.140625" style="31" customWidth="1"/>
    <col min="66" max="16384" width="9.140625" style="31"/>
  </cols>
  <sheetData>
    <row r="1" spans="1:63" s="2" customFormat="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63" s="2" customFormat="1" ht="23.25">
      <c r="A2" s="3" t="s">
        <v>1</v>
      </c>
      <c r="B2" s="3"/>
      <c r="C2" s="3"/>
      <c r="D2" s="3"/>
      <c r="E2" s="3"/>
      <c r="F2" s="3" t="s">
        <v>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  <c r="BD2" s="5" t="s">
        <v>3</v>
      </c>
      <c r="BE2" s="3"/>
      <c r="BF2" s="3"/>
      <c r="BG2" s="3"/>
      <c r="BH2" s="3"/>
      <c r="BI2" s="3"/>
      <c r="BJ2" s="3"/>
      <c r="BK2" s="4"/>
    </row>
    <row r="3" spans="1:63" s="13" customFormat="1" ht="18.7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7" t="s">
        <v>9</v>
      </c>
      <c r="G3" s="8"/>
      <c r="H3" s="8"/>
      <c r="I3" s="8"/>
      <c r="J3" s="8"/>
      <c r="K3" s="8"/>
      <c r="L3" s="8"/>
      <c r="M3" s="9"/>
      <c r="N3" s="7" t="s">
        <v>10</v>
      </c>
      <c r="O3" s="8"/>
      <c r="P3" s="8"/>
      <c r="Q3" s="8"/>
      <c r="R3" s="8"/>
      <c r="S3" s="8"/>
      <c r="T3" s="8"/>
      <c r="U3" s="9"/>
      <c r="V3" s="7" t="s">
        <v>11</v>
      </c>
      <c r="W3" s="8"/>
      <c r="X3" s="8"/>
      <c r="Y3" s="8"/>
      <c r="Z3" s="8"/>
      <c r="AA3" s="8"/>
      <c r="AB3" s="8"/>
      <c r="AC3" s="9"/>
      <c r="AD3" s="7" t="s">
        <v>12</v>
      </c>
      <c r="AE3" s="8"/>
      <c r="AF3" s="8"/>
      <c r="AG3" s="8"/>
      <c r="AH3" s="8"/>
      <c r="AI3" s="8"/>
      <c r="AJ3" s="8"/>
      <c r="AK3" s="9"/>
      <c r="AL3" s="7" t="s">
        <v>13</v>
      </c>
      <c r="AM3" s="8"/>
      <c r="AN3" s="8"/>
      <c r="AO3" s="8"/>
      <c r="AP3" s="9"/>
      <c r="AQ3" s="7" t="s">
        <v>14</v>
      </c>
      <c r="AR3" s="8"/>
      <c r="AS3" s="8"/>
      <c r="AT3" s="8"/>
      <c r="AU3" s="9"/>
      <c r="AV3" s="7" t="s">
        <v>15</v>
      </c>
      <c r="AW3" s="8"/>
      <c r="AX3" s="8"/>
      <c r="AY3" s="8"/>
      <c r="AZ3" s="8"/>
      <c r="BA3" s="8"/>
      <c r="BB3" s="8"/>
      <c r="BC3" s="9"/>
      <c r="BD3" s="10" t="s">
        <v>16</v>
      </c>
      <c r="BE3" s="11"/>
      <c r="BF3" s="11"/>
      <c r="BG3" s="11"/>
      <c r="BH3" s="11"/>
      <c r="BI3" s="11"/>
      <c r="BJ3" s="11"/>
      <c r="BK3" s="12"/>
    </row>
    <row r="4" spans="1:63" s="13" customFormat="1">
      <c r="A4" s="14"/>
      <c r="B4" s="14"/>
      <c r="C4" s="14"/>
      <c r="D4" s="14"/>
      <c r="E4" s="14"/>
      <c r="F4" s="15" t="s">
        <v>17</v>
      </c>
      <c r="G4" s="15" t="s">
        <v>18</v>
      </c>
      <c r="H4" s="16" t="s">
        <v>19</v>
      </c>
      <c r="I4" s="15" t="s">
        <v>20</v>
      </c>
      <c r="J4" s="15" t="s">
        <v>21</v>
      </c>
      <c r="K4" s="17" t="s">
        <v>22</v>
      </c>
      <c r="L4" s="17" t="s">
        <v>23</v>
      </c>
      <c r="M4" s="18" t="s">
        <v>24</v>
      </c>
      <c r="N4" s="15" t="s">
        <v>17</v>
      </c>
      <c r="O4" s="15" t="s">
        <v>18</v>
      </c>
      <c r="P4" s="15" t="s">
        <v>19</v>
      </c>
      <c r="Q4" s="19" t="s">
        <v>20</v>
      </c>
      <c r="R4" s="15" t="s">
        <v>21</v>
      </c>
      <c r="S4" s="18" t="s">
        <v>22</v>
      </c>
      <c r="T4" s="18" t="s">
        <v>23</v>
      </c>
      <c r="U4" s="18" t="s">
        <v>24</v>
      </c>
      <c r="V4" s="15" t="s">
        <v>17</v>
      </c>
      <c r="W4" s="15" t="s">
        <v>18</v>
      </c>
      <c r="X4" s="15" t="s">
        <v>19</v>
      </c>
      <c r="Y4" s="19" t="s">
        <v>20</v>
      </c>
      <c r="Z4" s="17" t="s">
        <v>21</v>
      </c>
      <c r="AA4" s="17" t="s">
        <v>22</v>
      </c>
      <c r="AB4" s="17" t="s">
        <v>23</v>
      </c>
      <c r="AC4" s="18" t="s">
        <v>24</v>
      </c>
      <c r="AD4" s="15" t="s">
        <v>17</v>
      </c>
      <c r="AE4" s="15" t="s">
        <v>18</v>
      </c>
      <c r="AF4" s="15" t="s">
        <v>19</v>
      </c>
      <c r="AG4" s="19" t="s">
        <v>25</v>
      </c>
      <c r="AH4" s="17" t="s">
        <v>21</v>
      </c>
      <c r="AI4" s="17" t="s">
        <v>22</v>
      </c>
      <c r="AJ4" s="17" t="s">
        <v>23</v>
      </c>
      <c r="AK4" s="18" t="s">
        <v>24</v>
      </c>
      <c r="AL4" s="15" t="s">
        <v>20</v>
      </c>
      <c r="AM4" s="15" t="s">
        <v>21</v>
      </c>
      <c r="AN4" s="15" t="s">
        <v>22</v>
      </c>
      <c r="AO4" s="15" t="s">
        <v>23</v>
      </c>
      <c r="AP4" s="15" t="s">
        <v>24</v>
      </c>
      <c r="AQ4" s="15" t="s">
        <v>20</v>
      </c>
      <c r="AR4" s="15" t="s">
        <v>21</v>
      </c>
      <c r="AS4" s="15" t="s">
        <v>22</v>
      </c>
      <c r="AT4" s="15" t="s">
        <v>23</v>
      </c>
      <c r="AU4" s="15" t="s">
        <v>24</v>
      </c>
      <c r="AV4" s="15" t="s">
        <v>17</v>
      </c>
      <c r="AW4" s="15" t="s">
        <v>18</v>
      </c>
      <c r="AX4" s="15" t="s">
        <v>19</v>
      </c>
      <c r="AY4" s="15" t="s">
        <v>20</v>
      </c>
      <c r="AZ4" s="17" t="s">
        <v>21</v>
      </c>
      <c r="BA4" s="17" t="s">
        <v>22</v>
      </c>
      <c r="BB4" s="17" t="s">
        <v>23</v>
      </c>
      <c r="BC4" s="18" t="s">
        <v>24</v>
      </c>
      <c r="BD4" s="15" t="s">
        <v>17</v>
      </c>
      <c r="BE4" s="15" t="s">
        <v>18</v>
      </c>
      <c r="BF4" s="15" t="s">
        <v>19</v>
      </c>
      <c r="BG4" s="20" t="s">
        <v>20</v>
      </c>
      <c r="BH4" s="21" t="s">
        <v>21</v>
      </c>
      <c r="BI4" s="21" t="s">
        <v>22</v>
      </c>
      <c r="BJ4" s="21" t="s">
        <v>23</v>
      </c>
      <c r="BK4" s="15" t="s">
        <v>26</v>
      </c>
    </row>
    <row r="5" spans="1:63">
      <c r="A5" s="6" t="s">
        <v>27</v>
      </c>
      <c r="B5" s="22">
        <v>1</v>
      </c>
      <c r="C5" s="23" t="s">
        <v>28</v>
      </c>
      <c r="D5" s="24" t="s">
        <v>29</v>
      </c>
      <c r="E5" s="24" t="s">
        <v>27</v>
      </c>
      <c r="F5" s="24"/>
      <c r="G5" s="24">
        <v>448500</v>
      </c>
      <c r="H5" s="24">
        <f>165000+154000+198000+20000+60000</f>
        <v>597000</v>
      </c>
      <c r="I5" s="24">
        <f>20000+20000</f>
        <v>40000</v>
      </c>
      <c r="J5" s="24"/>
      <c r="K5" s="24"/>
      <c r="L5" s="24"/>
      <c r="M5" s="25">
        <f>SUM(F5:L5)</f>
        <v>1085500</v>
      </c>
      <c r="N5" s="24"/>
      <c r="O5" s="24"/>
      <c r="P5" s="24"/>
      <c r="Q5" s="24"/>
      <c r="R5" s="24"/>
      <c r="S5" s="24"/>
      <c r="T5" s="24"/>
      <c r="U5" s="25">
        <f>SUM(N5:T5)</f>
        <v>0</v>
      </c>
      <c r="V5" s="24"/>
      <c r="W5" s="24"/>
      <c r="X5" s="24"/>
      <c r="Y5" s="24"/>
      <c r="Z5" s="24"/>
      <c r="AA5" s="24"/>
      <c r="AB5" s="24"/>
      <c r="AC5" s="25">
        <f>SUM(V5:AB5)</f>
        <v>0</v>
      </c>
      <c r="AD5" s="24"/>
      <c r="AE5" s="24">
        <v>383150</v>
      </c>
      <c r="AF5" s="26">
        <f>805550+120000</f>
        <v>925550</v>
      </c>
      <c r="AG5" s="27">
        <v>30000</v>
      </c>
      <c r="AH5" s="28"/>
      <c r="AI5" s="28"/>
      <c r="AJ5" s="28"/>
      <c r="AK5" s="29">
        <f>SUM(AD5:AJ5)</f>
        <v>1338700</v>
      </c>
      <c r="AL5" s="27">
        <v>1050000</v>
      </c>
      <c r="AM5" s="28">
        <f>105000+210000+315000+315000+210000</f>
        <v>1155000</v>
      </c>
      <c r="AN5" s="28">
        <f>1309000+312000+156000</f>
        <v>1777000</v>
      </c>
      <c r="AO5" s="28">
        <v>1707000</v>
      </c>
      <c r="AP5" s="29">
        <f>SUM(AL5:AO5)</f>
        <v>5689000</v>
      </c>
      <c r="AQ5" s="26"/>
      <c r="AR5" s="28"/>
      <c r="AS5" s="28"/>
      <c r="AT5" s="28"/>
      <c r="AU5" s="29">
        <f>SUM(AQ5:AT5)</f>
        <v>0</v>
      </c>
      <c r="AV5" s="26"/>
      <c r="AW5" s="26"/>
      <c r="AX5" s="26"/>
      <c r="AY5" s="26"/>
      <c r="AZ5" s="28"/>
      <c r="BA5" s="28"/>
      <c r="BB5" s="28"/>
      <c r="BC5" s="29">
        <f>SUM(AV5:BB5)</f>
        <v>0</v>
      </c>
      <c r="BD5" s="24">
        <f t="shared" ref="BD5:BF15" si="0">F5+N5+V5+AD5+AV5</f>
        <v>0</v>
      </c>
      <c r="BE5" s="24">
        <f t="shared" si="0"/>
        <v>831650</v>
      </c>
      <c r="BF5" s="24">
        <f t="shared" si="0"/>
        <v>1522550</v>
      </c>
      <c r="BG5" s="24">
        <f t="shared" ref="BG5:BJ15" si="1">I5+Q5+Y5+AG5+AL5+AQ5+AY5</f>
        <v>1120000</v>
      </c>
      <c r="BH5" s="30">
        <f t="shared" si="1"/>
        <v>1155000</v>
      </c>
      <c r="BI5" s="30">
        <f t="shared" si="1"/>
        <v>1777000</v>
      </c>
      <c r="BJ5" s="30">
        <f t="shared" si="1"/>
        <v>1707000</v>
      </c>
      <c r="BK5" s="25">
        <f>SUM(BD5:BJ5)</f>
        <v>8113200</v>
      </c>
    </row>
    <row r="6" spans="1:63">
      <c r="A6" s="32"/>
      <c r="B6" s="22">
        <v>2</v>
      </c>
      <c r="C6" s="23" t="s">
        <v>30</v>
      </c>
      <c r="D6" s="24" t="s">
        <v>31</v>
      </c>
      <c r="E6" s="24" t="s">
        <v>27</v>
      </c>
      <c r="F6" s="24">
        <v>155000</v>
      </c>
      <c r="G6" s="24">
        <v>981065</v>
      </c>
      <c r="H6" s="24">
        <v>220000</v>
      </c>
      <c r="I6" s="24">
        <f>100000+120000+20000</f>
        <v>240000</v>
      </c>
      <c r="J6" s="24"/>
      <c r="K6" s="24"/>
      <c r="L6" s="24"/>
      <c r="M6" s="25">
        <f t="shared" ref="M6:M15" si="2">SUM(F6:L6)</f>
        <v>1596065</v>
      </c>
      <c r="N6" s="24"/>
      <c r="O6" s="24"/>
      <c r="P6" s="24"/>
      <c r="Q6" s="24"/>
      <c r="R6" s="24"/>
      <c r="S6" s="24"/>
      <c r="T6" s="24"/>
      <c r="U6" s="25">
        <f t="shared" ref="U6:U15" si="3">SUM(N6:T6)</f>
        <v>0</v>
      </c>
      <c r="V6" s="24"/>
      <c r="W6" s="24"/>
      <c r="X6" s="24"/>
      <c r="Y6" s="24"/>
      <c r="Z6" s="24"/>
      <c r="AA6" s="24"/>
      <c r="AB6" s="24"/>
      <c r="AC6" s="25">
        <f t="shared" ref="AC6:AC15" si="4">SUM(V6:AB6)</f>
        <v>0</v>
      </c>
      <c r="AD6" s="24">
        <v>195000</v>
      </c>
      <c r="AE6" s="26">
        <v>1237100</v>
      </c>
      <c r="AF6" s="26">
        <v>145500</v>
      </c>
      <c r="AG6" s="27">
        <v>330000</v>
      </c>
      <c r="AH6" s="28"/>
      <c r="AI6" s="28"/>
      <c r="AJ6" s="28"/>
      <c r="AK6" s="29">
        <f t="shared" ref="AK6:AK15" si="5">SUM(AD6:AJ6)</f>
        <v>1907600</v>
      </c>
      <c r="AL6" s="26">
        <v>1043000</v>
      </c>
      <c r="AM6" s="28">
        <f>105000+210000+315000+315000+210000</f>
        <v>1155000</v>
      </c>
      <c r="AN6" s="28">
        <f>1294254+299658+148627</f>
        <v>1742539</v>
      </c>
      <c r="AO6" s="28">
        <v>1843279</v>
      </c>
      <c r="AP6" s="29">
        <f t="shared" ref="AP6:AP15" si="6">SUM(AL6:AO6)</f>
        <v>5783818</v>
      </c>
      <c r="AQ6" s="26"/>
      <c r="AR6" s="28"/>
      <c r="AS6" s="28"/>
      <c r="AT6" s="28"/>
      <c r="AU6" s="29">
        <f t="shared" ref="AU6:AU15" si="7">SUM(AQ6:AT6)</f>
        <v>0</v>
      </c>
      <c r="AV6" s="26"/>
      <c r="AW6" s="26"/>
      <c r="AX6" s="26"/>
      <c r="AY6" s="26"/>
      <c r="AZ6" s="28"/>
      <c r="BA6" s="28"/>
      <c r="BB6" s="28"/>
      <c r="BC6" s="29">
        <f t="shared" ref="BC6:BC15" si="8">SUM(AV6:BB6)</f>
        <v>0</v>
      </c>
      <c r="BD6" s="24">
        <f t="shared" si="0"/>
        <v>350000</v>
      </c>
      <c r="BE6" s="24">
        <f t="shared" si="0"/>
        <v>2218165</v>
      </c>
      <c r="BF6" s="24">
        <f t="shared" si="0"/>
        <v>365500</v>
      </c>
      <c r="BG6" s="24">
        <f t="shared" si="1"/>
        <v>1613000</v>
      </c>
      <c r="BH6" s="30">
        <f t="shared" si="1"/>
        <v>1155000</v>
      </c>
      <c r="BI6" s="30">
        <f t="shared" si="1"/>
        <v>1742539</v>
      </c>
      <c r="BJ6" s="30">
        <f t="shared" si="1"/>
        <v>1843279</v>
      </c>
      <c r="BK6" s="25">
        <f t="shared" ref="BK6:BK15" si="9">SUM(BD6:BJ6)</f>
        <v>9287483</v>
      </c>
    </row>
    <row r="7" spans="1:63">
      <c r="A7" s="32"/>
      <c r="B7" s="22">
        <v>3</v>
      </c>
      <c r="C7" s="23" t="s">
        <v>32</v>
      </c>
      <c r="D7" s="24" t="s">
        <v>29</v>
      </c>
      <c r="E7" s="24" t="s">
        <v>27</v>
      </c>
      <c r="F7" s="24">
        <v>155000</v>
      </c>
      <c r="G7" s="24">
        <v>316345</v>
      </c>
      <c r="H7" s="24">
        <v>330000</v>
      </c>
      <c r="I7" s="24">
        <f>360000+20000</f>
        <v>380000</v>
      </c>
      <c r="J7" s="24"/>
      <c r="K7" s="24"/>
      <c r="L7" s="24"/>
      <c r="M7" s="25">
        <f t="shared" si="2"/>
        <v>1181345</v>
      </c>
      <c r="N7" s="24"/>
      <c r="O7" s="24"/>
      <c r="P7" s="24"/>
      <c r="Q7" s="24"/>
      <c r="R7" s="24"/>
      <c r="S7" s="24"/>
      <c r="T7" s="24"/>
      <c r="U7" s="25">
        <f t="shared" si="3"/>
        <v>0</v>
      </c>
      <c r="V7" s="24"/>
      <c r="W7" s="24"/>
      <c r="X7" s="24"/>
      <c r="Y7" s="24"/>
      <c r="Z7" s="24"/>
      <c r="AA7" s="24"/>
      <c r="AB7" s="24"/>
      <c r="AC7" s="25">
        <f t="shared" si="4"/>
        <v>0</v>
      </c>
      <c r="AD7" s="24">
        <v>195000</v>
      </c>
      <c r="AE7" s="26">
        <v>1233000</v>
      </c>
      <c r="AF7" s="26">
        <f>669300+90000</f>
        <v>759300</v>
      </c>
      <c r="AG7" s="27">
        <v>120000</v>
      </c>
      <c r="AH7" s="28"/>
      <c r="AI7" s="28"/>
      <c r="AJ7" s="28"/>
      <c r="AK7" s="29">
        <f t="shared" si="5"/>
        <v>2307300</v>
      </c>
      <c r="AL7" s="26">
        <v>1113000</v>
      </c>
      <c r="AM7" s="28">
        <f>101500+304500+609000+203000</f>
        <v>1218000</v>
      </c>
      <c r="AN7" s="28">
        <f>1362660+293840+148490</f>
        <v>1804990</v>
      </c>
      <c r="AO7" s="28">
        <v>1764276</v>
      </c>
      <c r="AP7" s="29">
        <f t="shared" si="6"/>
        <v>5900266</v>
      </c>
      <c r="AQ7" s="26"/>
      <c r="AR7" s="28"/>
      <c r="AS7" s="28"/>
      <c r="AT7" s="28"/>
      <c r="AU7" s="29">
        <f t="shared" si="7"/>
        <v>0</v>
      </c>
      <c r="AV7" s="26"/>
      <c r="AW7" s="26"/>
      <c r="AX7" s="26"/>
      <c r="AY7" s="26"/>
      <c r="AZ7" s="28"/>
      <c r="BA7" s="28"/>
      <c r="BB7" s="28"/>
      <c r="BC7" s="29">
        <f t="shared" si="8"/>
        <v>0</v>
      </c>
      <c r="BD7" s="24">
        <f t="shared" si="0"/>
        <v>350000</v>
      </c>
      <c r="BE7" s="24">
        <f t="shared" si="0"/>
        <v>1549345</v>
      </c>
      <c r="BF7" s="24">
        <f t="shared" si="0"/>
        <v>1089300</v>
      </c>
      <c r="BG7" s="24">
        <f t="shared" si="1"/>
        <v>1613000</v>
      </c>
      <c r="BH7" s="30">
        <f t="shared" si="1"/>
        <v>1218000</v>
      </c>
      <c r="BI7" s="30">
        <f t="shared" si="1"/>
        <v>1804990</v>
      </c>
      <c r="BJ7" s="30">
        <f t="shared" si="1"/>
        <v>1764276</v>
      </c>
      <c r="BK7" s="25">
        <f t="shared" si="9"/>
        <v>9388911</v>
      </c>
    </row>
    <row r="8" spans="1:63">
      <c r="A8" s="32"/>
      <c r="B8" s="22">
        <v>4</v>
      </c>
      <c r="C8" s="23" t="s">
        <v>33</v>
      </c>
      <c r="D8" s="24" t="s">
        <v>34</v>
      </c>
      <c r="E8" s="24" t="s">
        <v>27</v>
      </c>
      <c r="F8" s="24"/>
      <c r="G8" s="24"/>
      <c r="H8" s="24">
        <f>155000+313500</f>
        <v>468500</v>
      </c>
      <c r="I8" s="24">
        <f>100000+20000</f>
        <v>120000</v>
      </c>
      <c r="J8" s="24"/>
      <c r="K8" s="24"/>
      <c r="L8" s="24"/>
      <c r="M8" s="25">
        <f t="shared" si="2"/>
        <v>588500</v>
      </c>
      <c r="N8" s="24"/>
      <c r="O8" s="24"/>
      <c r="P8" s="24"/>
      <c r="Q8" s="24"/>
      <c r="R8" s="24"/>
      <c r="S8" s="24"/>
      <c r="T8" s="24"/>
      <c r="U8" s="25">
        <f t="shared" si="3"/>
        <v>0</v>
      </c>
      <c r="V8" s="24"/>
      <c r="W8" s="24">
        <v>290000</v>
      </c>
      <c r="X8" s="24">
        <v>2759000</v>
      </c>
      <c r="Y8" s="33">
        <v>300000</v>
      </c>
      <c r="Z8" s="33"/>
      <c r="AA8" s="33"/>
      <c r="AB8" s="33"/>
      <c r="AC8" s="25">
        <f t="shared" si="4"/>
        <v>3349000</v>
      </c>
      <c r="AD8" s="24"/>
      <c r="AE8" s="24">
        <v>195000</v>
      </c>
      <c r="AF8" s="26">
        <f>620800+150000</f>
        <v>770800</v>
      </c>
      <c r="AG8" s="27">
        <v>30000</v>
      </c>
      <c r="AH8" s="28"/>
      <c r="AI8" s="28"/>
      <c r="AJ8" s="28"/>
      <c r="AK8" s="29">
        <f t="shared" si="5"/>
        <v>995800</v>
      </c>
      <c r="AL8" s="26">
        <v>1155000</v>
      </c>
      <c r="AM8" s="28">
        <f>105000+315000+315000+315000+210000</f>
        <v>1260000</v>
      </c>
      <c r="AN8" s="28">
        <f>1290400+132960+144000+144000</f>
        <v>1711360</v>
      </c>
      <c r="AO8" s="28">
        <v>1776000</v>
      </c>
      <c r="AP8" s="29">
        <f t="shared" si="6"/>
        <v>5902360</v>
      </c>
      <c r="AQ8" s="26"/>
      <c r="AR8" s="28"/>
      <c r="AS8" s="28"/>
      <c r="AT8" s="28"/>
      <c r="AU8" s="29">
        <f t="shared" si="7"/>
        <v>0</v>
      </c>
      <c r="AV8" s="26"/>
      <c r="AW8" s="26"/>
      <c r="AX8" s="26"/>
      <c r="AY8" s="26"/>
      <c r="AZ8" s="28"/>
      <c r="BA8" s="28"/>
      <c r="BB8" s="28"/>
      <c r="BC8" s="29">
        <f t="shared" si="8"/>
        <v>0</v>
      </c>
      <c r="BD8" s="24">
        <f t="shared" si="0"/>
        <v>0</v>
      </c>
      <c r="BE8" s="24">
        <f t="shared" si="0"/>
        <v>485000</v>
      </c>
      <c r="BF8" s="24">
        <f t="shared" si="0"/>
        <v>3998300</v>
      </c>
      <c r="BG8" s="24">
        <f t="shared" si="1"/>
        <v>1605000</v>
      </c>
      <c r="BH8" s="30">
        <f t="shared" si="1"/>
        <v>1260000</v>
      </c>
      <c r="BI8" s="30">
        <f t="shared" si="1"/>
        <v>1711360</v>
      </c>
      <c r="BJ8" s="30">
        <f t="shared" si="1"/>
        <v>1776000</v>
      </c>
      <c r="BK8" s="25">
        <f t="shared" si="9"/>
        <v>10835660</v>
      </c>
    </row>
    <row r="9" spans="1:63">
      <c r="A9" s="32"/>
      <c r="B9" s="22">
        <v>5</v>
      </c>
      <c r="C9" s="23" t="s">
        <v>35</v>
      </c>
      <c r="D9" s="24" t="s">
        <v>31</v>
      </c>
      <c r="E9" s="24" t="s">
        <v>27</v>
      </c>
      <c r="F9" s="24"/>
      <c r="G9" s="24"/>
      <c r="H9" s="24"/>
      <c r="I9" s="24"/>
      <c r="J9" s="24"/>
      <c r="K9" s="24"/>
      <c r="L9" s="24"/>
      <c r="M9" s="25">
        <f t="shared" si="2"/>
        <v>0</v>
      </c>
      <c r="N9" s="34">
        <v>290000</v>
      </c>
      <c r="O9" s="34">
        <v>1260000</v>
      </c>
      <c r="P9" s="34">
        <v>920000</v>
      </c>
      <c r="Q9" s="34">
        <v>300000</v>
      </c>
      <c r="R9" s="24"/>
      <c r="S9" s="24"/>
      <c r="T9" s="24"/>
      <c r="U9" s="25">
        <f t="shared" si="3"/>
        <v>2770000</v>
      </c>
      <c r="V9" s="24"/>
      <c r="W9" s="24">
        <v>1263000</v>
      </c>
      <c r="X9" s="24">
        <v>840000</v>
      </c>
      <c r="Y9" s="33">
        <v>300000</v>
      </c>
      <c r="Z9" s="33"/>
      <c r="AA9" s="33"/>
      <c r="AB9" s="33"/>
      <c r="AC9" s="25">
        <f t="shared" si="4"/>
        <v>2403000</v>
      </c>
      <c r="AD9" s="24"/>
      <c r="AE9" s="26">
        <v>1169850</v>
      </c>
      <c r="AF9" s="26">
        <v>1051200</v>
      </c>
      <c r="AG9" s="27">
        <v>30000</v>
      </c>
      <c r="AH9" s="28"/>
      <c r="AI9" s="28"/>
      <c r="AJ9" s="28"/>
      <c r="AK9" s="29">
        <f t="shared" si="5"/>
        <v>2251050</v>
      </c>
      <c r="AL9" s="26">
        <v>0</v>
      </c>
      <c r="AM9" s="28"/>
      <c r="AN9" s="28"/>
      <c r="AO9" s="28"/>
      <c r="AP9" s="29">
        <f t="shared" si="6"/>
        <v>0</v>
      </c>
      <c r="AQ9" s="26"/>
      <c r="AR9" s="28">
        <f>1400000+300000+200000</f>
        <v>1900000</v>
      </c>
      <c r="AS9" s="28">
        <f>1621500+510000</f>
        <v>2131500</v>
      </c>
      <c r="AT9" s="28">
        <f>170000+340000+680000+170000</f>
        <v>1360000</v>
      </c>
      <c r="AU9" s="29">
        <f t="shared" si="7"/>
        <v>5391500</v>
      </c>
      <c r="AV9" s="26"/>
      <c r="AW9" s="26"/>
      <c r="AX9" s="26"/>
      <c r="AY9" s="26"/>
      <c r="AZ9" s="28"/>
      <c r="BA9" s="28"/>
      <c r="BB9" s="28"/>
      <c r="BC9" s="29">
        <f t="shared" si="8"/>
        <v>0</v>
      </c>
      <c r="BD9" s="24">
        <f t="shared" si="0"/>
        <v>290000</v>
      </c>
      <c r="BE9" s="24">
        <f t="shared" si="0"/>
        <v>3692850</v>
      </c>
      <c r="BF9" s="24">
        <f t="shared" si="0"/>
        <v>2811200</v>
      </c>
      <c r="BG9" s="24">
        <f t="shared" si="1"/>
        <v>630000</v>
      </c>
      <c r="BH9" s="30">
        <f t="shared" si="1"/>
        <v>1900000</v>
      </c>
      <c r="BI9" s="30">
        <f t="shared" si="1"/>
        <v>2131500</v>
      </c>
      <c r="BJ9" s="30">
        <f t="shared" si="1"/>
        <v>1360000</v>
      </c>
      <c r="BK9" s="25">
        <f t="shared" si="9"/>
        <v>12815550</v>
      </c>
    </row>
    <row r="10" spans="1:63">
      <c r="A10" s="32"/>
      <c r="B10" s="22">
        <v>6</v>
      </c>
      <c r="C10" s="23" t="s">
        <v>36</v>
      </c>
      <c r="D10" s="35" t="s">
        <v>37</v>
      </c>
      <c r="E10" s="24" t="s">
        <v>27</v>
      </c>
      <c r="F10" s="24"/>
      <c r="G10" s="24"/>
      <c r="H10" s="24"/>
      <c r="I10" s="24"/>
      <c r="J10" s="24"/>
      <c r="K10" s="24"/>
      <c r="L10" s="24"/>
      <c r="M10" s="25">
        <f t="shared" si="2"/>
        <v>0</v>
      </c>
      <c r="N10" s="24"/>
      <c r="O10" s="24"/>
      <c r="P10" s="24"/>
      <c r="Q10" s="24"/>
      <c r="R10" s="24"/>
      <c r="S10" s="24"/>
      <c r="T10" s="24"/>
      <c r="U10" s="25">
        <f t="shared" si="3"/>
        <v>0</v>
      </c>
      <c r="V10" s="24"/>
      <c r="W10" s="24"/>
      <c r="X10" s="24"/>
      <c r="Y10" s="24"/>
      <c r="Z10" s="24"/>
      <c r="AA10" s="24"/>
      <c r="AB10" s="24"/>
      <c r="AC10" s="25">
        <f t="shared" si="4"/>
        <v>0</v>
      </c>
      <c r="AD10" s="24"/>
      <c r="AE10" s="26">
        <v>195000</v>
      </c>
      <c r="AF10" s="26">
        <f>494700+150000</f>
        <v>644700</v>
      </c>
      <c r="AG10" s="27">
        <v>625000</v>
      </c>
      <c r="AH10" s="28">
        <f>119000+178500+178500+178500+119000</f>
        <v>773500</v>
      </c>
      <c r="AI10" s="28">
        <f>648550+130900+65450</f>
        <v>844900</v>
      </c>
      <c r="AJ10" s="28">
        <v>454300</v>
      </c>
      <c r="AK10" s="29">
        <f t="shared" si="5"/>
        <v>3537400</v>
      </c>
      <c r="AL10" s="26">
        <v>0</v>
      </c>
      <c r="AM10" s="28"/>
      <c r="AN10" s="28"/>
      <c r="AO10" s="28"/>
      <c r="AP10" s="29">
        <f t="shared" si="6"/>
        <v>0</v>
      </c>
      <c r="AQ10" s="26"/>
      <c r="AR10" s="28"/>
      <c r="AS10" s="28"/>
      <c r="AT10" s="28"/>
      <c r="AU10" s="29">
        <f t="shared" si="7"/>
        <v>0</v>
      </c>
      <c r="AV10" s="26"/>
      <c r="AW10" s="26"/>
      <c r="AX10" s="26"/>
      <c r="AY10" s="26"/>
      <c r="AZ10" s="28"/>
      <c r="BA10" s="28"/>
      <c r="BB10" s="28"/>
      <c r="BC10" s="29">
        <f t="shared" si="8"/>
        <v>0</v>
      </c>
      <c r="BD10" s="24">
        <f t="shared" si="0"/>
        <v>0</v>
      </c>
      <c r="BE10" s="24">
        <f t="shared" si="0"/>
        <v>195000</v>
      </c>
      <c r="BF10" s="24">
        <f t="shared" si="0"/>
        <v>644700</v>
      </c>
      <c r="BG10" s="24">
        <f t="shared" si="1"/>
        <v>625000</v>
      </c>
      <c r="BH10" s="30">
        <f t="shared" si="1"/>
        <v>773500</v>
      </c>
      <c r="BI10" s="30">
        <f t="shared" si="1"/>
        <v>844900</v>
      </c>
      <c r="BJ10" s="30">
        <f t="shared" si="1"/>
        <v>454300</v>
      </c>
      <c r="BK10" s="25">
        <f t="shared" si="9"/>
        <v>3537400</v>
      </c>
    </row>
    <row r="11" spans="1:63">
      <c r="A11" s="32"/>
      <c r="B11" s="22">
        <v>7</v>
      </c>
      <c r="C11" s="23" t="s">
        <v>38</v>
      </c>
      <c r="D11" s="24" t="s">
        <v>39</v>
      </c>
      <c r="E11" s="24" t="s">
        <v>27</v>
      </c>
      <c r="F11" s="24">
        <v>155000</v>
      </c>
      <c r="G11" s="24">
        <v>1238552</v>
      </c>
      <c r="H11" s="24">
        <v>220000</v>
      </c>
      <c r="I11" s="24"/>
      <c r="J11" s="24"/>
      <c r="K11" s="24"/>
      <c r="L11" s="24"/>
      <c r="M11" s="25">
        <f t="shared" si="2"/>
        <v>1613552</v>
      </c>
      <c r="N11" s="24"/>
      <c r="O11" s="24"/>
      <c r="P11" s="24"/>
      <c r="Q11" s="24"/>
      <c r="R11" s="24"/>
      <c r="S11" s="24"/>
      <c r="T11" s="24"/>
      <c r="U11" s="25">
        <f t="shared" si="3"/>
        <v>0</v>
      </c>
      <c r="V11" s="24"/>
      <c r="W11" s="24"/>
      <c r="X11" s="24"/>
      <c r="Y11" s="24"/>
      <c r="Z11" s="24"/>
      <c r="AA11" s="24"/>
      <c r="AB11" s="24"/>
      <c r="AC11" s="25">
        <f t="shared" si="4"/>
        <v>0</v>
      </c>
      <c r="AD11" s="24"/>
      <c r="AE11" s="26">
        <v>1451150</v>
      </c>
      <c r="AF11" s="26">
        <v>523800</v>
      </c>
      <c r="AG11" s="27"/>
      <c r="AH11" s="28"/>
      <c r="AI11" s="28"/>
      <c r="AJ11" s="28"/>
      <c r="AK11" s="29">
        <f t="shared" si="5"/>
        <v>1974950</v>
      </c>
      <c r="AL11" s="26">
        <v>840000</v>
      </c>
      <c r="AM11" s="28">
        <f>105000+285000+315000+15000+315000+210000</f>
        <v>1245000</v>
      </c>
      <c r="AN11" s="28">
        <f>609000+890570+129000</f>
        <v>1628570</v>
      </c>
      <c r="AO11" s="28">
        <v>1519000</v>
      </c>
      <c r="AP11" s="29">
        <f t="shared" si="6"/>
        <v>5232570</v>
      </c>
      <c r="AQ11" s="26"/>
      <c r="AR11" s="28"/>
      <c r="AS11" s="28"/>
      <c r="AT11" s="28"/>
      <c r="AU11" s="29">
        <f t="shared" si="7"/>
        <v>0</v>
      </c>
      <c r="AV11" s="26"/>
      <c r="AW11" s="26"/>
      <c r="AX11" s="26"/>
      <c r="AY11" s="26"/>
      <c r="AZ11" s="28"/>
      <c r="BA11" s="28"/>
      <c r="BB11" s="28"/>
      <c r="BC11" s="29">
        <f t="shared" si="8"/>
        <v>0</v>
      </c>
      <c r="BD11" s="24">
        <f t="shared" si="0"/>
        <v>155000</v>
      </c>
      <c r="BE11" s="24">
        <f t="shared" si="0"/>
        <v>2689702</v>
      </c>
      <c r="BF11" s="24">
        <f t="shared" si="0"/>
        <v>743800</v>
      </c>
      <c r="BG11" s="24">
        <f t="shared" si="1"/>
        <v>840000</v>
      </c>
      <c r="BH11" s="30">
        <f t="shared" si="1"/>
        <v>1245000</v>
      </c>
      <c r="BI11" s="30">
        <f t="shared" si="1"/>
        <v>1628570</v>
      </c>
      <c r="BJ11" s="30">
        <f t="shared" si="1"/>
        <v>1519000</v>
      </c>
      <c r="BK11" s="25">
        <f t="shared" si="9"/>
        <v>8821072</v>
      </c>
    </row>
    <row r="12" spans="1:63">
      <c r="A12" s="32"/>
      <c r="B12" s="22">
        <v>8</v>
      </c>
      <c r="C12" s="23" t="s">
        <v>40</v>
      </c>
      <c r="D12" s="36" t="s">
        <v>29</v>
      </c>
      <c r="E12" s="24" t="s">
        <v>27</v>
      </c>
      <c r="F12" s="24"/>
      <c r="G12" s="24"/>
      <c r="H12" s="24"/>
      <c r="I12" s="24"/>
      <c r="J12" s="24"/>
      <c r="K12" s="24"/>
      <c r="L12" s="24"/>
      <c r="M12" s="25">
        <f t="shared" si="2"/>
        <v>0</v>
      </c>
      <c r="N12" s="24"/>
      <c r="O12" s="24"/>
      <c r="P12" s="24"/>
      <c r="Q12" s="24"/>
      <c r="R12" s="24"/>
      <c r="S12" s="24"/>
      <c r="T12" s="24"/>
      <c r="U12" s="25">
        <f t="shared" si="3"/>
        <v>0</v>
      </c>
      <c r="V12" s="24"/>
      <c r="W12" s="24"/>
      <c r="X12" s="24"/>
      <c r="Y12" s="24"/>
      <c r="Z12" s="24"/>
      <c r="AA12" s="24"/>
      <c r="AB12" s="24"/>
      <c r="AC12" s="25">
        <f t="shared" si="4"/>
        <v>0</v>
      </c>
      <c r="AD12" s="24"/>
      <c r="AE12" s="24">
        <v>195000</v>
      </c>
      <c r="AF12" s="26">
        <f>1004850+120000</f>
        <v>1124850</v>
      </c>
      <c r="AG12" s="27">
        <v>660000</v>
      </c>
      <c r="AH12" s="28">
        <f>140000+140000+210000+210000+140000</f>
        <v>840000</v>
      </c>
      <c r="AI12" s="28">
        <f>921315+251452+126792</f>
        <v>1299559</v>
      </c>
      <c r="AJ12" s="28">
        <v>1585478</v>
      </c>
      <c r="AK12" s="29">
        <f t="shared" si="5"/>
        <v>5704887</v>
      </c>
      <c r="AL12" s="26">
        <v>0</v>
      </c>
      <c r="AM12" s="28"/>
      <c r="AN12" s="28"/>
      <c r="AO12" s="28"/>
      <c r="AP12" s="29">
        <f t="shared" si="6"/>
        <v>0</v>
      </c>
      <c r="AQ12" s="26"/>
      <c r="AR12" s="28"/>
      <c r="AS12" s="28"/>
      <c r="AT12" s="28"/>
      <c r="AU12" s="29">
        <f t="shared" si="7"/>
        <v>0</v>
      </c>
      <c r="AV12" s="26"/>
      <c r="AW12" s="26"/>
      <c r="AX12" s="26"/>
      <c r="AY12" s="26"/>
      <c r="AZ12" s="28"/>
      <c r="BA12" s="28"/>
      <c r="BB12" s="28"/>
      <c r="BC12" s="29">
        <f t="shared" si="8"/>
        <v>0</v>
      </c>
      <c r="BD12" s="24">
        <f t="shared" si="0"/>
        <v>0</v>
      </c>
      <c r="BE12" s="24">
        <f t="shared" si="0"/>
        <v>195000</v>
      </c>
      <c r="BF12" s="24">
        <f t="shared" si="0"/>
        <v>1124850</v>
      </c>
      <c r="BG12" s="24">
        <f t="shared" si="1"/>
        <v>660000</v>
      </c>
      <c r="BH12" s="30">
        <f t="shared" si="1"/>
        <v>840000</v>
      </c>
      <c r="BI12" s="30">
        <f t="shared" si="1"/>
        <v>1299559</v>
      </c>
      <c r="BJ12" s="30">
        <f t="shared" si="1"/>
        <v>1585478</v>
      </c>
      <c r="BK12" s="25">
        <f t="shared" si="9"/>
        <v>5704887</v>
      </c>
    </row>
    <row r="13" spans="1:63">
      <c r="A13" s="32"/>
      <c r="B13" s="22">
        <v>9</v>
      </c>
      <c r="C13" s="23" t="s">
        <v>41</v>
      </c>
      <c r="D13" s="24" t="s">
        <v>42</v>
      </c>
      <c r="E13" s="24" t="s">
        <v>27</v>
      </c>
      <c r="F13" s="24"/>
      <c r="G13" s="24"/>
      <c r="H13" s="24"/>
      <c r="I13" s="24"/>
      <c r="J13" s="24"/>
      <c r="K13" s="24"/>
      <c r="L13" s="24"/>
      <c r="M13" s="25">
        <f t="shared" si="2"/>
        <v>0</v>
      </c>
      <c r="N13" s="34"/>
      <c r="O13" s="34"/>
      <c r="P13" s="34">
        <v>290000</v>
      </c>
      <c r="Q13" s="34">
        <v>775000</v>
      </c>
      <c r="R13" s="24">
        <f>150000+675000+225000+150000</f>
        <v>1200000</v>
      </c>
      <c r="S13" s="24">
        <f>1425000+450000</f>
        <v>1875000</v>
      </c>
      <c r="T13" s="24">
        <f>600000+300000+150000+150000+150000+300000+150000</f>
        <v>1800000</v>
      </c>
      <c r="U13" s="25">
        <f t="shared" si="3"/>
        <v>5940000</v>
      </c>
      <c r="V13" s="24"/>
      <c r="W13" s="24"/>
      <c r="X13" s="24"/>
      <c r="Y13" s="24"/>
      <c r="Z13" s="24"/>
      <c r="AA13" s="24"/>
      <c r="AB13" s="24"/>
      <c r="AC13" s="25">
        <f t="shared" si="4"/>
        <v>0</v>
      </c>
      <c r="AD13" s="24"/>
      <c r="AE13" s="26"/>
      <c r="AF13" s="26"/>
      <c r="AG13" s="26"/>
      <c r="AH13" s="28"/>
      <c r="AI13" s="28"/>
      <c r="AJ13" s="28"/>
      <c r="AK13" s="29">
        <f t="shared" si="5"/>
        <v>0</v>
      </c>
      <c r="AL13" s="26">
        <v>0</v>
      </c>
      <c r="AM13" s="28"/>
      <c r="AN13" s="28"/>
      <c r="AO13" s="28"/>
      <c r="AP13" s="29">
        <f t="shared" si="6"/>
        <v>0</v>
      </c>
      <c r="AQ13" s="26"/>
      <c r="AR13" s="28"/>
      <c r="AS13" s="28"/>
      <c r="AT13" s="28"/>
      <c r="AU13" s="29">
        <f t="shared" si="7"/>
        <v>0</v>
      </c>
      <c r="AV13" s="26"/>
      <c r="AW13" s="26"/>
      <c r="AX13" s="26"/>
      <c r="AY13" s="26"/>
      <c r="AZ13" s="28"/>
      <c r="BA13" s="28"/>
      <c r="BB13" s="28"/>
      <c r="BC13" s="29">
        <f t="shared" si="8"/>
        <v>0</v>
      </c>
      <c r="BD13" s="24">
        <f t="shared" si="0"/>
        <v>0</v>
      </c>
      <c r="BE13" s="24">
        <f t="shared" si="0"/>
        <v>0</v>
      </c>
      <c r="BF13" s="24">
        <f t="shared" si="0"/>
        <v>290000</v>
      </c>
      <c r="BG13" s="24">
        <f t="shared" si="1"/>
        <v>775000</v>
      </c>
      <c r="BH13" s="30">
        <f t="shared" si="1"/>
        <v>1200000</v>
      </c>
      <c r="BI13" s="30">
        <f t="shared" si="1"/>
        <v>1875000</v>
      </c>
      <c r="BJ13" s="30">
        <f t="shared" si="1"/>
        <v>1800000</v>
      </c>
      <c r="BK13" s="25">
        <f t="shared" si="9"/>
        <v>5940000</v>
      </c>
    </row>
    <row r="14" spans="1:63" ht="31.5">
      <c r="A14" s="32"/>
      <c r="B14" s="22">
        <v>10</v>
      </c>
      <c r="C14" s="23" t="s">
        <v>43</v>
      </c>
      <c r="D14" s="24" t="s">
        <v>44</v>
      </c>
      <c r="E14" s="24" t="s">
        <v>27</v>
      </c>
      <c r="F14" s="24"/>
      <c r="G14" s="24"/>
      <c r="H14" s="24">
        <f>155000+32667</f>
        <v>187667</v>
      </c>
      <c r="I14" s="24">
        <f>100000+20000+20000</f>
        <v>140000</v>
      </c>
      <c r="J14" s="24"/>
      <c r="K14" s="24"/>
      <c r="L14" s="24"/>
      <c r="M14" s="25">
        <f t="shared" si="2"/>
        <v>327667</v>
      </c>
      <c r="N14" s="24"/>
      <c r="O14" s="24"/>
      <c r="P14" s="24"/>
      <c r="Q14" s="24"/>
      <c r="R14" s="24"/>
      <c r="S14" s="24"/>
      <c r="T14" s="24"/>
      <c r="U14" s="25">
        <f t="shared" si="3"/>
        <v>0</v>
      </c>
      <c r="V14" s="24"/>
      <c r="W14" s="24"/>
      <c r="X14" s="24"/>
      <c r="Y14" s="24"/>
      <c r="Z14" s="24"/>
      <c r="AA14" s="24"/>
      <c r="AB14" s="24"/>
      <c r="AC14" s="25">
        <f t="shared" si="4"/>
        <v>0</v>
      </c>
      <c r="AD14" s="24"/>
      <c r="AE14" s="26">
        <v>641000</v>
      </c>
      <c r="AF14" s="26">
        <f>787850+210000</f>
        <v>997850</v>
      </c>
      <c r="AG14" s="26">
        <v>60000</v>
      </c>
      <c r="AH14" s="28"/>
      <c r="AI14" s="28"/>
      <c r="AJ14" s="28"/>
      <c r="AK14" s="29">
        <f t="shared" si="5"/>
        <v>1698850</v>
      </c>
      <c r="AL14" s="26">
        <v>1155000</v>
      </c>
      <c r="AM14" s="28">
        <f>105000+315000+315000+315000+210000</f>
        <v>1260000</v>
      </c>
      <c r="AN14" s="28">
        <f>1421340+306320+156000</f>
        <v>1883660</v>
      </c>
      <c r="AO14" s="28">
        <v>1808890</v>
      </c>
      <c r="AP14" s="29">
        <f t="shared" si="6"/>
        <v>6107550</v>
      </c>
      <c r="AQ14" s="26"/>
      <c r="AR14" s="28"/>
      <c r="AS14" s="28"/>
      <c r="AT14" s="28"/>
      <c r="AU14" s="29">
        <f t="shared" si="7"/>
        <v>0</v>
      </c>
      <c r="AV14" s="26"/>
      <c r="AW14" s="26"/>
      <c r="AX14" s="26"/>
      <c r="AY14" s="26"/>
      <c r="AZ14" s="28"/>
      <c r="BA14" s="28"/>
      <c r="BB14" s="28"/>
      <c r="BC14" s="29">
        <f t="shared" si="8"/>
        <v>0</v>
      </c>
      <c r="BD14" s="24">
        <f t="shared" si="0"/>
        <v>0</v>
      </c>
      <c r="BE14" s="24">
        <f t="shared" si="0"/>
        <v>641000</v>
      </c>
      <c r="BF14" s="24">
        <f t="shared" si="0"/>
        <v>1185517</v>
      </c>
      <c r="BG14" s="24">
        <f t="shared" si="1"/>
        <v>1355000</v>
      </c>
      <c r="BH14" s="30">
        <f t="shared" si="1"/>
        <v>1260000</v>
      </c>
      <c r="BI14" s="30">
        <f t="shared" si="1"/>
        <v>1883660</v>
      </c>
      <c r="BJ14" s="30">
        <f t="shared" si="1"/>
        <v>1808890</v>
      </c>
      <c r="BK14" s="25">
        <f t="shared" si="9"/>
        <v>8134067</v>
      </c>
    </row>
    <row r="15" spans="1:63">
      <c r="A15" s="14"/>
      <c r="B15" s="22">
        <v>11</v>
      </c>
      <c r="C15" s="23" t="s">
        <v>45</v>
      </c>
      <c r="D15" s="24" t="s">
        <v>46</v>
      </c>
      <c r="E15" s="24" t="s">
        <v>27</v>
      </c>
      <c r="F15" s="24"/>
      <c r="G15" s="24"/>
      <c r="H15" s="24">
        <f>155000+190500+20000</f>
        <v>365500</v>
      </c>
      <c r="I15" s="24">
        <f>80000+20000</f>
        <v>100000</v>
      </c>
      <c r="J15" s="24"/>
      <c r="K15" s="24"/>
      <c r="L15" s="24"/>
      <c r="M15" s="25">
        <f t="shared" si="2"/>
        <v>465500</v>
      </c>
      <c r="N15" s="34"/>
      <c r="O15" s="34">
        <v>290000</v>
      </c>
      <c r="P15" s="34">
        <v>970000</v>
      </c>
      <c r="Q15" s="34">
        <v>925000</v>
      </c>
      <c r="R15" s="24">
        <f>225000+150000+75000+225000+225000+150000</f>
        <v>1050000</v>
      </c>
      <c r="S15" s="24">
        <v>1950000</v>
      </c>
      <c r="T15" s="24">
        <f>450000+450000+150000+190000+340000+200000+200000</f>
        <v>1980000</v>
      </c>
      <c r="U15" s="25">
        <f t="shared" si="3"/>
        <v>7165000</v>
      </c>
      <c r="V15" s="24"/>
      <c r="W15" s="24"/>
      <c r="X15" s="24"/>
      <c r="Y15" s="24"/>
      <c r="Z15" s="24"/>
      <c r="AA15" s="24"/>
      <c r="AB15" s="24"/>
      <c r="AC15" s="25">
        <f t="shared" si="4"/>
        <v>0</v>
      </c>
      <c r="AD15" s="24"/>
      <c r="AE15" s="24"/>
      <c r="AF15" s="24"/>
      <c r="AG15" s="24"/>
      <c r="AH15" s="28"/>
      <c r="AI15" s="28"/>
      <c r="AJ15" s="28"/>
      <c r="AK15" s="29">
        <f t="shared" si="5"/>
        <v>0</v>
      </c>
      <c r="AL15" s="26">
        <v>0</v>
      </c>
      <c r="AM15" s="28"/>
      <c r="AN15" s="28"/>
      <c r="AO15" s="28"/>
      <c r="AP15" s="29">
        <f t="shared" si="6"/>
        <v>0</v>
      </c>
      <c r="AQ15" s="26"/>
      <c r="AR15" s="28"/>
      <c r="AS15" s="28"/>
      <c r="AT15" s="28"/>
      <c r="AU15" s="29">
        <f t="shared" si="7"/>
        <v>0</v>
      </c>
      <c r="AV15" s="26"/>
      <c r="AW15" s="26"/>
      <c r="AX15" s="26"/>
      <c r="AY15" s="26"/>
      <c r="AZ15" s="28"/>
      <c r="BA15" s="28"/>
      <c r="BB15" s="28"/>
      <c r="BC15" s="29">
        <f t="shared" si="8"/>
        <v>0</v>
      </c>
      <c r="BD15" s="24">
        <f t="shared" si="0"/>
        <v>0</v>
      </c>
      <c r="BE15" s="24">
        <f t="shared" si="0"/>
        <v>290000</v>
      </c>
      <c r="BF15" s="24">
        <f t="shared" si="0"/>
        <v>1335500</v>
      </c>
      <c r="BG15" s="24">
        <f t="shared" si="1"/>
        <v>1025000</v>
      </c>
      <c r="BH15" s="30">
        <f t="shared" si="1"/>
        <v>1050000</v>
      </c>
      <c r="BI15" s="30">
        <f t="shared" si="1"/>
        <v>1950000</v>
      </c>
      <c r="BJ15" s="30">
        <f t="shared" si="1"/>
        <v>1980000</v>
      </c>
      <c r="BK15" s="25">
        <f t="shared" si="9"/>
        <v>7630500</v>
      </c>
    </row>
    <row r="16" spans="1:63" s="42" customFormat="1">
      <c r="A16" s="37"/>
      <c r="B16" s="37"/>
      <c r="C16" s="38" t="s">
        <v>47</v>
      </c>
      <c r="D16" s="39"/>
      <c r="E16" s="40"/>
      <c r="F16" s="40">
        <f>SUM(F5:F15)</f>
        <v>465000</v>
      </c>
      <c r="G16" s="40">
        <f t="shared" ref="G16:BK16" si="10">SUM(G5:G15)</f>
        <v>2984462</v>
      </c>
      <c r="H16" s="40">
        <f t="shared" si="10"/>
        <v>2388667</v>
      </c>
      <c r="I16" s="40">
        <f t="shared" si="10"/>
        <v>1020000</v>
      </c>
      <c r="J16" s="40">
        <f t="shared" si="10"/>
        <v>0</v>
      </c>
      <c r="K16" s="40">
        <f t="shared" si="10"/>
        <v>0</v>
      </c>
      <c r="L16" s="40">
        <f t="shared" si="10"/>
        <v>0</v>
      </c>
      <c r="M16" s="40">
        <f>SUM(M5:M15)</f>
        <v>6858129</v>
      </c>
      <c r="N16" s="40">
        <f t="shared" si="10"/>
        <v>290000</v>
      </c>
      <c r="O16" s="40">
        <f t="shared" si="10"/>
        <v>1550000</v>
      </c>
      <c r="P16" s="40">
        <f t="shared" si="10"/>
        <v>2180000</v>
      </c>
      <c r="Q16" s="40">
        <f t="shared" si="10"/>
        <v>2000000</v>
      </c>
      <c r="R16" s="40">
        <f t="shared" si="10"/>
        <v>2250000</v>
      </c>
      <c r="S16" s="40">
        <f t="shared" si="10"/>
        <v>3825000</v>
      </c>
      <c r="T16" s="40">
        <f t="shared" si="10"/>
        <v>3780000</v>
      </c>
      <c r="U16" s="40">
        <f t="shared" si="10"/>
        <v>15875000</v>
      </c>
      <c r="V16" s="40">
        <f t="shared" si="10"/>
        <v>0</v>
      </c>
      <c r="W16" s="40">
        <f t="shared" si="10"/>
        <v>1553000</v>
      </c>
      <c r="X16" s="40">
        <f t="shared" si="10"/>
        <v>3599000</v>
      </c>
      <c r="Y16" s="40">
        <f t="shared" si="10"/>
        <v>600000</v>
      </c>
      <c r="Z16" s="40">
        <f t="shared" si="10"/>
        <v>0</v>
      </c>
      <c r="AA16" s="40">
        <f t="shared" si="10"/>
        <v>0</v>
      </c>
      <c r="AB16" s="40">
        <f t="shared" si="10"/>
        <v>0</v>
      </c>
      <c r="AC16" s="40">
        <f t="shared" si="10"/>
        <v>5752000</v>
      </c>
      <c r="AD16" s="40">
        <f t="shared" si="10"/>
        <v>390000</v>
      </c>
      <c r="AE16" s="40">
        <f t="shared" si="10"/>
        <v>6700250</v>
      </c>
      <c r="AF16" s="40">
        <f t="shared" si="10"/>
        <v>6943550</v>
      </c>
      <c r="AG16" s="40">
        <f t="shared" si="10"/>
        <v>1885000</v>
      </c>
      <c r="AH16" s="40">
        <f t="shared" si="10"/>
        <v>1613500</v>
      </c>
      <c r="AI16" s="40">
        <f t="shared" si="10"/>
        <v>2144459</v>
      </c>
      <c r="AJ16" s="40">
        <f t="shared" si="10"/>
        <v>2039778</v>
      </c>
      <c r="AK16" s="40">
        <f t="shared" si="10"/>
        <v>21716537</v>
      </c>
      <c r="AL16" s="40">
        <f t="shared" si="10"/>
        <v>6356000</v>
      </c>
      <c r="AM16" s="40">
        <f t="shared" si="10"/>
        <v>7293000</v>
      </c>
      <c r="AN16" s="40">
        <f>SUM(AN5:AN15)</f>
        <v>10548119</v>
      </c>
      <c r="AO16" s="40">
        <f>SUM(AO5:AO15)</f>
        <v>10418445</v>
      </c>
      <c r="AP16" s="40">
        <f>SUM(AP5:AP15)</f>
        <v>34615564</v>
      </c>
      <c r="AQ16" s="40">
        <f t="shared" si="10"/>
        <v>0</v>
      </c>
      <c r="AR16" s="40">
        <f t="shared" si="10"/>
        <v>1900000</v>
      </c>
      <c r="AS16" s="40">
        <f t="shared" si="10"/>
        <v>2131500</v>
      </c>
      <c r="AT16" s="40">
        <f t="shared" si="10"/>
        <v>1360000</v>
      </c>
      <c r="AU16" s="40">
        <f t="shared" si="10"/>
        <v>5391500</v>
      </c>
      <c r="AV16" s="40">
        <f t="shared" si="10"/>
        <v>0</v>
      </c>
      <c r="AW16" s="40">
        <f t="shared" si="10"/>
        <v>0</v>
      </c>
      <c r="AX16" s="40">
        <f t="shared" si="10"/>
        <v>0</v>
      </c>
      <c r="AY16" s="40">
        <f t="shared" si="10"/>
        <v>0</v>
      </c>
      <c r="AZ16" s="40">
        <f t="shared" si="10"/>
        <v>0</v>
      </c>
      <c r="BA16" s="40">
        <f t="shared" si="10"/>
        <v>0</v>
      </c>
      <c r="BB16" s="40">
        <f t="shared" si="10"/>
        <v>0</v>
      </c>
      <c r="BC16" s="40">
        <f t="shared" si="10"/>
        <v>0</v>
      </c>
      <c r="BD16" s="40">
        <f t="shared" si="10"/>
        <v>1145000</v>
      </c>
      <c r="BE16" s="40">
        <f t="shared" si="10"/>
        <v>12787712</v>
      </c>
      <c r="BF16" s="40">
        <f t="shared" si="10"/>
        <v>15111217</v>
      </c>
      <c r="BG16" s="40">
        <f t="shared" si="10"/>
        <v>11861000</v>
      </c>
      <c r="BH16" s="40">
        <f t="shared" si="10"/>
        <v>13056500</v>
      </c>
      <c r="BI16" s="41">
        <f>SUM(BI5:BI15)</f>
        <v>18649078</v>
      </c>
      <c r="BJ16" s="40">
        <f t="shared" ref="BJ16" si="11">SUM(BJ5:BJ15)</f>
        <v>17598223</v>
      </c>
      <c r="BK16" s="40">
        <f t="shared" si="10"/>
        <v>90208730</v>
      </c>
    </row>
    <row r="17" spans="1:63">
      <c r="A17" s="6" t="s">
        <v>48</v>
      </c>
      <c r="B17" s="22">
        <v>1</v>
      </c>
      <c r="C17" s="23" t="s">
        <v>49</v>
      </c>
      <c r="D17" s="24" t="s">
        <v>50</v>
      </c>
      <c r="E17" s="24" t="s">
        <v>48</v>
      </c>
      <c r="F17" s="24"/>
      <c r="G17" s="24"/>
      <c r="H17" s="24"/>
      <c r="I17" s="24"/>
      <c r="J17" s="24"/>
      <c r="K17" s="24"/>
      <c r="L17" s="24"/>
      <c r="M17" s="25">
        <f t="shared" ref="M17:M20" si="12">SUM(F17:L17)</f>
        <v>0</v>
      </c>
      <c r="N17" s="24"/>
      <c r="O17" s="24"/>
      <c r="P17" s="24"/>
      <c r="Q17" s="24"/>
      <c r="R17" s="24"/>
      <c r="S17" s="24"/>
      <c r="T17" s="24"/>
      <c r="U17" s="25">
        <f t="shared" ref="U17:U20" si="13">SUM(N17:T17)</f>
        <v>0</v>
      </c>
      <c r="V17" s="24"/>
      <c r="W17" s="24"/>
      <c r="X17" s="24"/>
      <c r="Y17" s="24"/>
      <c r="Z17" s="24"/>
      <c r="AA17" s="24">
        <v>190000</v>
      </c>
      <c r="AB17" s="24"/>
      <c r="AC17" s="25">
        <f t="shared" ref="AC17:AC20" si="14">SUM(V17:AB17)</f>
        <v>190000</v>
      </c>
      <c r="AD17" s="24"/>
      <c r="AE17" s="24"/>
      <c r="AF17" s="24"/>
      <c r="AG17" s="24"/>
      <c r="AH17" s="28"/>
      <c r="AI17" s="28"/>
      <c r="AJ17" s="28"/>
      <c r="AK17" s="29">
        <f t="shared" ref="AK17:AK20" si="15">SUM(AD17:AJ17)</f>
        <v>0</v>
      </c>
      <c r="AL17" s="26"/>
      <c r="AM17" s="28"/>
      <c r="AN17" s="28"/>
      <c r="AO17" s="28"/>
      <c r="AP17" s="29">
        <f t="shared" ref="AP17:AP20" si="16">SUM(AL17:AO17)</f>
        <v>0</v>
      </c>
      <c r="AQ17" s="26"/>
      <c r="AR17" s="28"/>
      <c r="AS17" s="28"/>
      <c r="AT17" s="28"/>
      <c r="AU17" s="29">
        <f t="shared" ref="AU17:AU20" si="17">SUM(AQ17:AT17)</f>
        <v>0</v>
      </c>
      <c r="AV17" s="26"/>
      <c r="AW17" s="26"/>
      <c r="AX17" s="26"/>
      <c r="AY17" s="26"/>
      <c r="AZ17" s="28"/>
      <c r="BA17" s="28"/>
      <c r="BB17" s="28"/>
      <c r="BC17" s="29">
        <f t="shared" ref="BC17:BC20" si="18">SUM(AV17:BB17)</f>
        <v>0</v>
      </c>
      <c r="BD17" s="24">
        <f t="shared" ref="BD17:BF20" si="19">F17+N17+V17+AD17+AV17</f>
        <v>0</v>
      </c>
      <c r="BE17" s="24">
        <f t="shared" si="19"/>
        <v>0</v>
      </c>
      <c r="BF17" s="24">
        <f t="shared" si="19"/>
        <v>0</v>
      </c>
      <c r="BG17" s="24">
        <f t="shared" ref="BG17:BJ20" si="20">I17+Q17+Y17+AG17+AL17+AQ17+AY17</f>
        <v>0</v>
      </c>
      <c r="BH17" s="30">
        <f t="shared" si="20"/>
        <v>0</v>
      </c>
      <c r="BI17" s="30">
        <f t="shared" si="20"/>
        <v>190000</v>
      </c>
      <c r="BJ17" s="30">
        <f t="shared" si="20"/>
        <v>0</v>
      </c>
      <c r="BK17" s="25">
        <f t="shared" ref="BK17:BK20" si="21">SUM(BD17:BJ17)</f>
        <v>190000</v>
      </c>
    </row>
    <row r="18" spans="1:63">
      <c r="A18" s="32"/>
      <c r="B18" s="22">
        <v>1</v>
      </c>
      <c r="C18" s="23" t="s">
        <v>51</v>
      </c>
      <c r="D18" s="24" t="s">
        <v>52</v>
      </c>
      <c r="E18" s="24" t="s">
        <v>48</v>
      </c>
      <c r="F18" s="24"/>
      <c r="G18" s="24"/>
      <c r="H18" s="24">
        <v>155000</v>
      </c>
      <c r="I18" s="24">
        <v>533000</v>
      </c>
      <c r="J18" s="24">
        <f>140000+105000+105000+70000</f>
        <v>420000</v>
      </c>
      <c r="K18" s="24">
        <f>454100+96000+47000</f>
        <v>597100</v>
      </c>
      <c r="L18" s="24">
        <v>547500</v>
      </c>
      <c r="M18" s="25">
        <f t="shared" si="12"/>
        <v>2252600</v>
      </c>
      <c r="N18" s="24"/>
      <c r="O18" s="24"/>
      <c r="P18" s="24"/>
      <c r="Q18" s="24"/>
      <c r="R18" s="24"/>
      <c r="S18" s="24"/>
      <c r="T18" s="24"/>
      <c r="U18" s="25">
        <f t="shared" si="13"/>
        <v>0</v>
      </c>
      <c r="V18" s="24"/>
      <c r="W18" s="24"/>
      <c r="X18" s="24"/>
      <c r="Y18" s="24"/>
      <c r="Z18" s="24"/>
      <c r="AA18" s="24"/>
      <c r="AB18" s="24"/>
      <c r="AC18" s="25">
        <f t="shared" si="14"/>
        <v>0</v>
      </c>
      <c r="AD18" s="24"/>
      <c r="AE18" s="24"/>
      <c r="AF18" s="24"/>
      <c r="AG18" s="24"/>
      <c r="AH18" s="28"/>
      <c r="AI18" s="28"/>
      <c r="AJ18" s="28"/>
      <c r="AK18" s="29">
        <f t="shared" si="15"/>
        <v>0</v>
      </c>
      <c r="AL18" s="26"/>
      <c r="AM18" s="28"/>
      <c r="AN18" s="28"/>
      <c r="AO18" s="28"/>
      <c r="AP18" s="29">
        <f t="shared" si="16"/>
        <v>0</v>
      </c>
      <c r="AQ18" s="26"/>
      <c r="AR18" s="28"/>
      <c r="AS18" s="28"/>
      <c r="AT18" s="28"/>
      <c r="AU18" s="29">
        <f t="shared" si="17"/>
        <v>0</v>
      </c>
      <c r="AV18" s="26"/>
      <c r="AW18" s="26"/>
      <c r="AX18" s="26"/>
      <c r="AY18" s="26"/>
      <c r="AZ18" s="28"/>
      <c r="BA18" s="28"/>
      <c r="BB18" s="28"/>
      <c r="BC18" s="29">
        <f t="shared" si="18"/>
        <v>0</v>
      </c>
      <c r="BD18" s="24">
        <f t="shared" si="19"/>
        <v>0</v>
      </c>
      <c r="BE18" s="24">
        <f t="shared" si="19"/>
        <v>0</v>
      </c>
      <c r="BF18" s="24">
        <f t="shared" si="19"/>
        <v>155000</v>
      </c>
      <c r="BG18" s="24">
        <f t="shared" si="20"/>
        <v>533000</v>
      </c>
      <c r="BH18" s="30">
        <f t="shared" si="20"/>
        <v>420000</v>
      </c>
      <c r="BI18" s="30">
        <f t="shared" si="20"/>
        <v>597100</v>
      </c>
      <c r="BJ18" s="30">
        <f t="shared" si="20"/>
        <v>547500</v>
      </c>
      <c r="BK18" s="25">
        <f t="shared" si="21"/>
        <v>2252600</v>
      </c>
    </row>
    <row r="19" spans="1:63">
      <c r="A19" s="32"/>
      <c r="B19" s="22">
        <v>2</v>
      </c>
      <c r="C19" s="43" t="s">
        <v>53</v>
      </c>
      <c r="D19" s="44" t="s">
        <v>54</v>
      </c>
      <c r="E19" s="44" t="s">
        <v>48</v>
      </c>
      <c r="F19" s="24"/>
      <c r="G19" s="24"/>
      <c r="H19" s="24"/>
      <c r="I19" s="24"/>
      <c r="J19" s="24">
        <v>155000</v>
      </c>
      <c r="K19" s="24">
        <v>309000</v>
      </c>
      <c r="L19" s="24">
        <v>646800</v>
      </c>
      <c r="M19" s="25">
        <f t="shared" si="12"/>
        <v>1110800</v>
      </c>
      <c r="N19" s="24"/>
      <c r="O19" s="24"/>
      <c r="P19" s="24"/>
      <c r="Q19" s="24"/>
      <c r="R19" s="24"/>
      <c r="S19" s="24"/>
      <c r="T19" s="24"/>
      <c r="U19" s="25">
        <f t="shared" si="13"/>
        <v>0</v>
      </c>
      <c r="V19" s="24"/>
      <c r="W19" s="24"/>
      <c r="X19" s="24"/>
      <c r="Y19" s="24"/>
      <c r="Z19" s="24"/>
      <c r="AA19" s="24"/>
      <c r="AB19" s="24"/>
      <c r="AC19" s="25">
        <f t="shared" si="14"/>
        <v>0</v>
      </c>
      <c r="AD19" s="24"/>
      <c r="AE19" s="24"/>
      <c r="AF19" s="24"/>
      <c r="AG19" s="24"/>
      <c r="AH19" s="28"/>
      <c r="AI19" s="28"/>
      <c r="AJ19" s="28"/>
      <c r="AK19" s="29">
        <f t="shared" si="15"/>
        <v>0</v>
      </c>
      <c r="AL19" s="26"/>
      <c r="AM19" s="28"/>
      <c r="AN19" s="28"/>
      <c r="AO19" s="28"/>
      <c r="AP19" s="29">
        <f t="shared" si="16"/>
        <v>0</v>
      </c>
      <c r="AQ19" s="26"/>
      <c r="AR19" s="28"/>
      <c r="AS19" s="28"/>
      <c r="AT19" s="28"/>
      <c r="AU19" s="29">
        <f t="shared" si="17"/>
        <v>0</v>
      </c>
      <c r="AV19" s="26"/>
      <c r="AW19" s="26"/>
      <c r="AX19" s="26"/>
      <c r="AY19" s="26"/>
      <c r="AZ19" s="28"/>
      <c r="BA19" s="28"/>
      <c r="BB19" s="28"/>
      <c r="BC19" s="29">
        <f t="shared" si="18"/>
        <v>0</v>
      </c>
      <c r="BD19" s="24">
        <f t="shared" si="19"/>
        <v>0</v>
      </c>
      <c r="BE19" s="24">
        <f t="shared" si="19"/>
        <v>0</v>
      </c>
      <c r="BF19" s="24">
        <f t="shared" si="19"/>
        <v>0</v>
      </c>
      <c r="BG19" s="24">
        <f t="shared" si="20"/>
        <v>0</v>
      </c>
      <c r="BH19" s="30">
        <f t="shared" si="20"/>
        <v>155000</v>
      </c>
      <c r="BI19" s="30">
        <f t="shared" si="20"/>
        <v>309000</v>
      </c>
      <c r="BJ19" s="30">
        <f t="shared" si="20"/>
        <v>646800</v>
      </c>
      <c r="BK19" s="25">
        <f t="shared" si="21"/>
        <v>1110800</v>
      </c>
    </row>
    <row r="20" spans="1:63">
      <c r="A20" s="14"/>
      <c r="B20" s="22">
        <v>3</v>
      </c>
      <c r="C20" s="23" t="s">
        <v>55</v>
      </c>
      <c r="D20" s="24" t="s">
        <v>56</v>
      </c>
      <c r="E20" s="24" t="s">
        <v>48</v>
      </c>
      <c r="F20" s="24">
        <v>155000</v>
      </c>
      <c r="G20" s="24"/>
      <c r="H20" s="24">
        <f>418500+93000+46500</f>
        <v>558000</v>
      </c>
      <c r="I20" s="24">
        <v>417000</v>
      </c>
      <c r="J20" s="24">
        <f>102000+98000+98500+106500+36000</f>
        <v>441000</v>
      </c>
      <c r="K20" s="24">
        <f>533300+99000+49500</f>
        <v>681800</v>
      </c>
      <c r="L20" s="24">
        <v>247500</v>
      </c>
      <c r="M20" s="25">
        <f t="shared" si="12"/>
        <v>2500300</v>
      </c>
      <c r="N20" s="24"/>
      <c r="O20" s="24"/>
      <c r="P20" s="24"/>
      <c r="Q20" s="24"/>
      <c r="R20" s="24"/>
      <c r="S20" s="24"/>
      <c r="T20" s="24"/>
      <c r="U20" s="25">
        <f t="shared" si="13"/>
        <v>0</v>
      </c>
      <c r="V20" s="24">
        <v>290000</v>
      </c>
      <c r="W20" s="24"/>
      <c r="X20" s="24"/>
      <c r="Y20" s="24">
        <v>800000</v>
      </c>
      <c r="Z20" s="24"/>
      <c r="AA20" s="24"/>
      <c r="AB20" s="24"/>
      <c r="AC20" s="25">
        <f t="shared" si="14"/>
        <v>1090000</v>
      </c>
      <c r="AD20" s="24"/>
      <c r="AE20" s="24"/>
      <c r="AF20" s="24"/>
      <c r="AG20" s="24"/>
      <c r="AH20" s="28"/>
      <c r="AI20" s="28"/>
      <c r="AJ20" s="28"/>
      <c r="AK20" s="29">
        <f t="shared" si="15"/>
        <v>0</v>
      </c>
      <c r="AL20" s="26"/>
      <c r="AM20" s="28"/>
      <c r="AN20" s="28"/>
      <c r="AO20" s="28"/>
      <c r="AP20" s="29">
        <f t="shared" si="16"/>
        <v>0</v>
      </c>
      <c r="AQ20" s="26"/>
      <c r="AR20" s="28"/>
      <c r="AS20" s="28"/>
      <c r="AT20" s="28"/>
      <c r="AU20" s="29">
        <f t="shared" si="17"/>
        <v>0</v>
      </c>
      <c r="AV20" s="26"/>
      <c r="AW20" s="26"/>
      <c r="AX20" s="26"/>
      <c r="AY20" s="26"/>
      <c r="AZ20" s="28"/>
      <c r="BA20" s="28"/>
      <c r="BB20" s="28"/>
      <c r="BC20" s="29">
        <f t="shared" si="18"/>
        <v>0</v>
      </c>
      <c r="BD20" s="24">
        <f t="shared" si="19"/>
        <v>445000</v>
      </c>
      <c r="BE20" s="24">
        <f t="shared" si="19"/>
        <v>0</v>
      </c>
      <c r="BF20" s="24">
        <f t="shared" si="19"/>
        <v>558000</v>
      </c>
      <c r="BG20" s="24">
        <f t="shared" si="20"/>
        <v>1217000</v>
      </c>
      <c r="BH20" s="30">
        <f t="shared" si="20"/>
        <v>441000</v>
      </c>
      <c r="BI20" s="30">
        <f t="shared" si="20"/>
        <v>681800</v>
      </c>
      <c r="BJ20" s="30">
        <f t="shared" si="20"/>
        <v>247500</v>
      </c>
      <c r="BK20" s="25">
        <f t="shared" si="21"/>
        <v>3590300</v>
      </c>
    </row>
    <row r="21" spans="1:63" s="42" customFormat="1">
      <c r="A21" s="37"/>
      <c r="B21" s="37"/>
      <c r="C21" s="38" t="s">
        <v>57</v>
      </c>
      <c r="D21" s="39"/>
      <c r="E21" s="40"/>
      <c r="F21" s="40">
        <f>SUM(F17:F20)</f>
        <v>155000</v>
      </c>
      <c r="G21" s="40">
        <f t="shared" ref="G21:BK21" si="22">SUM(G17:G20)</f>
        <v>0</v>
      </c>
      <c r="H21" s="40">
        <f t="shared" si="22"/>
        <v>713000</v>
      </c>
      <c r="I21" s="40">
        <f t="shared" si="22"/>
        <v>950000</v>
      </c>
      <c r="J21" s="40">
        <f t="shared" si="22"/>
        <v>1016000</v>
      </c>
      <c r="K21" s="40">
        <f t="shared" si="22"/>
        <v>1587900</v>
      </c>
      <c r="L21" s="40">
        <f t="shared" si="22"/>
        <v>1441800</v>
      </c>
      <c r="M21" s="40">
        <f t="shared" si="22"/>
        <v>5863700</v>
      </c>
      <c r="N21" s="40">
        <f t="shared" si="22"/>
        <v>0</v>
      </c>
      <c r="O21" s="40">
        <f t="shared" si="22"/>
        <v>0</v>
      </c>
      <c r="P21" s="40">
        <f t="shared" si="22"/>
        <v>0</v>
      </c>
      <c r="Q21" s="40">
        <f t="shared" si="22"/>
        <v>0</v>
      </c>
      <c r="R21" s="40">
        <f t="shared" si="22"/>
        <v>0</v>
      </c>
      <c r="S21" s="40">
        <f t="shared" si="22"/>
        <v>0</v>
      </c>
      <c r="T21" s="40">
        <f t="shared" si="22"/>
        <v>0</v>
      </c>
      <c r="U21" s="40">
        <f t="shared" si="22"/>
        <v>0</v>
      </c>
      <c r="V21" s="40">
        <f t="shared" si="22"/>
        <v>290000</v>
      </c>
      <c r="W21" s="40">
        <f t="shared" si="22"/>
        <v>0</v>
      </c>
      <c r="X21" s="40">
        <f t="shared" si="22"/>
        <v>0</v>
      </c>
      <c r="Y21" s="40">
        <f t="shared" si="22"/>
        <v>800000</v>
      </c>
      <c r="Z21" s="40">
        <f t="shared" si="22"/>
        <v>0</v>
      </c>
      <c r="AA21" s="40">
        <f t="shared" si="22"/>
        <v>190000</v>
      </c>
      <c r="AB21" s="40">
        <f t="shared" si="22"/>
        <v>0</v>
      </c>
      <c r="AC21" s="40">
        <f t="shared" si="22"/>
        <v>1280000</v>
      </c>
      <c r="AD21" s="40">
        <f t="shared" si="22"/>
        <v>0</v>
      </c>
      <c r="AE21" s="40">
        <f t="shared" si="22"/>
        <v>0</v>
      </c>
      <c r="AF21" s="40">
        <f t="shared" si="22"/>
        <v>0</v>
      </c>
      <c r="AG21" s="40">
        <f t="shared" si="22"/>
        <v>0</v>
      </c>
      <c r="AH21" s="40">
        <f t="shared" si="22"/>
        <v>0</v>
      </c>
      <c r="AI21" s="40">
        <f t="shared" si="22"/>
        <v>0</v>
      </c>
      <c r="AJ21" s="40">
        <f t="shared" si="22"/>
        <v>0</v>
      </c>
      <c r="AK21" s="40">
        <f t="shared" si="22"/>
        <v>0</v>
      </c>
      <c r="AL21" s="40">
        <f t="shared" si="22"/>
        <v>0</v>
      </c>
      <c r="AM21" s="40">
        <f t="shared" si="22"/>
        <v>0</v>
      </c>
      <c r="AN21" s="40">
        <f>SUM(AN17:AN20)</f>
        <v>0</v>
      </c>
      <c r="AO21" s="40">
        <f>SUM(AO17:AO20)</f>
        <v>0</v>
      </c>
      <c r="AP21" s="40">
        <f>SUM(AP17:AP20)</f>
        <v>0</v>
      </c>
      <c r="AQ21" s="40">
        <f t="shared" si="22"/>
        <v>0</v>
      </c>
      <c r="AR21" s="40">
        <f t="shared" si="22"/>
        <v>0</v>
      </c>
      <c r="AS21" s="40">
        <f t="shared" si="22"/>
        <v>0</v>
      </c>
      <c r="AT21" s="40">
        <f t="shared" si="22"/>
        <v>0</v>
      </c>
      <c r="AU21" s="40">
        <f t="shared" si="22"/>
        <v>0</v>
      </c>
      <c r="AV21" s="40">
        <f t="shared" si="22"/>
        <v>0</v>
      </c>
      <c r="AW21" s="40">
        <f t="shared" si="22"/>
        <v>0</v>
      </c>
      <c r="AX21" s="40">
        <f t="shared" si="22"/>
        <v>0</v>
      </c>
      <c r="AY21" s="40">
        <f t="shared" si="22"/>
        <v>0</v>
      </c>
      <c r="AZ21" s="40">
        <f t="shared" si="22"/>
        <v>0</v>
      </c>
      <c r="BA21" s="40">
        <f t="shared" si="22"/>
        <v>0</v>
      </c>
      <c r="BB21" s="40">
        <f t="shared" si="22"/>
        <v>0</v>
      </c>
      <c r="BC21" s="40">
        <f t="shared" si="22"/>
        <v>0</v>
      </c>
      <c r="BD21" s="40">
        <f t="shared" si="22"/>
        <v>445000</v>
      </c>
      <c r="BE21" s="40">
        <f t="shared" si="22"/>
        <v>0</v>
      </c>
      <c r="BF21" s="40">
        <f t="shared" si="22"/>
        <v>713000</v>
      </c>
      <c r="BG21" s="40">
        <f t="shared" si="22"/>
        <v>1750000</v>
      </c>
      <c r="BH21" s="40">
        <f t="shared" si="22"/>
        <v>1016000</v>
      </c>
      <c r="BI21" s="41">
        <f>SUM(BI17:BI20)</f>
        <v>1777900</v>
      </c>
      <c r="BJ21" s="40">
        <f t="shared" ref="BJ21" si="23">SUM(BJ17:BJ20)</f>
        <v>1441800</v>
      </c>
      <c r="BK21" s="40">
        <f t="shared" si="22"/>
        <v>7143700</v>
      </c>
    </row>
    <row r="22" spans="1:63" ht="31.5">
      <c r="A22" s="6" t="s">
        <v>58</v>
      </c>
      <c r="B22" s="22">
        <v>1</v>
      </c>
      <c r="C22" s="23" t="s">
        <v>59</v>
      </c>
      <c r="D22" s="24" t="s">
        <v>60</v>
      </c>
      <c r="E22" s="24" t="s">
        <v>58</v>
      </c>
      <c r="F22" s="24"/>
      <c r="G22" s="24"/>
      <c r="H22" s="24">
        <v>155000</v>
      </c>
      <c r="I22" s="24">
        <f>100000+40000</f>
        <v>140000</v>
      </c>
      <c r="J22" s="24"/>
      <c r="K22" s="24"/>
      <c r="L22" s="24"/>
      <c r="M22" s="25">
        <f t="shared" ref="M22:M26" si="24">SUM(F22:L22)</f>
        <v>295000</v>
      </c>
      <c r="N22" s="24"/>
      <c r="O22" s="24"/>
      <c r="P22" s="24"/>
      <c r="Q22" s="24"/>
      <c r="R22" s="24"/>
      <c r="S22" s="24"/>
      <c r="T22" s="24"/>
      <c r="U22" s="25">
        <f t="shared" ref="U22:U26" si="25">SUM(N22:T22)</f>
        <v>0</v>
      </c>
      <c r="V22" s="24"/>
      <c r="W22" s="24"/>
      <c r="X22" s="24"/>
      <c r="Y22" s="24"/>
      <c r="Z22" s="24"/>
      <c r="AA22" s="24"/>
      <c r="AB22" s="24"/>
      <c r="AC22" s="25">
        <f t="shared" ref="AC22:AC26" si="26">SUM(V22:AB22)</f>
        <v>0</v>
      </c>
      <c r="AD22" s="24"/>
      <c r="AE22" s="24"/>
      <c r="AF22" s="26">
        <v>259750</v>
      </c>
      <c r="AG22" s="27">
        <v>172000</v>
      </c>
      <c r="AH22" s="28"/>
      <c r="AI22" s="28"/>
      <c r="AJ22" s="28"/>
      <c r="AK22" s="29">
        <f t="shared" ref="AK22:AK26" si="27">SUM(AD22:AJ22)</f>
        <v>431750</v>
      </c>
      <c r="AL22" s="26">
        <v>945000</v>
      </c>
      <c r="AM22" s="28">
        <f>315000+315000+315000+210000</f>
        <v>1155000</v>
      </c>
      <c r="AN22" s="28">
        <f>1698000+309000+156000</f>
        <v>2163000</v>
      </c>
      <c r="AO22" s="28">
        <v>1872000</v>
      </c>
      <c r="AP22" s="29">
        <f t="shared" ref="AP22:AP26" si="28">SUM(AL22:AO22)</f>
        <v>6135000</v>
      </c>
      <c r="AQ22" s="26"/>
      <c r="AR22" s="28"/>
      <c r="AS22" s="28"/>
      <c r="AT22" s="28"/>
      <c r="AU22" s="29">
        <f t="shared" ref="AU22:AU26" si="29">SUM(AQ22:AT22)</f>
        <v>0</v>
      </c>
      <c r="AV22" s="26"/>
      <c r="AW22" s="26"/>
      <c r="AX22" s="26">
        <v>376000</v>
      </c>
      <c r="AY22" s="26"/>
      <c r="AZ22" s="28"/>
      <c r="BA22" s="28"/>
      <c r="BB22" s="28"/>
      <c r="BC22" s="29">
        <f t="shared" ref="BC22:BC26" si="30">SUM(AV22:BB22)</f>
        <v>376000</v>
      </c>
      <c r="BD22" s="24">
        <f t="shared" ref="BD22:BF26" si="31">F22+N22+V22+AD22+AV22</f>
        <v>0</v>
      </c>
      <c r="BE22" s="24">
        <f t="shared" si="31"/>
        <v>0</v>
      </c>
      <c r="BF22" s="24">
        <f t="shared" si="31"/>
        <v>790750</v>
      </c>
      <c r="BG22" s="24">
        <f t="shared" ref="BG22:BJ26" si="32">I22+Q22+Y22+AG22+AL22+AQ22+AY22</f>
        <v>1257000</v>
      </c>
      <c r="BH22" s="30">
        <f t="shared" si="32"/>
        <v>1155000</v>
      </c>
      <c r="BI22" s="30">
        <f t="shared" si="32"/>
        <v>2163000</v>
      </c>
      <c r="BJ22" s="30">
        <f t="shared" si="32"/>
        <v>1872000</v>
      </c>
      <c r="BK22" s="25">
        <f t="shared" ref="BK22:BK26" si="33">SUM(BD22:BJ22)</f>
        <v>7237750</v>
      </c>
    </row>
    <row r="23" spans="1:63">
      <c r="A23" s="32"/>
      <c r="B23" s="22">
        <v>2</v>
      </c>
      <c r="C23" s="23" t="s">
        <v>61</v>
      </c>
      <c r="D23" s="24" t="s">
        <v>62</v>
      </c>
      <c r="E23" s="24" t="s">
        <v>58</v>
      </c>
      <c r="F23" s="24"/>
      <c r="G23" s="24"/>
      <c r="H23" s="24">
        <v>155000</v>
      </c>
      <c r="I23" s="24">
        <f>120000+20000</f>
        <v>140000</v>
      </c>
      <c r="J23" s="24"/>
      <c r="K23" s="24"/>
      <c r="L23" s="24"/>
      <c r="M23" s="25">
        <f t="shared" si="24"/>
        <v>295000</v>
      </c>
      <c r="N23" s="24"/>
      <c r="O23" s="24"/>
      <c r="P23" s="24"/>
      <c r="Q23" s="24"/>
      <c r="R23" s="24"/>
      <c r="S23" s="24"/>
      <c r="T23" s="24"/>
      <c r="U23" s="25">
        <f t="shared" si="25"/>
        <v>0</v>
      </c>
      <c r="V23" s="24"/>
      <c r="W23" s="24"/>
      <c r="X23" s="24"/>
      <c r="Y23" s="24"/>
      <c r="Z23" s="24"/>
      <c r="AA23" s="24"/>
      <c r="AB23" s="24"/>
      <c r="AC23" s="25">
        <f t="shared" si="26"/>
        <v>0</v>
      </c>
      <c r="AD23" s="24"/>
      <c r="AE23" s="24"/>
      <c r="AF23" s="26">
        <f>258750+140000</f>
        <v>398750</v>
      </c>
      <c r="AG23" s="27">
        <v>30000</v>
      </c>
      <c r="AH23" s="28"/>
      <c r="AI23" s="28"/>
      <c r="AJ23" s="28"/>
      <c r="AK23" s="29">
        <f t="shared" si="27"/>
        <v>428750</v>
      </c>
      <c r="AL23" s="26">
        <v>945000</v>
      </c>
      <c r="AM23" s="28">
        <f>315000+313500+315000+315000+210000</f>
        <v>1468500</v>
      </c>
      <c r="AN23" s="28">
        <f>1405000+312000+156000</f>
        <v>1873000</v>
      </c>
      <c r="AO23" s="28">
        <v>1872000</v>
      </c>
      <c r="AP23" s="29">
        <f t="shared" si="28"/>
        <v>6158500</v>
      </c>
      <c r="AQ23" s="26"/>
      <c r="AR23" s="28"/>
      <c r="AS23" s="28"/>
      <c r="AT23" s="28"/>
      <c r="AU23" s="29">
        <f t="shared" si="29"/>
        <v>0</v>
      </c>
      <c r="AV23" s="26"/>
      <c r="AW23" s="26"/>
      <c r="AX23" s="26">
        <v>376000</v>
      </c>
      <c r="AY23" s="26"/>
      <c r="AZ23" s="28"/>
      <c r="BA23" s="28"/>
      <c r="BB23" s="28"/>
      <c r="BC23" s="29">
        <f t="shared" si="30"/>
        <v>376000</v>
      </c>
      <c r="BD23" s="24">
        <f t="shared" si="31"/>
        <v>0</v>
      </c>
      <c r="BE23" s="24">
        <f t="shared" si="31"/>
        <v>0</v>
      </c>
      <c r="BF23" s="24">
        <f t="shared" si="31"/>
        <v>929750</v>
      </c>
      <c r="BG23" s="24">
        <f t="shared" si="32"/>
        <v>1115000</v>
      </c>
      <c r="BH23" s="30">
        <f t="shared" si="32"/>
        <v>1468500</v>
      </c>
      <c r="BI23" s="30">
        <f t="shared" si="32"/>
        <v>1873000</v>
      </c>
      <c r="BJ23" s="30">
        <f t="shared" si="32"/>
        <v>1872000</v>
      </c>
      <c r="BK23" s="25">
        <f t="shared" si="33"/>
        <v>7258250</v>
      </c>
    </row>
    <row r="24" spans="1:63" ht="31.5">
      <c r="A24" s="32"/>
      <c r="B24" s="22">
        <v>3</v>
      </c>
      <c r="C24" s="23" t="s">
        <v>63</v>
      </c>
      <c r="D24" s="24" t="s">
        <v>64</v>
      </c>
      <c r="E24" s="24" t="s">
        <v>58</v>
      </c>
      <c r="F24" s="24"/>
      <c r="G24" s="24">
        <v>155000</v>
      </c>
      <c r="H24" s="24">
        <f>462000+77000+286000+330000+110000+40000</f>
        <v>1305000</v>
      </c>
      <c r="I24" s="24">
        <v>685500</v>
      </c>
      <c r="J24" s="24">
        <f>210000+210000</f>
        <v>420000</v>
      </c>
      <c r="K24" s="24"/>
      <c r="L24" s="24">
        <v>312500</v>
      </c>
      <c r="M24" s="25">
        <f t="shared" si="24"/>
        <v>2878000</v>
      </c>
      <c r="N24" s="24"/>
      <c r="O24" s="24"/>
      <c r="P24" s="24"/>
      <c r="Q24" s="24"/>
      <c r="R24" s="24"/>
      <c r="S24" s="24"/>
      <c r="T24" s="24"/>
      <c r="U24" s="25">
        <f t="shared" si="25"/>
        <v>0</v>
      </c>
      <c r="V24" s="24"/>
      <c r="W24" s="24">
        <v>290000</v>
      </c>
      <c r="X24" s="24">
        <v>1516000</v>
      </c>
      <c r="Y24" s="33">
        <v>300000</v>
      </c>
      <c r="Z24" s="33"/>
      <c r="AA24" s="33"/>
      <c r="AB24" s="33"/>
      <c r="AC24" s="25">
        <f t="shared" si="26"/>
        <v>2106000</v>
      </c>
      <c r="AD24" s="24"/>
      <c r="AE24" s="24"/>
      <c r="AF24" s="24"/>
      <c r="AG24" s="24"/>
      <c r="AH24" s="28"/>
      <c r="AI24" s="28"/>
      <c r="AJ24" s="28"/>
      <c r="AK24" s="29">
        <f t="shared" si="27"/>
        <v>0</v>
      </c>
      <c r="AL24" s="26"/>
      <c r="AM24" s="28"/>
      <c r="AN24" s="28"/>
      <c r="AO24" s="28"/>
      <c r="AP24" s="29">
        <f t="shared" si="28"/>
        <v>0</v>
      </c>
      <c r="AQ24" s="26"/>
      <c r="AR24" s="28"/>
      <c r="AS24" s="28"/>
      <c r="AT24" s="28"/>
      <c r="AU24" s="29">
        <f t="shared" si="29"/>
        <v>0</v>
      </c>
      <c r="AV24" s="26"/>
      <c r="AW24" s="26"/>
      <c r="AX24" s="26"/>
      <c r="AY24" s="26"/>
      <c r="AZ24" s="28"/>
      <c r="BA24" s="28"/>
      <c r="BB24" s="28"/>
      <c r="BC24" s="29">
        <f t="shared" si="30"/>
        <v>0</v>
      </c>
      <c r="BD24" s="24">
        <f t="shared" si="31"/>
        <v>0</v>
      </c>
      <c r="BE24" s="24">
        <f t="shared" si="31"/>
        <v>445000</v>
      </c>
      <c r="BF24" s="24">
        <f t="shared" si="31"/>
        <v>2821000</v>
      </c>
      <c r="BG24" s="24">
        <f t="shared" si="32"/>
        <v>985500</v>
      </c>
      <c r="BH24" s="30">
        <f t="shared" si="32"/>
        <v>420000</v>
      </c>
      <c r="BI24" s="30">
        <f t="shared" si="32"/>
        <v>0</v>
      </c>
      <c r="BJ24" s="30">
        <f t="shared" si="32"/>
        <v>312500</v>
      </c>
      <c r="BK24" s="25">
        <f t="shared" si="33"/>
        <v>4984000</v>
      </c>
    </row>
    <row r="25" spans="1:63">
      <c r="A25" s="32"/>
      <c r="B25" s="22">
        <v>4</v>
      </c>
      <c r="C25" s="23" t="s">
        <v>65</v>
      </c>
      <c r="D25" s="24" t="s">
        <v>66</v>
      </c>
      <c r="E25" s="24" t="s">
        <v>58</v>
      </c>
      <c r="F25" s="24"/>
      <c r="G25" s="24"/>
      <c r="H25" s="24"/>
      <c r="I25" s="24"/>
      <c r="J25" s="24"/>
      <c r="K25" s="24"/>
      <c r="L25" s="24"/>
      <c r="M25" s="25">
        <f t="shared" si="24"/>
        <v>0</v>
      </c>
      <c r="N25" s="24"/>
      <c r="O25" s="24"/>
      <c r="P25" s="24"/>
      <c r="Q25" s="24"/>
      <c r="R25" s="24"/>
      <c r="S25" s="24"/>
      <c r="T25" s="24"/>
      <c r="U25" s="25">
        <f t="shared" si="25"/>
        <v>0</v>
      </c>
      <c r="V25" s="24">
        <v>290000</v>
      </c>
      <c r="W25" s="45">
        <v>2093000</v>
      </c>
      <c r="X25" s="24">
        <v>1575000</v>
      </c>
      <c r="Y25" s="33"/>
      <c r="Z25" s="33"/>
      <c r="AA25" s="33"/>
      <c r="AB25" s="33"/>
      <c r="AC25" s="25">
        <f t="shared" si="26"/>
        <v>3958000</v>
      </c>
      <c r="AD25" s="24">
        <v>195000</v>
      </c>
      <c r="AE25" s="26">
        <v>1426450</v>
      </c>
      <c r="AF25" s="26">
        <v>1018500</v>
      </c>
      <c r="AG25" s="26">
        <v>950000</v>
      </c>
      <c r="AH25" s="28">
        <f>70000+210000</f>
        <v>280000</v>
      </c>
      <c r="AI25" s="28"/>
      <c r="AJ25" s="28">
        <v>2250400</v>
      </c>
      <c r="AK25" s="29">
        <f t="shared" si="27"/>
        <v>6120350</v>
      </c>
      <c r="AL25" s="26"/>
      <c r="AM25" s="28"/>
      <c r="AN25" s="28"/>
      <c r="AO25" s="28"/>
      <c r="AP25" s="29">
        <f t="shared" si="28"/>
        <v>0</v>
      </c>
      <c r="AQ25" s="26"/>
      <c r="AR25" s="28"/>
      <c r="AS25" s="28"/>
      <c r="AT25" s="28"/>
      <c r="AU25" s="29">
        <f t="shared" si="29"/>
        <v>0</v>
      </c>
      <c r="AV25" s="26"/>
      <c r="AW25" s="26">
        <v>100000</v>
      </c>
      <c r="AX25" s="26">
        <v>522000</v>
      </c>
      <c r="AY25" s="26"/>
      <c r="AZ25" s="28"/>
      <c r="BA25" s="28"/>
      <c r="BB25" s="28"/>
      <c r="BC25" s="29">
        <f t="shared" si="30"/>
        <v>622000</v>
      </c>
      <c r="BD25" s="24">
        <f t="shared" si="31"/>
        <v>485000</v>
      </c>
      <c r="BE25" s="24">
        <f t="shared" si="31"/>
        <v>3619450</v>
      </c>
      <c r="BF25" s="24">
        <f t="shared" si="31"/>
        <v>3115500</v>
      </c>
      <c r="BG25" s="24">
        <f t="shared" si="32"/>
        <v>950000</v>
      </c>
      <c r="BH25" s="30">
        <f t="shared" si="32"/>
        <v>280000</v>
      </c>
      <c r="BI25" s="30">
        <f t="shared" si="32"/>
        <v>0</v>
      </c>
      <c r="BJ25" s="30">
        <f t="shared" si="32"/>
        <v>2250400</v>
      </c>
      <c r="BK25" s="25">
        <f t="shared" si="33"/>
        <v>10700350</v>
      </c>
    </row>
    <row r="26" spans="1:63" ht="31.5">
      <c r="A26" s="14"/>
      <c r="B26" s="22">
        <v>5</v>
      </c>
      <c r="C26" s="23" t="s">
        <v>67</v>
      </c>
      <c r="D26" s="24" t="s">
        <v>68</v>
      </c>
      <c r="E26" s="24" t="s">
        <v>58</v>
      </c>
      <c r="F26" s="24">
        <v>155000</v>
      </c>
      <c r="G26" s="24">
        <v>207500</v>
      </c>
      <c r="H26" s="24">
        <v>379500</v>
      </c>
      <c r="I26" s="24"/>
      <c r="J26" s="24"/>
      <c r="K26" s="24"/>
      <c r="L26" s="24"/>
      <c r="M26" s="25">
        <f t="shared" si="24"/>
        <v>742000</v>
      </c>
      <c r="N26" s="24"/>
      <c r="O26" s="24"/>
      <c r="P26" s="24"/>
      <c r="Q26" s="24"/>
      <c r="R26" s="24"/>
      <c r="S26" s="24"/>
      <c r="T26" s="24"/>
      <c r="U26" s="25">
        <f t="shared" si="25"/>
        <v>0</v>
      </c>
      <c r="V26" s="24"/>
      <c r="W26" s="24"/>
      <c r="X26" s="24"/>
      <c r="Y26" s="24"/>
      <c r="Z26" s="24"/>
      <c r="AA26" s="24"/>
      <c r="AB26" s="24"/>
      <c r="AC26" s="25">
        <f t="shared" si="26"/>
        <v>0</v>
      </c>
      <c r="AD26" s="24"/>
      <c r="AE26" s="26">
        <v>629500</v>
      </c>
      <c r="AF26" s="26">
        <v>436500</v>
      </c>
      <c r="AG26" s="26"/>
      <c r="AH26" s="28"/>
      <c r="AI26" s="28"/>
      <c r="AJ26" s="28"/>
      <c r="AK26" s="29">
        <f t="shared" si="27"/>
        <v>1066000</v>
      </c>
      <c r="AL26" s="26"/>
      <c r="AM26" s="28"/>
      <c r="AN26" s="28"/>
      <c r="AO26" s="28">
        <v>1846200</v>
      </c>
      <c r="AP26" s="29">
        <f t="shared" si="28"/>
        <v>1846200</v>
      </c>
      <c r="AQ26" s="26"/>
      <c r="AR26" s="28"/>
      <c r="AS26" s="28"/>
      <c r="AT26" s="28"/>
      <c r="AU26" s="29">
        <f t="shared" si="29"/>
        <v>0</v>
      </c>
      <c r="AV26" s="26"/>
      <c r="AW26" s="26"/>
      <c r="AX26" s="26"/>
      <c r="AY26" s="26"/>
      <c r="AZ26" s="28"/>
      <c r="BA26" s="28"/>
      <c r="BB26" s="28"/>
      <c r="BC26" s="29">
        <f t="shared" si="30"/>
        <v>0</v>
      </c>
      <c r="BD26" s="24">
        <f t="shared" si="31"/>
        <v>155000</v>
      </c>
      <c r="BE26" s="24">
        <f t="shared" si="31"/>
        <v>837000</v>
      </c>
      <c r="BF26" s="24">
        <f t="shared" si="31"/>
        <v>816000</v>
      </c>
      <c r="BG26" s="24">
        <f t="shared" si="32"/>
        <v>0</v>
      </c>
      <c r="BH26" s="30">
        <f t="shared" si="32"/>
        <v>0</v>
      </c>
      <c r="BI26" s="30">
        <f t="shared" si="32"/>
        <v>0</v>
      </c>
      <c r="BJ26" s="30">
        <f t="shared" si="32"/>
        <v>1846200</v>
      </c>
      <c r="BK26" s="25">
        <f t="shared" si="33"/>
        <v>3654200</v>
      </c>
    </row>
    <row r="27" spans="1:63" s="42" customFormat="1">
      <c r="A27" s="37"/>
      <c r="B27" s="37"/>
      <c r="C27" s="38" t="s">
        <v>69</v>
      </c>
      <c r="D27" s="40"/>
      <c r="E27" s="40"/>
      <c r="F27" s="40">
        <f>SUM(F22:F26)</f>
        <v>155000</v>
      </c>
      <c r="G27" s="40">
        <f t="shared" ref="G27:BK27" si="34">SUM(G22:G26)</f>
        <v>362500</v>
      </c>
      <c r="H27" s="40">
        <f t="shared" si="34"/>
        <v>1994500</v>
      </c>
      <c r="I27" s="40">
        <f t="shared" si="34"/>
        <v>965500</v>
      </c>
      <c r="J27" s="40">
        <f t="shared" si="34"/>
        <v>420000</v>
      </c>
      <c r="K27" s="40">
        <f t="shared" si="34"/>
        <v>0</v>
      </c>
      <c r="L27" s="40">
        <f t="shared" si="34"/>
        <v>312500</v>
      </c>
      <c r="M27" s="40">
        <f t="shared" si="34"/>
        <v>4210000</v>
      </c>
      <c r="N27" s="40">
        <f t="shared" si="34"/>
        <v>0</v>
      </c>
      <c r="O27" s="40">
        <f t="shared" si="34"/>
        <v>0</v>
      </c>
      <c r="P27" s="40">
        <f t="shared" si="34"/>
        <v>0</v>
      </c>
      <c r="Q27" s="40">
        <f t="shared" si="34"/>
        <v>0</v>
      </c>
      <c r="R27" s="40">
        <f t="shared" si="34"/>
        <v>0</v>
      </c>
      <c r="S27" s="40">
        <f t="shared" si="34"/>
        <v>0</v>
      </c>
      <c r="T27" s="40">
        <f t="shared" si="34"/>
        <v>0</v>
      </c>
      <c r="U27" s="40">
        <f t="shared" si="34"/>
        <v>0</v>
      </c>
      <c r="V27" s="40">
        <f t="shared" si="34"/>
        <v>290000</v>
      </c>
      <c r="W27" s="40">
        <f t="shared" si="34"/>
        <v>2383000</v>
      </c>
      <c r="X27" s="40">
        <f t="shared" si="34"/>
        <v>3091000</v>
      </c>
      <c r="Y27" s="40">
        <f t="shared" si="34"/>
        <v>300000</v>
      </c>
      <c r="Z27" s="40">
        <f t="shared" si="34"/>
        <v>0</v>
      </c>
      <c r="AA27" s="40">
        <f t="shared" si="34"/>
        <v>0</v>
      </c>
      <c r="AB27" s="40">
        <f t="shared" si="34"/>
        <v>0</v>
      </c>
      <c r="AC27" s="40">
        <f t="shared" si="34"/>
        <v>6064000</v>
      </c>
      <c r="AD27" s="40">
        <f t="shared" si="34"/>
        <v>195000</v>
      </c>
      <c r="AE27" s="40">
        <f t="shared" si="34"/>
        <v>2055950</v>
      </c>
      <c r="AF27" s="40">
        <f t="shared" si="34"/>
        <v>2113500</v>
      </c>
      <c r="AG27" s="40">
        <f t="shared" si="34"/>
        <v>1152000</v>
      </c>
      <c r="AH27" s="40">
        <f t="shared" si="34"/>
        <v>280000</v>
      </c>
      <c r="AI27" s="40">
        <f t="shared" si="34"/>
        <v>0</v>
      </c>
      <c r="AJ27" s="40">
        <f t="shared" si="34"/>
        <v>2250400</v>
      </c>
      <c r="AK27" s="40">
        <f t="shared" si="34"/>
        <v>8046850</v>
      </c>
      <c r="AL27" s="40">
        <f t="shared" si="34"/>
        <v>1890000</v>
      </c>
      <c r="AM27" s="40">
        <f t="shared" si="34"/>
        <v>2623500</v>
      </c>
      <c r="AN27" s="40">
        <f>SUM(AN22:AN26)</f>
        <v>4036000</v>
      </c>
      <c r="AO27" s="40">
        <f>SUM(AO22:AO26)</f>
        <v>5590200</v>
      </c>
      <c r="AP27" s="40">
        <f>SUM(AP22:AP26)</f>
        <v>14139700</v>
      </c>
      <c r="AQ27" s="40">
        <f t="shared" si="34"/>
        <v>0</v>
      </c>
      <c r="AR27" s="40">
        <f t="shared" si="34"/>
        <v>0</v>
      </c>
      <c r="AS27" s="40">
        <f t="shared" si="34"/>
        <v>0</v>
      </c>
      <c r="AT27" s="40">
        <f t="shared" si="34"/>
        <v>0</v>
      </c>
      <c r="AU27" s="40">
        <f t="shared" si="34"/>
        <v>0</v>
      </c>
      <c r="AV27" s="40">
        <f t="shared" si="34"/>
        <v>0</v>
      </c>
      <c r="AW27" s="40">
        <f t="shared" si="34"/>
        <v>100000</v>
      </c>
      <c r="AX27" s="40">
        <f t="shared" si="34"/>
        <v>1274000</v>
      </c>
      <c r="AY27" s="40">
        <f t="shared" si="34"/>
        <v>0</v>
      </c>
      <c r="AZ27" s="40">
        <f t="shared" si="34"/>
        <v>0</v>
      </c>
      <c r="BA27" s="40">
        <f t="shared" si="34"/>
        <v>0</v>
      </c>
      <c r="BB27" s="40">
        <f t="shared" si="34"/>
        <v>0</v>
      </c>
      <c r="BC27" s="40">
        <f t="shared" si="34"/>
        <v>1374000</v>
      </c>
      <c r="BD27" s="40">
        <f t="shared" si="34"/>
        <v>640000</v>
      </c>
      <c r="BE27" s="40">
        <f t="shared" si="34"/>
        <v>4901450</v>
      </c>
      <c r="BF27" s="40">
        <f t="shared" si="34"/>
        <v>8473000</v>
      </c>
      <c r="BG27" s="40">
        <f t="shared" si="34"/>
        <v>4307500</v>
      </c>
      <c r="BH27" s="40">
        <f t="shared" si="34"/>
        <v>3323500</v>
      </c>
      <c r="BI27" s="41">
        <f>SUM(BI22:BI26)</f>
        <v>4036000</v>
      </c>
      <c r="BJ27" s="40">
        <f t="shared" ref="BJ27" si="35">SUM(BJ22:BJ26)</f>
        <v>8153100</v>
      </c>
      <c r="BK27" s="40">
        <f t="shared" si="34"/>
        <v>33834550</v>
      </c>
    </row>
    <row r="28" spans="1:63">
      <c r="A28" s="6" t="s">
        <v>70</v>
      </c>
      <c r="B28" s="22">
        <v>1</v>
      </c>
      <c r="C28" s="23" t="s">
        <v>71</v>
      </c>
      <c r="D28" s="24" t="s">
        <v>70</v>
      </c>
      <c r="E28" s="24" t="s">
        <v>72</v>
      </c>
      <c r="F28" s="24"/>
      <c r="G28" s="24">
        <v>155000</v>
      </c>
      <c r="H28" s="24">
        <v>-155000</v>
      </c>
      <c r="I28" s="24"/>
      <c r="J28" s="24"/>
      <c r="K28" s="24"/>
      <c r="L28" s="24">
        <v>155000</v>
      </c>
      <c r="M28" s="25">
        <f t="shared" ref="M28:M29" si="36">SUM(F28:L28)</f>
        <v>155000</v>
      </c>
      <c r="N28" s="24"/>
      <c r="O28" s="24"/>
      <c r="P28" s="24"/>
      <c r="Q28" s="24"/>
      <c r="R28" s="24"/>
      <c r="S28" s="24"/>
      <c r="T28" s="24"/>
      <c r="U28" s="25">
        <f t="shared" ref="U28:U29" si="37">SUM(N28:T28)</f>
        <v>0</v>
      </c>
      <c r="V28" s="24"/>
      <c r="W28" s="24"/>
      <c r="X28" s="24"/>
      <c r="Y28" s="24"/>
      <c r="Z28" s="24"/>
      <c r="AA28" s="24"/>
      <c r="AB28" s="24"/>
      <c r="AC28" s="25">
        <f t="shared" ref="AC28:AC29" si="38">SUM(V28:AB28)</f>
        <v>0</v>
      </c>
      <c r="AD28" s="24"/>
      <c r="AE28" s="24"/>
      <c r="AF28" s="24"/>
      <c r="AG28" s="24"/>
      <c r="AH28" s="28"/>
      <c r="AI28" s="28"/>
      <c r="AJ28" s="28"/>
      <c r="AK28" s="29">
        <f t="shared" ref="AK28:AK29" si="39">SUM(AD28:AJ28)</f>
        <v>0</v>
      </c>
      <c r="AL28" s="26"/>
      <c r="AM28" s="28"/>
      <c r="AN28" s="28"/>
      <c r="AO28" s="28"/>
      <c r="AP28" s="29">
        <f t="shared" ref="AP28:AP29" si="40">SUM(AL28:AO28)</f>
        <v>0</v>
      </c>
      <c r="AQ28" s="26"/>
      <c r="AR28" s="28"/>
      <c r="AS28" s="28"/>
      <c r="AT28" s="28"/>
      <c r="AU28" s="29">
        <f t="shared" ref="AU28:AU29" si="41">SUM(AQ28:AT28)</f>
        <v>0</v>
      </c>
      <c r="AV28" s="26"/>
      <c r="AW28" s="26"/>
      <c r="AX28" s="26"/>
      <c r="AY28" s="26"/>
      <c r="AZ28" s="28"/>
      <c r="BA28" s="28"/>
      <c r="BB28" s="28"/>
      <c r="BC28" s="29">
        <f t="shared" ref="BC28:BC29" si="42">SUM(AV28:BB28)</f>
        <v>0</v>
      </c>
      <c r="BD28" s="24">
        <f t="shared" ref="BD28:BF29" si="43">F28+N28+V28+AD28+AV28</f>
        <v>0</v>
      </c>
      <c r="BE28" s="24">
        <f t="shared" si="43"/>
        <v>155000</v>
      </c>
      <c r="BF28" s="24">
        <f t="shared" si="43"/>
        <v>-155000</v>
      </c>
      <c r="BG28" s="24">
        <f>I28+Q28+Y28+AG28+AL28+AQ28+AY28</f>
        <v>0</v>
      </c>
      <c r="BH28" s="30">
        <f>J28+R28+Z28+AH28+AM28+AR28+AZ28</f>
        <v>0</v>
      </c>
      <c r="BI28" s="30">
        <f t="shared" ref="BI28:BJ29" si="44">K28+S28+AA28+AI28+AN28+AS28+BA28</f>
        <v>0</v>
      </c>
      <c r="BJ28" s="30">
        <f t="shared" si="44"/>
        <v>155000</v>
      </c>
      <c r="BK28" s="25">
        <f t="shared" ref="BK28:BK29" si="45">SUM(BD28:BJ28)</f>
        <v>155000</v>
      </c>
    </row>
    <row r="29" spans="1:63" ht="30">
      <c r="A29" s="14"/>
      <c r="B29" s="22">
        <v>2</v>
      </c>
      <c r="C29" s="46" t="s">
        <v>73</v>
      </c>
      <c r="D29" s="24" t="s">
        <v>70</v>
      </c>
      <c r="E29" s="24" t="s">
        <v>72</v>
      </c>
      <c r="F29" s="24"/>
      <c r="G29" s="24"/>
      <c r="H29" s="36"/>
      <c r="I29" s="24"/>
      <c r="J29" s="24"/>
      <c r="K29" s="24"/>
      <c r="L29" s="24"/>
      <c r="M29" s="25">
        <f t="shared" si="36"/>
        <v>0</v>
      </c>
      <c r="N29" s="24"/>
      <c r="O29" s="24"/>
      <c r="P29" s="24"/>
      <c r="Q29" s="24"/>
      <c r="R29" s="24"/>
      <c r="S29" s="24"/>
      <c r="T29" s="24"/>
      <c r="U29" s="25">
        <f t="shared" si="37"/>
        <v>0</v>
      </c>
      <c r="V29" s="24"/>
      <c r="W29" s="24"/>
      <c r="X29" s="24"/>
      <c r="Y29" s="24"/>
      <c r="Z29" s="24"/>
      <c r="AA29" s="24"/>
      <c r="AB29" s="24"/>
      <c r="AC29" s="25">
        <f t="shared" si="38"/>
        <v>0</v>
      </c>
      <c r="AD29" s="24"/>
      <c r="AE29" s="24"/>
      <c r="AF29" s="24"/>
      <c r="AG29" s="24"/>
      <c r="AH29" s="28"/>
      <c r="AI29" s="28"/>
      <c r="AJ29" s="28"/>
      <c r="AK29" s="29">
        <f t="shared" si="39"/>
        <v>0</v>
      </c>
      <c r="AL29" s="26"/>
      <c r="AM29" s="28"/>
      <c r="AN29" s="28"/>
      <c r="AO29" s="28"/>
      <c r="AP29" s="29">
        <f t="shared" si="40"/>
        <v>0</v>
      </c>
      <c r="AQ29" s="26"/>
      <c r="AR29" s="28"/>
      <c r="AS29" s="28"/>
      <c r="AT29" s="28"/>
      <c r="AU29" s="29">
        <f t="shared" si="41"/>
        <v>0</v>
      </c>
      <c r="AV29" s="26"/>
      <c r="AW29" s="26"/>
      <c r="AX29" s="26">
        <v>100000</v>
      </c>
      <c r="AY29" s="26">
        <v>150000</v>
      </c>
      <c r="AZ29" s="28"/>
      <c r="BA29" s="28"/>
      <c r="BB29" s="28"/>
      <c r="BC29" s="29">
        <f t="shared" si="42"/>
        <v>250000</v>
      </c>
      <c r="BD29" s="24">
        <f t="shared" si="43"/>
        <v>0</v>
      </c>
      <c r="BE29" s="24">
        <f t="shared" si="43"/>
        <v>0</v>
      </c>
      <c r="BF29" s="24">
        <f t="shared" si="43"/>
        <v>100000</v>
      </c>
      <c r="BG29" s="24">
        <f>I29+Q29+Y29+AG29+AL29+AQ29+AY29</f>
        <v>150000</v>
      </c>
      <c r="BH29" s="30">
        <f>J29+R29+Z29+AH29+AM29+AR29+AZ29</f>
        <v>0</v>
      </c>
      <c r="BI29" s="30">
        <f t="shared" si="44"/>
        <v>0</v>
      </c>
      <c r="BJ29" s="30">
        <f t="shared" si="44"/>
        <v>0</v>
      </c>
      <c r="BK29" s="25">
        <f t="shared" si="45"/>
        <v>250000</v>
      </c>
    </row>
    <row r="30" spans="1:63" s="42" customFormat="1">
      <c r="A30" s="37"/>
      <c r="B30" s="37"/>
      <c r="C30" s="38" t="s">
        <v>74</v>
      </c>
      <c r="D30" s="40"/>
      <c r="E30" s="40"/>
      <c r="F30" s="40">
        <f>SUM(F28:F29)</f>
        <v>0</v>
      </c>
      <c r="G30" s="40">
        <f t="shared" ref="G30:BK30" si="46">SUM(G28:G29)</f>
        <v>155000</v>
      </c>
      <c r="H30" s="40">
        <f t="shared" si="46"/>
        <v>-155000</v>
      </c>
      <c r="I30" s="40">
        <f t="shared" si="46"/>
        <v>0</v>
      </c>
      <c r="J30" s="40">
        <f t="shared" si="46"/>
        <v>0</v>
      </c>
      <c r="K30" s="40">
        <f t="shared" si="46"/>
        <v>0</v>
      </c>
      <c r="L30" s="40">
        <f t="shared" si="46"/>
        <v>155000</v>
      </c>
      <c r="M30" s="40">
        <f t="shared" si="46"/>
        <v>155000</v>
      </c>
      <c r="N30" s="40">
        <f t="shared" si="46"/>
        <v>0</v>
      </c>
      <c r="O30" s="40">
        <f t="shared" si="46"/>
        <v>0</v>
      </c>
      <c r="P30" s="40">
        <f t="shared" si="46"/>
        <v>0</v>
      </c>
      <c r="Q30" s="40">
        <f t="shared" si="46"/>
        <v>0</v>
      </c>
      <c r="R30" s="40">
        <f t="shared" si="46"/>
        <v>0</v>
      </c>
      <c r="S30" s="40">
        <f t="shared" si="46"/>
        <v>0</v>
      </c>
      <c r="T30" s="40">
        <f t="shared" si="46"/>
        <v>0</v>
      </c>
      <c r="U30" s="40">
        <f t="shared" si="46"/>
        <v>0</v>
      </c>
      <c r="V30" s="40">
        <f t="shared" si="46"/>
        <v>0</v>
      </c>
      <c r="W30" s="40">
        <f t="shared" si="46"/>
        <v>0</v>
      </c>
      <c r="X30" s="40">
        <f t="shared" si="46"/>
        <v>0</v>
      </c>
      <c r="Y30" s="40">
        <f t="shared" si="46"/>
        <v>0</v>
      </c>
      <c r="Z30" s="40">
        <f t="shared" si="46"/>
        <v>0</v>
      </c>
      <c r="AA30" s="40">
        <f t="shared" si="46"/>
        <v>0</v>
      </c>
      <c r="AB30" s="40">
        <f t="shared" si="46"/>
        <v>0</v>
      </c>
      <c r="AC30" s="40">
        <f t="shared" si="46"/>
        <v>0</v>
      </c>
      <c r="AD30" s="40">
        <f t="shared" si="46"/>
        <v>0</v>
      </c>
      <c r="AE30" s="40">
        <f t="shared" si="46"/>
        <v>0</v>
      </c>
      <c r="AF30" s="40">
        <f t="shared" si="46"/>
        <v>0</v>
      </c>
      <c r="AG30" s="40">
        <f t="shared" si="46"/>
        <v>0</v>
      </c>
      <c r="AH30" s="40">
        <f t="shared" si="46"/>
        <v>0</v>
      </c>
      <c r="AI30" s="40">
        <f t="shared" si="46"/>
        <v>0</v>
      </c>
      <c r="AJ30" s="40">
        <f t="shared" si="46"/>
        <v>0</v>
      </c>
      <c r="AK30" s="40">
        <f t="shared" si="46"/>
        <v>0</v>
      </c>
      <c r="AL30" s="40">
        <f t="shared" si="46"/>
        <v>0</v>
      </c>
      <c r="AM30" s="40">
        <f t="shared" si="46"/>
        <v>0</v>
      </c>
      <c r="AN30" s="40">
        <f t="shared" si="46"/>
        <v>0</v>
      </c>
      <c r="AO30" s="40">
        <f t="shared" si="46"/>
        <v>0</v>
      </c>
      <c r="AP30" s="40">
        <f t="shared" si="46"/>
        <v>0</v>
      </c>
      <c r="AQ30" s="40">
        <f t="shared" si="46"/>
        <v>0</v>
      </c>
      <c r="AR30" s="40">
        <f t="shared" si="46"/>
        <v>0</v>
      </c>
      <c r="AS30" s="40">
        <f t="shared" si="46"/>
        <v>0</v>
      </c>
      <c r="AT30" s="40">
        <f t="shared" si="46"/>
        <v>0</v>
      </c>
      <c r="AU30" s="40">
        <f t="shared" si="46"/>
        <v>0</v>
      </c>
      <c r="AV30" s="40">
        <f t="shared" si="46"/>
        <v>0</v>
      </c>
      <c r="AW30" s="40">
        <f t="shared" si="46"/>
        <v>0</v>
      </c>
      <c r="AX30" s="40">
        <f t="shared" si="46"/>
        <v>100000</v>
      </c>
      <c r="AY30" s="40">
        <f t="shared" si="46"/>
        <v>150000</v>
      </c>
      <c r="AZ30" s="40">
        <f t="shared" si="46"/>
        <v>0</v>
      </c>
      <c r="BA30" s="40">
        <f t="shared" si="46"/>
        <v>0</v>
      </c>
      <c r="BB30" s="40">
        <f t="shared" si="46"/>
        <v>0</v>
      </c>
      <c r="BC30" s="40">
        <f t="shared" si="46"/>
        <v>250000</v>
      </c>
      <c r="BD30" s="40">
        <f t="shared" si="46"/>
        <v>0</v>
      </c>
      <c r="BE30" s="40">
        <f t="shared" si="46"/>
        <v>155000</v>
      </c>
      <c r="BF30" s="40">
        <f t="shared" si="46"/>
        <v>-55000</v>
      </c>
      <c r="BG30" s="40">
        <f t="shared" si="46"/>
        <v>150000</v>
      </c>
      <c r="BH30" s="40">
        <f t="shared" si="46"/>
        <v>0</v>
      </c>
      <c r="BI30" s="41">
        <f>SUM(BI28:BI29)</f>
        <v>0</v>
      </c>
      <c r="BJ30" s="40">
        <f t="shared" ref="BJ30" si="47">SUM(BJ28:BJ29)</f>
        <v>155000</v>
      </c>
      <c r="BK30" s="40">
        <f t="shared" si="46"/>
        <v>405000</v>
      </c>
    </row>
    <row r="31" spans="1:63">
      <c r="A31" s="6" t="s">
        <v>75</v>
      </c>
      <c r="B31" s="22">
        <v>1</v>
      </c>
      <c r="C31" s="23" t="s">
        <v>76</v>
      </c>
      <c r="D31" s="24" t="s">
        <v>77</v>
      </c>
      <c r="E31" s="24" t="s">
        <v>78</v>
      </c>
      <c r="F31" s="24"/>
      <c r="G31" s="24"/>
      <c r="H31" s="24">
        <v>155000</v>
      </c>
      <c r="I31" s="24">
        <v>12000</v>
      </c>
      <c r="J31" s="24"/>
      <c r="K31" s="24">
        <v>220000</v>
      </c>
      <c r="L31" s="24"/>
      <c r="M31" s="25">
        <f t="shared" ref="M31:M34" si="48">SUM(F31:L31)</f>
        <v>387000</v>
      </c>
      <c r="N31" s="24"/>
      <c r="O31" s="24"/>
      <c r="P31" s="24"/>
      <c r="Q31" s="24"/>
      <c r="R31" s="24"/>
      <c r="S31" s="24"/>
      <c r="T31" s="24"/>
      <c r="U31" s="25">
        <f t="shared" ref="U31:U34" si="49">SUM(N31:T31)</f>
        <v>0</v>
      </c>
      <c r="V31" s="28"/>
      <c r="W31" s="28"/>
      <c r="X31" s="28"/>
      <c r="Y31" s="28"/>
      <c r="Z31" s="28"/>
      <c r="AA31" s="28"/>
      <c r="AB31" s="28"/>
      <c r="AC31" s="25">
        <f t="shared" ref="AC31:AC34" si="50">SUM(V31:AB31)</f>
        <v>0</v>
      </c>
      <c r="AD31" s="28"/>
      <c r="AE31" s="28"/>
      <c r="AF31" s="28"/>
      <c r="AG31" s="28"/>
      <c r="AH31" s="28"/>
      <c r="AI31" s="28"/>
      <c r="AJ31" s="28"/>
      <c r="AK31" s="29">
        <f t="shared" ref="AK31:AK34" si="51">SUM(AD31:AJ31)</f>
        <v>0</v>
      </c>
      <c r="AL31" s="47"/>
      <c r="AM31" s="28"/>
      <c r="AN31" s="28"/>
      <c r="AO31" s="28"/>
      <c r="AP31" s="29">
        <f t="shared" ref="AP31:AP34" si="52">SUM(AL31:AO31)</f>
        <v>0</v>
      </c>
      <c r="AQ31" s="47"/>
      <c r="AR31" s="28"/>
      <c r="AS31" s="28"/>
      <c r="AT31" s="28"/>
      <c r="AU31" s="29">
        <f t="shared" ref="AU31:AU34" si="53">SUM(AQ31:AT31)</f>
        <v>0</v>
      </c>
      <c r="AV31" s="47"/>
      <c r="AW31" s="47"/>
      <c r="AX31" s="47"/>
      <c r="AY31" s="47"/>
      <c r="AZ31" s="28"/>
      <c r="BA31" s="28"/>
      <c r="BB31" s="28"/>
      <c r="BC31" s="29">
        <f t="shared" ref="BC31:BC34" si="54">SUM(AV31:BB31)</f>
        <v>0</v>
      </c>
      <c r="BD31" s="24">
        <f t="shared" ref="BD31:BF34" si="55">F31+N31+V31+AD31+AV31</f>
        <v>0</v>
      </c>
      <c r="BE31" s="24">
        <f t="shared" si="55"/>
        <v>0</v>
      </c>
      <c r="BF31" s="24">
        <f t="shared" si="55"/>
        <v>155000</v>
      </c>
      <c r="BG31" s="24">
        <f t="shared" ref="BG31:BJ34" si="56">I31+Q31+Y31+AG31+AL31+AQ31+AY31</f>
        <v>12000</v>
      </c>
      <c r="BH31" s="30">
        <f t="shared" si="56"/>
        <v>0</v>
      </c>
      <c r="BI31" s="30">
        <f t="shared" si="56"/>
        <v>220000</v>
      </c>
      <c r="BJ31" s="30">
        <f t="shared" si="56"/>
        <v>0</v>
      </c>
      <c r="BK31" s="25">
        <f t="shared" ref="BK31:BK34" si="57">SUM(BD31:BJ31)</f>
        <v>387000</v>
      </c>
    </row>
    <row r="32" spans="1:63">
      <c r="A32" s="32"/>
      <c r="B32" s="22">
        <v>2</v>
      </c>
      <c r="C32" s="23" t="s">
        <v>79</v>
      </c>
      <c r="D32" s="24" t="s">
        <v>80</v>
      </c>
      <c r="E32" s="24" t="s">
        <v>78</v>
      </c>
      <c r="F32" s="24"/>
      <c r="G32" s="24">
        <v>155000</v>
      </c>
      <c r="H32" s="24">
        <f>33000+115933</f>
        <v>148933</v>
      </c>
      <c r="I32" s="24"/>
      <c r="J32" s="24"/>
      <c r="K32" s="24"/>
      <c r="L32" s="24"/>
      <c r="M32" s="25">
        <f t="shared" si="48"/>
        <v>303933</v>
      </c>
      <c r="N32" s="34"/>
      <c r="O32" s="34"/>
      <c r="P32" s="34">
        <v>290000</v>
      </c>
      <c r="Q32" s="34"/>
      <c r="R32" s="24"/>
      <c r="S32" s="24"/>
      <c r="T32" s="24">
        <v>410000</v>
      </c>
      <c r="U32" s="25">
        <f t="shared" si="49"/>
        <v>700000</v>
      </c>
      <c r="V32" s="28"/>
      <c r="W32" s="28">
        <v>605000</v>
      </c>
      <c r="X32" s="24">
        <v>252000</v>
      </c>
      <c r="Y32" s="48"/>
      <c r="Z32" s="48"/>
      <c r="AA32" s="48"/>
      <c r="AB32" s="48">
        <v>684000</v>
      </c>
      <c r="AC32" s="25">
        <f t="shared" si="50"/>
        <v>1541000</v>
      </c>
      <c r="AD32" s="28"/>
      <c r="AE32" s="28">
        <v>322500</v>
      </c>
      <c r="AF32" s="47">
        <v>122950</v>
      </c>
      <c r="AG32" s="47"/>
      <c r="AH32" s="28"/>
      <c r="AI32" s="28"/>
      <c r="AJ32" s="28"/>
      <c r="AK32" s="29">
        <f t="shared" si="51"/>
        <v>445450</v>
      </c>
      <c r="AL32" s="47"/>
      <c r="AM32" s="28"/>
      <c r="AN32" s="28"/>
      <c r="AO32" s="28"/>
      <c r="AP32" s="29">
        <f t="shared" si="52"/>
        <v>0</v>
      </c>
      <c r="AQ32" s="47"/>
      <c r="AR32" s="28"/>
      <c r="AS32" s="28"/>
      <c r="AT32" s="28">
        <f>204000+204000+408000+204000</f>
        <v>1020000</v>
      </c>
      <c r="AU32" s="29">
        <f t="shared" si="53"/>
        <v>1020000</v>
      </c>
      <c r="AV32" s="47"/>
      <c r="AW32" s="49">
        <v>100000</v>
      </c>
      <c r="AX32" s="47">
        <v>276000</v>
      </c>
      <c r="AY32" s="47"/>
      <c r="AZ32" s="28"/>
      <c r="BA32" s="28"/>
      <c r="BB32" s="28"/>
      <c r="BC32" s="29">
        <f t="shared" si="54"/>
        <v>376000</v>
      </c>
      <c r="BD32" s="24">
        <f t="shared" si="55"/>
        <v>0</v>
      </c>
      <c r="BE32" s="24">
        <f t="shared" si="55"/>
        <v>1182500</v>
      </c>
      <c r="BF32" s="24">
        <f t="shared" si="55"/>
        <v>1089883</v>
      </c>
      <c r="BG32" s="24">
        <f t="shared" si="56"/>
        <v>0</v>
      </c>
      <c r="BH32" s="30">
        <f t="shared" si="56"/>
        <v>0</v>
      </c>
      <c r="BI32" s="30">
        <f t="shared" si="56"/>
        <v>0</v>
      </c>
      <c r="BJ32" s="30">
        <f t="shared" si="56"/>
        <v>2114000</v>
      </c>
      <c r="BK32" s="25">
        <f t="shared" si="57"/>
        <v>4386383</v>
      </c>
    </row>
    <row r="33" spans="1:63">
      <c r="A33" s="32"/>
      <c r="B33" s="22">
        <v>3</v>
      </c>
      <c r="C33" s="23" t="s">
        <v>81</v>
      </c>
      <c r="D33" s="24" t="s">
        <v>82</v>
      </c>
      <c r="E33" s="24" t="s">
        <v>78</v>
      </c>
      <c r="F33" s="24"/>
      <c r="G33" s="24"/>
      <c r="H33" s="24">
        <v>155000</v>
      </c>
      <c r="I33" s="24">
        <v>160000</v>
      </c>
      <c r="J33" s="24"/>
      <c r="K33" s="24"/>
      <c r="L33" s="24"/>
      <c r="M33" s="25">
        <f t="shared" si="48"/>
        <v>315000</v>
      </c>
      <c r="N33" s="34"/>
      <c r="O33" s="34"/>
      <c r="P33" s="34">
        <v>820000</v>
      </c>
      <c r="Q33" s="34">
        <v>200000</v>
      </c>
      <c r="R33" s="24"/>
      <c r="S33" s="24"/>
      <c r="T33" s="24"/>
      <c r="U33" s="25">
        <f t="shared" si="49"/>
        <v>1020000</v>
      </c>
      <c r="V33" s="28"/>
      <c r="W33" s="28"/>
      <c r="X33" s="24">
        <v>530000</v>
      </c>
      <c r="Y33" s="50">
        <v>480000</v>
      </c>
      <c r="Z33" s="50"/>
      <c r="AA33" s="50"/>
      <c r="AB33" s="50"/>
      <c r="AC33" s="25">
        <f t="shared" si="50"/>
        <v>1010000</v>
      </c>
      <c r="AD33" s="28"/>
      <c r="AE33" s="28"/>
      <c r="AF33" s="28"/>
      <c r="AG33" s="28"/>
      <c r="AH33" s="28"/>
      <c r="AI33" s="28"/>
      <c r="AJ33" s="28"/>
      <c r="AK33" s="29">
        <f t="shared" si="51"/>
        <v>0</v>
      </c>
      <c r="AL33" s="47"/>
      <c r="AM33" s="28"/>
      <c r="AN33" s="28"/>
      <c r="AO33" s="28"/>
      <c r="AP33" s="29">
        <f t="shared" si="52"/>
        <v>0</v>
      </c>
      <c r="AQ33" s="47"/>
      <c r="AR33" s="28"/>
      <c r="AS33" s="28"/>
      <c r="AT33" s="28">
        <v>952000</v>
      </c>
      <c r="AU33" s="29">
        <f t="shared" si="53"/>
        <v>952000</v>
      </c>
      <c r="AV33" s="47"/>
      <c r="AW33" s="47"/>
      <c r="AX33" s="47"/>
      <c r="AY33" s="47"/>
      <c r="AZ33" s="28"/>
      <c r="BA33" s="28"/>
      <c r="BB33" s="28"/>
      <c r="BC33" s="29">
        <f t="shared" si="54"/>
        <v>0</v>
      </c>
      <c r="BD33" s="24">
        <f t="shared" si="55"/>
        <v>0</v>
      </c>
      <c r="BE33" s="24">
        <f t="shared" si="55"/>
        <v>0</v>
      </c>
      <c r="BF33" s="24">
        <f t="shared" si="55"/>
        <v>1505000</v>
      </c>
      <c r="BG33" s="24">
        <f t="shared" si="56"/>
        <v>840000</v>
      </c>
      <c r="BH33" s="30">
        <f t="shared" si="56"/>
        <v>0</v>
      </c>
      <c r="BI33" s="30">
        <f t="shared" si="56"/>
        <v>0</v>
      </c>
      <c r="BJ33" s="30">
        <f t="shared" si="56"/>
        <v>952000</v>
      </c>
      <c r="BK33" s="25">
        <f t="shared" si="57"/>
        <v>3297000</v>
      </c>
    </row>
    <row r="34" spans="1:63">
      <c r="A34" s="14"/>
      <c r="B34" s="22">
        <v>4</v>
      </c>
      <c r="C34" s="23" t="s">
        <v>83</v>
      </c>
      <c r="D34" s="24" t="s">
        <v>77</v>
      </c>
      <c r="E34" s="24" t="s">
        <v>78</v>
      </c>
      <c r="F34" s="24"/>
      <c r="G34" s="24"/>
      <c r="H34" s="24"/>
      <c r="I34" s="24"/>
      <c r="J34" s="24"/>
      <c r="K34" s="24"/>
      <c r="L34" s="24"/>
      <c r="M34" s="25">
        <f t="shared" si="48"/>
        <v>0</v>
      </c>
      <c r="N34" s="34"/>
      <c r="O34" s="34"/>
      <c r="P34" s="34"/>
      <c r="Q34" s="34"/>
      <c r="R34" s="24">
        <v>-3000000</v>
      </c>
      <c r="S34" s="24"/>
      <c r="T34" s="24"/>
      <c r="U34" s="25">
        <f t="shared" si="49"/>
        <v>-3000000</v>
      </c>
      <c r="V34" s="28"/>
      <c r="W34" s="28"/>
      <c r="X34" s="24"/>
      <c r="Y34" s="50"/>
      <c r="Z34" s="50"/>
      <c r="AA34" s="50"/>
      <c r="AB34" s="50"/>
      <c r="AC34" s="25">
        <f t="shared" si="50"/>
        <v>0</v>
      </c>
      <c r="AD34" s="28"/>
      <c r="AE34" s="28"/>
      <c r="AF34" s="28"/>
      <c r="AG34" s="28"/>
      <c r="AH34" s="28"/>
      <c r="AI34" s="28"/>
      <c r="AJ34" s="28"/>
      <c r="AK34" s="29">
        <f t="shared" si="51"/>
        <v>0</v>
      </c>
      <c r="AL34" s="47"/>
      <c r="AM34" s="28"/>
      <c r="AN34" s="28"/>
      <c r="AO34" s="28"/>
      <c r="AP34" s="29">
        <f t="shared" si="52"/>
        <v>0</v>
      </c>
      <c r="AQ34" s="47"/>
      <c r="AR34" s="28"/>
      <c r="AS34" s="28"/>
      <c r="AT34" s="28"/>
      <c r="AU34" s="29">
        <f t="shared" si="53"/>
        <v>0</v>
      </c>
      <c r="AV34" s="47"/>
      <c r="AW34" s="47"/>
      <c r="AX34" s="47"/>
      <c r="AY34" s="47"/>
      <c r="AZ34" s="28"/>
      <c r="BA34" s="28"/>
      <c r="BB34" s="28"/>
      <c r="BC34" s="29">
        <f t="shared" si="54"/>
        <v>0</v>
      </c>
      <c r="BD34" s="24">
        <f t="shared" si="55"/>
        <v>0</v>
      </c>
      <c r="BE34" s="24">
        <f t="shared" si="55"/>
        <v>0</v>
      </c>
      <c r="BF34" s="24">
        <f t="shared" si="55"/>
        <v>0</v>
      </c>
      <c r="BG34" s="24">
        <f t="shared" si="56"/>
        <v>0</v>
      </c>
      <c r="BH34" s="30">
        <f t="shared" si="56"/>
        <v>-3000000</v>
      </c>
      <c r="BI34" s="30">
        <f t="shared" si="56"/>
        <v>0</v>
      </c>
      <c r="BJ34" s="30">
        <f t="shared" si="56"/>
        <v>0</v>
      </c>
      <c r="BK34" s="25">
        <f t="shared" si="57"/>
        <v>-3000000</v>
      </c>
    </row>
    <row r="35" spans="1:63" s="42" customFormat="1">
      <c r="A35" s="37"/>
      <c r="B35" s="37"/>
      <c r="C35" s="38" t="s">
        <v>84</v>
      </c>
      <c r="D35" s="40"/>
      <c r="E35" s="40"/>
      <c r="F35" s="40">
        <f>SUM(F31:F34)</f>
        <v>0</v>
      </c>
      <c r="G35" s="40">
        <f t="shared" ref="G35:BK35" si="58">SUM(G31:G34)</f>
        <v>155000</v>
      </c>
      <c r="H35" s="40">
        <f t="shared" si="58"/>
        <v>458933</v>
      </c>
      <c r="I35" s="40">
        <f t="shared" si="58"/>
        <v>172000</v>
      </c>
      <c r="J35" s="40">
        <f t="shared" si="58"/>
        <v>0</v>
      </c>
      <c r="K35" s="40">
        <f t="shared" si="58"/>
        <v>220000</v>
      </c>
      <c r="L35" s="40">
        <f t="shared" si="58"/>
        <v>0</v>
      </c>
      <c r="M35" s="40">
        <f t="shared" si="58"/>
        <v>1005933</v>
      </c>
      <c r="N35" s="40">
        <f t="shared" si="58"/>
        <v>0</v>
      </c>
      <c r="O35" s="40">
        <f t="shared" si="58"/>
        <v>0</v>
      </c>
      <c r="P35" s="40">
        <f t="shared" si="58"/>
        <v>1110000</v>
      </c>
      <c r="Q35" s="40">
        <f t="shared" si="58"/>
        <v>200000</v>
      </c>
      <c r="R35" s="40">
        <f t="shared" si="58"/>
        <v>-3000000</v>
      </c>
      <c r="S35" s="40">
        <f t="shared" si="58"/>
        <v>0</v>
      </c>
      <c r="T35" s="40">
        <f t="shared" si="58"/>
        <v>410000</v>
      </c>
      <c r="U35" s="40">
        <f t="shared" si="58"/>
        <v>-1280000</v>
      </c>
      <c r="V35" s="40">
        <f t="shared" si="58"/>
        <v>0</v>
      </c>
      <c r="W35" s="40">
        <f t="shared" si="58"/>
        <v>605000</v>
      </c>
      <c r="X35" s="40">
        <f t="shared" si="58"/>
        <v>782000</v>
      </c>
      <c r="Y35" s="40">
        <f t="shared" si="58"/>
        <v>480000</v>
      </c>
      <c r="Z35" s="40">
        <f t="shared" si="58"/>
        <v>0</v>
      </c>
      <c r="AA35" s="40">
        <f t="shared" si="58"/>
        <v>0</v>
      </c>
      <c r="AB35" s="40">
        <f t="shared" si="58"/>
        <v>684000</v>
      </c>
      <c r="AC35" s="40">
        <f t="shared" si="58"/>
        <v>2551000</v>
      </c>
      <c r="AD35" s="40">
        <f t="shared" si="58"/>
        <v>0</v>
      </c>
      <c r="AE35" s="40">
        <f t="shared" si="58"/>
        <v>322500</v>
      </c>
      <c r="AF35" s="40">
        <f t="shared" si="58"/>
        <v>122950</v>
      </c>
      <c r="AG35" s="40">
        <f t="shared" si="58"/>
        <v>0</v>
      </c>
      <c r="AH35" s="40">
        <f t="shared" si="58"/>
        <v>0</v>
      </c>
      <c r="AI35" s="40">
        <f t="shared" si="58"/>
        <v>0</v>
      </c>
      <c r="AJ35" s="40">
        <f t="shared" si="58"/>
        <v>0</v>
      </c>
      <c r="AK35" s="40">
        <f t="shared" si="58"/>
        <v>445450</v>
      </c>
      <c r="AL35" s="40">
        <f t="shared" si="58"/>
        <v>0</v>
      </c>
      <c r="AM35" s="40">
        <f t="shared" si="58"/>
        <v>0</v>
      </c>
      <c r="AN35" s="40">
        <f t="shared" si="58"/>
        <v>0</v>
      </c>
      <c r="AO35" s="40">
        <f t="shared" si="58"/>
        <v>0</v>
      </c>
      <c r="AP35" s="40">
        <f t="shared" si="58"/>
        <v>0</v>
      </c>
      <c r="AQ35" s="40">
        <f t="shared" si="58"/>
        <v>0</v>
      </c>
      <c r="AR35" s="40">
        <f t="shared" si="58"/>
        <v>0</v>
      </c>
      <c r="AS35" s="40">
        <f t="shared" si="58"/>
        <v>0</v>
      </c>
      <c r="AT35" s="40">
        <f t="shared" si="58"/>
        <v>1972000</v>
      </c>
      <c r="AU35" s="40">
        <f t="shared" si="58"/>
        <v>1972000</v>
      </c>
      <c r="AV35" s="40">
        <f t="shared" si="58"/>
        <v>0</v>
      </c>
      <c r="AW35" s="40">
        <f t="shared" si="58"/>
        <v>100000</v>
      </c>
      <c r="AX35" s="40">
        <f t="shared" si="58"/>
        <v>276000</v>
      </c>
      <c r="AY35" s="40">
        <f t="shared" si="58"/>
        <v>0</v>
      </c>
      <c r="AZ35" s="40">
        <f t="shared" si="58"/>
        <v>0</v>
      </c>
      <c r="BA35" s="40">
        <f t="shared" si="58"/>
        <v>0</v>
      </c>
      <c r="BB35" s="40">
        <f t="shared" si="58"/>
        <v>0</v>
      </c>
      <c r="BC35" s="40">
        <f t="shared" si="58"/>
        <v>376000</v>
      </c>
      <c r="BD35" s="40">
        <f t="shared" si="58"/>
        <v>0</v>
      </c>
      <c r="BE35" s="40">
        <f t="shared" si="58"/>
        <v>1182500</v>
      </c>
      <c r="BF35" s="40">
        <f t="shared" si="58"/>
        <v>2749883</v>
      </c>
      <c r="BG35" s="40">
        <f t="shared" si="58"/>
        <v>852000</v>
      </c>
      <c r="BH35" s="40">
        <f t="shared" si="58"/>
        <v>-3000000</v>
      </c>
      <c r="BI35" s="41">
        <f>SUM(BI31:BI34)</f>
        <v>220000</v>
      </c>
      <c r="BJ35" s="40">
        <f t="shared" si="58"/>
        <v>3066000</v>
      </c>
      <c r="BK35" s="40">
        <f t="shared" si="58"/>
        <v>5070383</v>
      </c>
    </row>
    <row r="36" spans="1:63">
      <c r="A36" s="6" t="s">
        <v>85</v>
      </c>
      <c r="B36" s="22">
        <v>1</v>
      </c>
      <c r="C36" s="23" t="s">
        <v>86</v>
      </c>
      <c r="D36" s="24" t="s">
        <v>85</v>
      </c>
      <c r="E36" s="24" t="s">
        <v>85</v>
      </c>
      <c r="F36" s="24">
        <v>155000</v>
      </c>
      <c r="G36" s="24">
        <v>368500</v>
      </c>
      <c r="H36" s="24">
        <f>44000+22000+8000+140000</f>
        <v>214000</v>
      </c>
      <c r="I36" s="24">
        <v>180000</v>
      </c>
      <c r="J36" s="24"/>
      <c r="K36" s="24"/>
      <c r="L36" s="24"/>
      <c r="M36" s="25">
        <f t="shared" ref="M36:M44" si="59">SUM(F36:L36)</f>
        <v>917500</v>
      </c>
      <c r="N36" s="24"/>
      <c r="O36" s="24"/>
      <c r="P36" s="24"/>
      <c r="Q36" s="24"/>
      <c r="R36" s="24"/>
      <c r="S36" s="24"/>
      <c r="T36" s="24"/>
      <c r="U36" s="25">
        <f t="shared" ref="U36:U44" si="60">SUM(N36:T36)</f>
        <v>0</v>
      </c>
      <c r="V36" s="28"/>
      <c r="W36" s="28"/>
      <c r="X36" s="28"/>
      <c r="Y36" s="28"/>
      <c r="Z36" s="28"/>
      <c r="AA36" s="28"/>
      <c r="AB36" s="28"/>
      <c r="AC36" s="25">
        <f t="shared" ref="AC36:AC44" si="61">SUM(V36:AB36)</f>
        <v>0</v>
      </c>
      <c r="AD36" s="28"/>
      <c r="AE36" s="28"/>
      <c r="AF36" s="28"/>
      <c r="AG36" s="28"/>
      <c r="AH36" s="28"/>
      <c r="AI36" s="28"/>
      <c r="AJ36" s="28"/>
      <c r="AK36" s="29">
        <f t="shared" ref="AK36:AK44" si="62">SUM(AD36:AJ36)</f>
        <v>0</v>
      </c>
      <c r="AL36" s="47"/>
      <c r="AM36" s="28"/>
      <c r="AN36" s="28"/>
      <c r="AO36" s="28"/>
      <c r="AP36" s="29">
        <f t="shared" ref="AP36:AP44" si="63">SUM(AL36:AO36)</f>
        <v>0</v>
      </c>
      <c r="AQ36" s="47"/>
      <c r="AR36" s="28"/>
      <c r="AS36" s="28"/>
      <c r="AT36" s="28"/>
      <c r="AU36" s="29">
        <f t="shared" ref="AU36:AU44" si="64">SUM(AQ36:AT36)</f>
        <v>0</v>
      </c>
      <c r="AV36" s="47"/>
      <c r="AW36" s="47"/>
      <c r="AX36" s="47"/>
      <c r="AY36" s="47"/>
      <c r="AZ36" s="28"/>
      <c r="BA36" s="28"/>
      <c r="BB36" s="28"/>
      <c r="BC36" s="29">
        <f t="shared" ref="BC36:BC44" si="65">SUM(AV36:BB36)</f>
        <v>0</v>
      </c>
      <c r="BD36" s="24">
        <f t="shared" ref="BD36:BF44" si="66">F36+N36+V36+AD36+AV36</f>
        <v>155000</v>
      </c>
      <c r="BE36" s="24">
        <f t="shared" si="66"/>
        <v>368500</v>
      </c>
      <c r="BF36" s="24">
        <f t="shared" si="66"/>
        <v>214000</v>
      </c>
      <c r="BG36" s="24">
        <f t="shared" ref="BG36:BJ44" si="67">I36+Q36+Y36+AG36+AL36+AQ36+AY36</f>
        <v>180000</v>
      </c>
      <c r="BH36" s="30">
        <f t="shared" si="67"/>
        <v>0</v>
      </c>
      <c r="BI36" s="30">
        <f t="shared" si="67"/>
        <v>0</v>
      </c>
      <c r="BJ36" s="30">
        <f t="shared" si="67"/>
        <v>0</v>
      </c>
      <c r="BK36" s="25">
        <f t="shared" ref="BK36:BK44" si="68">SUM(BD36:BJ36)</f>
        <v>917500</v>
      </c>
    </row>
    <row r="37" spans="1:63" ht="31.5">
      <c r="A37" s="32"/>
      <c r="B37" s="22">
        <v>2</v>
      </c>
      <c r="C37" s="23" t="s">
        <v>87</v>
      </c>
      <c r="D37" s="24" t="s">
        <v>85</v>
      </c>
      <c r="E37" s="24" t="s">
        <v>85</v>
      </c>
      <c r="F37" s="24"/>
      <c r="G37" s="24"/>
      <c r="H37" s="24"/>
      <c r="I37" s="24"/>
      <c r="J37" s="24"/>
      <c r="K37" s="24"/>
      <c r="L37" s="24"/>
      <c r="M37" s="25">
        <f t="shared" si="59"/>
        <v>0</v>
      </c>
      <c r="N37" s="24"/>
      <c r="O37" s="24"/>
      <c r="P37" s="24"/>
      <c r="Q37" s="24"/>
      <c r="R37" s="24"/>
      <c r="S37" s="24"/>
      <c r="T37" s="24"/>
      <c r="U37" s="25">
        <f t="shared" si="60"/>
        <v>0</v>
      </c>
      <c r="V37" s="28"/>
      <c r="W37" s="28"/>
      <c r="X37" s="28"/>
      <c r="Y37" s="28"/>
      <c r="Z37" s="28"/>
      <c r="AA37" s="28"/>
      <c r="AB37" s="28"/>
      <c r="AC37" s="25">
        <f t="shared" si="61"/>
        <v>0</v>
      </c>
      <c r="AD37" s="28"/>
      <c r="AE37" s="49">
        <v>354300</v>
      </c>
      <c r="AF37" s="49">
        <f>32950+112000</f>
        <v>144950</v>
      </c>
      <c r="AG37" s="49"/>
      <c r="AH37" s="28"/>
      <c r="AI37" s="28"/>
      <c r="AJ37" s="28"/>
      <c r="AK37" s="29">
        <f t="shared" si="62"/>
        <v>499250</v>
      </c>
      <c r="AL37" s="47"/>
      <c r="AM37" s="28"/>
      <c r="AN37" s="28"/>
      <c r="AO37" s="28"/>
      <c r="AP37" s="29">
        <f t="shared" si="63"/>
        <v>0</v>
      </c>
      <c r="AQ37" s="47"/>
      <c r="AR37" s="28"/>
      <c r="AS37" s="28"/>
      <c r="AT37" s="28"/>
      <c r="AU37" s="29">
        <f t="shared" si="64"/>
        <v>0</v>
      </c>
      <c r="AV37" s="47"/>
      <c r="AW37" s="47"/>
      <c r="AX37" s="47"/>
      <c r="AY37" s="47"/>
      <c r="AZ37" s="28"/>
      <c r="BA37" s="28"/>
      <c r="BB37" s="28"/>
      <c r="BC37" s="29">
        <f t="shared" si="65"/>
        <v>0</v>
      </c>
      <c r="BD37" s="24">
        <f t="shared" si="66"/>
        <v>0</v>
      </c>
      <c r="BE37" s="24">
        <f t="shared" si="66"/>
        <v>354300</v>
      </c>
      <c r="BF37" s="24">
        <f t="shared" si="66"/>
        <v>144950</v>
      </c>
      <c r="BG37" s="24">
        <f t="shared" si="67"/>
        <v>0</v>
      </c>
      <c r="BH37" s="30">
        <f t="shared" si="67"/>
        <v>0</v>
      </c>
      <c r="BI37" s="30">
        <f t="shared" si="67"/>
        <v>0</v>
      </c>
      <c r="BJ37" s="30">
        <f t="shared" si="67"/>
        <v>0</v>
      </c>
      <c r="BK37" s="25">
        <f t="shared" si="68"/>
        <v>499250</v>
      </c>
    </row>
    <row r="38" spans="1:63">
      <c r="A38" s="32"/>
      <c r="B38" s="22">
        <v>3</v>
      </c>
      <c r="C38" s="51" t="s">
        <v>88</v>
      </c>
      <c r="D38" s="24" t="s">
        <v>85</v>
      </c>
      <c r="E38" s="24" t="s">
        <v>85</v>
      </c>
      <c r="F38" s="24"/>
      <c r="G38" s="24"/>
      <c r="H38" s="24"/>
      <c r="I38" s="24"/>
      <c r="J38" s="24"/>
      <c r="K38" s="24"/>
      <c r="L38" s="24"/>
      <c r="M38" s="25">
        <f t="shared" si="59"/>
        <v>0</v>
      </c>
      <c r="N38" s="34">
        <v>290000</v>
      </c>
      <c r="O38" s="34">
        <v>2200000</v>
      </c>
      <c r="P38" s="34">
        <v>1200000</v>
      </c>
      <c r="Q38" s="34">
        <v>700000</v>
      </c>
      <c r="R38" s="24">
        <f>280000+150000+150000+150000</f>
        <v>730000</v>
      </c>
      <c r="S38" s="24">
        <v>750000</v>
      </c>
      <c r="T38" s="24">
        <f>500000+800000+100000</f>
        <v>1400000</v>
      </c>
      <c r="U38" s="25">
        <f t="shared" si="60"/>
        <v>7270000</v>
      </c>
      <c r="V38" s="28"/>
      <c r="W38" s="28"/>
      <c r="X38" s="28"/>
      <c r="Y38" s="28"/>
      <c r="Z38" s="28"/>
      <c r="AA38" s="28"/>
      <c r="AB38" s="28"/>
      <c r="AC38" s="25">
        <f t="shared" si="61"/>
        <v>0</v>
      </c>
      <c r="AD38" s="28"/>
      <c r="AE38" s="49"/>
      <c r="AF38" s="49"/>
      <c r="AG38" s="49"/>
      <c r="AH38" s="28"/>
      <c r="AI38" s="28"/>
      <c r="AJ38" s="28"/>
      <c r="AK38" s="29">
        <f t="shared" si="62"/>
        <v>0</v>
      </c>
      <c r="AL38" s="47"/>
      <c r="AM38" s="28"/>
      <c r="AN38" s="28"/>
      <c r="AO38" s="28"/>
      <c r="AP38" s="29">
        <f t="shared" si="63"/>
        <v>0</v>
      </c>
      <c r="AQ38" s="47"/>
      <c r="AR38" s="28"/>
      <c r="AS38" s="28"/>
      <c r="AT38" s="28"/>
      <c r="AU38" s="29">
        <f t="shared" si="64"/>
        <v>0</v>
      </c>
      <c r="AV38" s="47"/>
      <c r="AW38" s="47"/>
      <c r="AX38" s="47"/>
      <c r="AY38" s="47"/>
      <c r="AZ38" s="28"/>
      <c r="BA38" s="28"/>
      <c r="BB38" s="28"/>
      <c r="BC38" s="29">
        <f t="shared" si="65"/>
        <v>0</v>
      </c>
      <c r="BD38" s="24">
        <f t="shared" si="66"/>
        <v>290000</v>
      </c>
      <c r="BE38" s="24">
        <f t="shared" si="66"/>
        <v>2200000</v>
      </c>
      <c r="BF38" s="24">
        <f t="shared" si="66"/>
        <v>1200000</v>
      </c>
      <c r="BG38" s="24">
        <f t="shared" si="67"/>
        <v>700000</v>
      </c>
      <c r="BH38" s="30">
        <f t="shared" si="67"/>
        <v>730000</v>
      </c>
      <c r="BI38" s="30">
        <f t="shared" si="67"/>
        <v>750000</v>
      </c>
      <c r="BJ38" s="30">
        <f t="shared" si="67"/>
        <v>1400000</v>
      </c>
      <c r="BK38" s="25">
        <f t="shared" si="68"/>
        <v>7270000</v>
      </c>
    </row>
    <row r="39" spans="1:63">
      <c r="A39" s="32"/>
      <c r="B39" s="22">
        <v>4</v>
      </c>
      <c r="C39" s="23" t="s">
        <v>89</v>
      </c>
      <c r="D39" s="52" t="s">
        <v>90</v>
      </c>
      <c r="E39" s="24" t="s">
        <v>85</v>
      </c>
      <c r="F39" s="24"/>
      <c r="G39" s="24"/>
      <c r="H39" s="24"/>
      <c r="I39" s="24"/>
      <c r="J39" s="24"/>
      <c r="K39" s="24"/>
      <c r="L39" s="24"/>
      <c r="M39" s="25">
        <f t="shared" si="59"/>
        <v>0</v>
      </c>
      <c r="N39" s="24"/>
      <c r="O39" s="24"/>
      <c r="P39" s="24"/>
      <c r="Q39" s="24"/>
      <c r="R39" s="24"/>
      <c r="S39" s="24"/>
      <c r="T39" s="24"/>
      <c r="U39" s="25">
        <f t="shared" si="60"/>
        <v>0</v>
      </c>
      <c r="V39" s="28"/>
      <c r="W39" s="28"/>
      <c r="X39" s="28"/>
      <c r="Y39" s="28"/>
      <c r="Z39" s="28"/>
      <c r="AA39" s="28"/>
      <c r="AB39" s="28"/>
      <c r="AC39" s="25">
        <f t="shared" si="61"/>
        <v>0</v>
      </c>
      <c r="AD39" s="28"/>
      <c r="AE39" s="49"/>
      <c r="AF39" s="49">
        <v>199000</v>
      </c>
      <c r="AG39" s="49">
        <v>92000</v>
      </c>
      <c r="AH39" s="28"/>
      <c r="AI39" s="28"/>
      <c r="AJ39" s="28"/>
      <c r="AK39" s="29">
        <f t="shared" si="62"/>
        <v>291000</v>
      </c>
      <c r="AL39" s="47"/>
      <c r="AM39" s="28"/>
      <c r="AN39" s="28"/>
      <c r="AO39" s="28"/>
      <c r="AP39" s="29">
        <f t="shared" si="63"/>
        <v>0</v>
      </c>
      <c r="AQ39" s="47"/>
      <c r="AR39" s="28"/>
      <c r="AS39" s="28"/>
      <c r="AT39" s="28"/>
      <c r="AU39" s="29">
        <f t="shared" si="64"/>
        <v>0</v>
      </c>
      <c r="AV39" s="47"/>
      <c r="AW39" s="47"/>
      <c r="AX39" s="47"/>
      <c r="AY39" s="47"/>
      <c r="AZ39" s="28"/>
      <c r="BA39" s="28"/>
      <c r="BB39" s="28"/>
      <c r="BC39" s="29">
        <f t="shared" si="65"/>
        <v>0</v>
      </c>
      <c r="BD39" s="24">
        <f t="shared" si="66"/>
        <v>0</v>
      </c>
      <c r="BE39" s="24">
        <f t="shared" si="66"/>
        <v>0</v>
      </c>
      <c r="BF39" s="24">
        <f t="shared" si="66"/>
        <v>199000</v>
      </c>
      <c r="BG39" s="24">
        <f t="shared" si="67"/>
        <v>92000</v>
      </c>
      <c r="BH39" s="30">
        <f t="shared" si="67"/>
        <v>0</v>
      </c>
      <c r="BI39" s="30">
        <f t="shared" si="67"/>
        <v>0</v>
      </c>
      <c r="BJ39" s="30">
        <f t="shared" si="67"/>
        <v>0</v>
      </c>
      <c r="BK39" s="25">
        <f t="shared" si="68"/>
        <v>291000</v>
      </c>
    </row>
    <row r="40" spans="1:63">
      <c r="A40" s="32"/>
      <c r="B40" s="22">
        <v>5</v>
      </c>
      <c r="C40" s="23" t="s">
        <v>91</v>
      </c>
      <c r="D40" s="24" t="s">
        <v>92</v>
      </c>
      <c r="E40" s="24" t="s">
        <v>85</v>
      </c>
      <c r="F40" s="24">
        <v>155000</v>
      </c>
      <c r="G40" s="24">
        <v>395500</v>
      </c>
      <c r="H40" s="24">
        <v>303500</v>
      </c>
      <c r="I40" s="24">
        <f>60000+20000</f>
        <v>80000</v>
      </c>
      <c r="J40" s="24"/>
      <c r="K40" s="24"/>
      <c r="L40" s="24"/>
      <c r="M40" s="25">
        <f t="shared" si="59"/>
        <v>934000</v>
      </c>
      <c r="N40" s="24"/>
      <c r="O40" s="24"/>
      <c r="P40" s="24"/>
      <c r="Q40" s="24"/>
      <c r="R40" s="24"/>
      <c r="S40" s="24"/>
      <c r="T40" s="24"/>
      <c r="U40" s="25">
        <f t="shared" si="60"/>
        <v>0</v>
      </c>
      <c r="V40" s="28">
        <v>290000</v>
      </c>
      <c r="W40" s="48">
        <v>364000</v>
      </c>
      <c r="X40" s="24">
        <v>404000</v>
      </c>
      <c r="Y40" s="48">
        <v>248000</v>
      </c>
      <c r="Z40" s="48"/>
      <c r="AA40" s="48"/>
      <c r="AB40" s="48"/>
      <c r="AC40" s="25">
        <f t="shared" si="61"/>
        <v>1306000</v>
      </c>
      <c r="AD40" s="28">
        <v>195000</v>
      </c>
      <c r="AE40" s="49">
        <f>438600+4000</f>
        <v>442600</v>
      </c>
      <c r="AF40" s="49">
        <v>449800</v>
      </c>
      <c r="AG40" s="49">
        <v>150000</v>
      </c>
      <c r="AH40" s="28"/>
      <c r="AI40" s="28"/>
      <c r="AJ40" s="28"/>
      <c r="AK40" s="29">
        <f t="shared" si="62"/>
        <v>1237400</v>
      </c>
      <c r="AL40" s="47">
        <v>409500</v>
      </c>
      <c r="AM40" s="28">
        <f>154000+241500+147000</f>
        <v>542500</v>
      </c>
      <c r="AN40" s="28">
        <f>961500+122600+122600+122600</f>
        <v>1329300</v>
      </c>
      <c r="AO40" s="28">
        <v>1625400</v>
      </c>
      <c r="AP40" s="29">
        <f t="shared" si="63"/>
        <v>3906700</v>
      </c>
      <c r="AQ40" s="47"/>
      <c r="AR40" s="28"/>
      <c r="AS40" s="28"/>
      <c r="AT40" s="28"/>
      <c r="AU40" s="29">
        <f t="shared" si="64"/>
        <v>0</v>
      </c>
      <c r="AV40" s="47"/>
      <c r="AW40" s="47"/>
      <c r="AX40" s="47">
        <v>100000</v>
      </c>
      <c r="AY40" s="47"/>
      <c r="AZ40" s="28"/>
      <c r="BA40" s="28"/>
      <c r="BB40" s="28"/>
      <c r="BC40" s="29">
        <f t="shared" si="65"/>
        <v>100000</v>
      </c>
      <c r="BD40" s="24">
        <f t="shared" si="66"/>
        <v>640000</v>
      </c>
      <c r="BE40" s="24">
        <f t="shared" si="66"/>
        <v>1202100</v>
      </c>
      <c r="BF40" s="24">
        <f t="shared" si="66"/>
        <v>1257300</v>
      </c>
      <c r="BG40" s="24">
        <f t="shared" si="67"/>
        <v>887500</v>
      </c>
      <c r="BH40" s="30">
        <f t="shared" si="67"/>
        <v>542500</v>
      </c>
      <c r="BI40" s="30">
        <f t="shared" si="67"/>
        <v>1329300</v>
      </c>
      <c r="BJ40" s="30">
        <f t="shared" si="67"/>
        <v>1625400</v>
      </c>
      <c r="BK40" s="25">
        <f t="shared" si="68"/>
        <v>7484100</v>
      </c>
    </row>
    <row r="41" spans="1:63">
      <c r="A41" s="32"/>
      <c r="B41" s="22">
        <v>6</v>
      </c>
      <c r="C41" s="23" t="s">
        <v>91</v>
      </c>
      <c r="D41" s="24" t="s">
        <v>92</v>
      </c>
      <c r="E41" s="24" t="s">
        <v>85</v>
      </c>
      <c r="F41" s="24"/>
      <c r="G41" s="24"/>
      <c r="H41" s="24"/>
      <c r="I41" s="24"/>
      <c r="J41" s="24"/>
      <c r="K41" s="24"/>
      <c r="L41" s="24"/>
      <c r="M41" s="25">
        <f t="shared" si="59"/>
        <v>0</v>
      </c>
      <c r="N41" s="24"/>
      <c r="O41" s="24"/>
      <c r="P41" s="24"/>
      <c r="Q41" s="24"/>
      <c r="R41" s="24"/>
      <c r="S41" s="24"/>
      <c r="T41" s="24"/>
      <c r="U41" s="25">
        <f t="shared" si="60"/>
        <v>0</v>
      </c>
      <c r="V41" s="28"/>
      <c r="W41" s="53"/>
      <c r="X41" s="48"/>
      <c r="Y41" s="48"/>
      <c r="Z41" s="48"/>
      <c r="AA41" s="48"/>
      <c r="AB41" s="48"/>
      <c r="AC41" s="25">
        <f t="shared" si="61"/>
        <v>0</v>
      </c>
      <c r="AD41" s="28"/>
      <c r="AE41" s="49">
        <v>195000</v>
      </c>
      <c r="AF41" s="49"/>
      <c r="AG41" s="49"/>
      <c r="AH41" s="28"/>
      <c r="AI41" s="28"/>
      <c r="AJ41" s="28"/>
      <c r="AK41" s="29">
        <f t="shared" si="62"/>
        <v>195000</v>
      </c>
      <c r="AL41" s="47"/>
      <c r="AM41" s="28"/>
      <c r="AN41" s="28"/>
      <c r="AO41" s="28"/>
      <c r="AP41" s="29">
        <f t="shared" si="63"/>
        <v>0</v>
      </c>
      <c r="AQ41" s="47"/>
      <c r="AR41" s="28"/>
      <c r="AS41" s="28"/>
      <c r="AT41" s="28"/>
      <c r="AU41" s="29">
        <f t="shared" si="64"/>
        <v>0</v>
      </c>
      <c r="AV41" s="47"/>
      <c r="AW41" s="47"/>
      <c r="AX41" s="47"/>
      <c r="AY41" s="47"/>
      <c r="AZ41" s="28"/>
      <c r="BA41" s="28"/>
      <c r="BB41" s="28"/>
      <c r="BC41" s="29">
        <f t="shared" si="65"/>
        <v>0</v>
      </c>
      <c r="BD41" s="24">
        <f t="shared" si="66"/>
        <v>0</v>
      </c>
      <c r="BE41" s="24">
        <f t="shared" si="66"/>
        <v>195000</v>
      </c>
      <c r="BF41" s="24">
        <f t="shared" si="66"/>
        <v>0</v>
      </c>
      <c r="BG41" s="24">
        <f t="shared" si="67"/>
        <v>0</v>
      </c>
      <c r="BH41" s="30">
        <f t="shared" si="67"/>
        <v>0</v>
      </c>
      <c r="BI41" s="30">
        <f t="shared" si="67"/>
        <v>0</v>
      </c>
      <c r="BJ41" s="30">
        <f t="shared" si="67"/>
        <v>0</v>
      </c>
      <c r="BK41" s="25">
        <f t="shared" si="68"/>
        <v>195000</v>
      </c>
    </row>
    <row r="42" spans="1:63" ht="31.5">
      <c r="A42" s="32"/>
      <c r="B42" s="22">
        <v>7</v>
      </c>
      <c r="C42" s="23" t="s">
        <v>93</v>
      </c>
      <c r="D42" s="24" t="s">
        <v>90</v>
      </c>
      <c r="E42" s="24" t="s">
        <v>85</v>
      </c>
      <c r="F42" s="24"/>
      <c r="G42" s="24"/>
      <c r="H42" s="24"/>
      <c r="I42" s="24"/>
      <c r="J42" s="24"/>
      <c r="K42" s="24"/>
      <c r="L42" s="24"/>
      <c r="M42" s="25">
        <f t="shared" si="59"/>
        <v>0</v>
      </c>
      <c r="N42" s="34"/>
      <c r="O42" s="34">
        <v>290000</v>
      </c>
      <c r="P42" s="34">
        <v>-290000</v>
      </c>
      <c r="Q42" s="34">
        <v>913500</v>
      </c>
      <c r="R42" s="24"/>
      <c r="S42" s="24"/>
      <c r="T42" s="24"/>
      <c r="U42" s="25">
        <f t="shared" si="60"/>
        <v>913500</v>
      </c>
      <c r="V42" s="28"/>
      <c r="W42" s="28"/>
      <c r="X42" s="28"/>
      <c r="Y42" s="28"/>
      <c r="Z42" s="28"/>
      <c r="AA42" s="28"/>
      <c r="AB42" s="28"/>
      <c r="AC42" s="25">
        <f t="shared" si="61"/>
        <v>0</v>
      </c>
      <c r="AD42" s="28"/>
      <c r="AE42" s="49"/>
      <c r="AF42" s="49"/>
      <c r="AG42" s="49"/>
      <c r="AH42" s="28"/>
      <c r="AI42" s="28"/>
      <c r="AJ42" s="28"/>
      <c r="AK42" s="29">
        <f t="shared" si="62"/>
        <v>0</v>
      </c>
      <c r="AL42" s="47"/>
      <c r="AM42" s="28"/>
      <c r="AN42" s="28"/>
      <c r="AO42" s="28"/>
      <c r="AP42" s="29">
        <f t="shared" si="63"/>
        <v>0</v>
      </c>
      <c r="AQ42" s="47"/>
      <c r="AR42" s="28"/>
      <c r="AS42" s="28"/>
      <c r="AT42" s="28"/>
      <c r="AU42" s="29">
        <f t="shared" si="64"/>
        <v>0</v>
      </c>
      <c r="AV42" s="47"/>
      <c r="AW42" s="47"/>
      <c r="AX42" s="47"/>
      <c r="AY42" s="47"/>
      <c r="AZ42" s="28"/>
      <c r="BA42" s="28"/>
      <c r="BB42" s="28"/>
      <c r="BC42" s="29">
        <f t="shared" si="65"/>
        <v>0</v>
      </c>
      <c r="BD42" s="24">
        <f t="shared" si="66"/>
        <v>0</v>
      </c>
      <c r="BE42" s="24">
        <f t="shared" si="66"/>
        <v>290000</v>
      </c>
      <c r="BF42" s="24">
        <f t="shared" si="66"/>
        <v>-290000</v>
      </c>
      <c r="BG42" s="24">
        <f t="shared" si="67"/>
        <v>913500</v>
      </c>
      <c r="BH42" s="30">
        <f t="shared" si="67"/>
        <v>0</v>
      </c>
      <c r="BI42" s="30">
        <f t="shared" si="67"/>
        <v>0</v>
      </c>
      <c r="BJ42" s="30">
        <f t="shared" si="67"/>
        <v>0</v>
      </c>
      <c r="BK42" s="25">
        <f t="shared" si="68"/>
        <v>913500</v>
      </c>
    </row>
    <row r="43" spans="1:63">
      <c r="A43" s="32"/>
      <c r="B43" s="22">
        <v>8</v>
      </c>
      <c r="C43" s="23" t="s">
        <v>94</v>
      </c>
      <c r="D43" s="24" t="s">
        <v>85</v>
      </c>
      <c r="E43" s="24" t="s">
        <v>85</v>
      </c>
      <c r="F43" s="24"/>
      <c r="G43" s="24"/>
      <c r="H43" s="24">
        <f>155000+40000</f>
        <v>195000</v>
      </c>
      <c r="I43" s="24">
        <v>371000</v>
      </c>
      <c r="J43" s="24">
        <f>40500+87500+100500+100500+49000</f>
        <v>378000</v>
      </c>
      <c r="K43" s="24">
        <f>292500+145400+36000</f>
        <v>473900</v>
      </c>
      <c r="L43" s="24">
        <v>351000</v>
      </c>
      <c r="M43" s="25">
        <f t="shared" si="59"/>
        <v>1768900</v>
      </c>
      <c r="N43" s="24"/>
      <c r="O43" s="24"/>
      <c r="P43" s="24"/>
      <c r="Q43" s="24"/>
      <c r="R43" s="24"/>
      <c r="S43" s="24"/>
      <c r="T43" s="24"/>
      <c r="U43" s="25">
        <f t="shared" si="60"/>
        <v>0</v>
      </c>
      <c r="V43" s="28"/>
      <c r="W43" s="28"/>
      <c r="X43" s="28"/>
      <c r="Y43" s="28"/>
      <c r="Z43" s="28"/>
      <c r="AA43" s="28"/>
      <c r="AB43" s="28"/>
      <c r="AC43" s="25">
        <f t="shared" si="61"/>
        <v>0</v>
      </c>
      <c r="AD43" s="28"/>
      <c r="AE43" s="28"/>
      <c r="AF43" s="28"/>
      <c r="AG43" s="28"/>
      <c r="AH43" s="28"/>
      <c r="AI43" s="28"/>
      <c r="AJ43" s="28"/>
      <c r="AK43" s="29">
        <f t="shared" si="62"/>
        <v>0</v>
      </c>
      <c r="AL43" s="47"/>
      <c r="AM43" s="28"/>
      <c r="AN43" s="28"/>
      <c r="AO43" s="28"/>
      <c r="AP43" s="29">
        <f t="shared" si="63"/>
        <v>0</v>
      </c>
      <c r="AQ43" s="47"/>
      <c r="AR43" s="28"/>
      <c r="AS43" s="28"/>
      <c r="AT43" s="28"/>
      <c r="AU43" s="29">
        <f t="shared" si="64"/>
        <v>0</v>
      </c>
      <c r="AV43" s="47"/>
      <c r="AW43" s="47"/>
      <c r="AX43" s="47"/>
      <c r="AY43" s="47"/>
      <c r="AZ43" s="28"/>
      <c r="BA43" s="28"/>
      <c r="BB43" s="28"/>
      <c r="BC43" s="29">
        <f t="shared" si="65"/>
        <v>0</v>
      </c>
      <c r="BD43" s="24">
        <f t="shared" si="66"/>
        <v>0</v>
      </c>
      <c r="BE43" s="24">
        <f t="shared" si="66"/>
        <v>0</v>
      </c>
      <c r="BF43" s="24">
        <f t="shared" si="66"/>
        <v>195000</v>
      </c>
      <c r="BG43" s="24">
        <f t="shared" si="67"/>
        <v>371000</v>
      </c>
      <c r="BH43" s="30">
        <f t="shared" si="67"/>
        <v>378000</v>
      </c>
      <c r="BI43" s="30">
        <f t="shared" si="67"/>
        <v>473900</v>
      </c>
      <c r="BJ43" s="30">
        <f t="shared" si="67"/>
        <v>351000</v>
      </c>
      <c r="BK43" s="25">
        <f t="shared" si="68"/>
        <v>1768900</v>
      </c>
    </row>
    <row r="44" spans="1:63">
      <c r="A44" s="14"/>
      <c r="B44" s="22">
        <v>9</v>
      </c>
      <c r="C44" s="23" t="s">
        <v>95</v>
      </c>
      <c r="D44" s="24" t="s">
        <v>85</v>
      </c>
      <c r="E44" s="24" t="s">
        <v>85</v>
      </c>
      <c r="F44" s="24"/>
      <c r="G44" s="24">
        <v>155000</v>
      </c>
      <c r="H44" s="24">
        <v>44000</v>
      </c>
      <c r="I44" s="24"/>
      <c r="J44" s="24"/>
      <c r="K44" s="24"/>
      <c r="L44" s="24"/>
      <c r="M44" s="25">
        <f t="shared" si="59"/>
        <v>199000</v>
      </c>
      <c r="N44" s="24"/>
      <c r="O44" s="24"/>
      <c r="P44" s="24"/>
      <c r="Q44" s="24"/>
      <c r="R44" s="24"/>
      <c r="S44" s="24"/>
      <c r="T44" s="24"/>
      <c r="U44" s="25">
        <f t="shared" si="60"/>
        <v>0</v>
      </c>
      <c r="V44" s="28"/>
      <c r="W44" s="28"/>
      <c r="X44" s="28"/>
      <c r="Y44" s="28"/>
      <c r="Z44" s="28"/>
      <c r="AA44" s="28"/>
      <c r="AB44" s="28"/>
      <c r="AC44" s="25">
        <f t="shared" si="61"/>
        <v>0</v>
      </c>
      <c r="AD44" s="28"/>
      <c r="AE44" s="28">
        <v>195000</v>
      </c>
      <c r="AF44" s="49">
        <v>188250</v>
      </c>
      <c r="AG44" s="49"/>
      <c r="AH44" s="28"/>
      <c r="AI44" s="28"/>
      <c r="AJ44" s="28"/>
      <c r="AK44" s="29">
        <f t="shared" si="62"/>
        <v>383250</v>
      </c>
      <c r="AL44" s="47"/>
      <c r="AM44" s="28"/>
      <c r="AN44" s="28"/>
      <c r="AO44" s="28"/>
      <c r="AP44" s="29">
        <f t="shared" si="63"/>
        <v>0</v>
      </c>
      <c r="AQ44" s="47"/>
      <c r="AR44" s="28"/>
      <c r="AS44" s="28"/>
      <c r="AT44" s="28"/>
      <c r="AU44" s="29">
        <f t="shared" si="64"/>
        <v>0</v>
      </c>
      <c r="AV44" s="47"/>
      <c r="AW44" s="47"/>
      <c r="AX44" s="47"/>
      <c r="AY44" s="47"/>
      <c r="AZ44" s="28"/>
      <c r="BA44" s="28"/>
      <c r="BB44" s="28"/>
      <c r="BC44" s="29">
        <f t="shared" si="65"/>
        <v>0</v>
      </c>
      <c r="BD44" s="24">
        <f t="shared" si="66"/>
        <v>0</v>
      </c>
      <c r="BE44" s="24">
        <f t="shared" si="66"/>
        <v>350000</v>
      </c>
      <c r="BF44" s="24">
        <f t="shared" si="66"/>
        <v>232250</v>
      </c>
      <c r="BG44" s="24">
        <f t="shared" si="67"/>
        <v>0</v>
      </c>
      <c r="BH44" s="30">
        <f t="shared" si="67"/>
        <v>0</v>
      </c>
      <c r="BI44" s="30">
        <f t="shared" si="67"/>
        <v>0</v>
      </c>
      <c r="BJ44" s="30">
        <f t="shared" si="67"/>
        <v>0</v>
      </c>
      <c r="BK44" s="25">
        <f t="shared" si="68"/>
        <v>582250</v>
      </c>
    </row>
    <row r="45" spans="1:63" s="42" customFormat="1">
      <c r="A45" s="37"/>
      <c r="B45" s="37"/>
      <c r="C45" s="38" t="s">
        <v>96</v>
      </c>
      <c r="D45" s="40"/>
      <c r="E45" s="40"/>
      <c r="F45" s="40">
        <f t="shared" ref="F45:BK45" si="69">SUM(F36:F44)</f>
        <v>310000</v>
      </c>
      <c r="G45" s="40">
        <f t="shared" si="69"/>
        <v>919000</v>
      </c>
      <c r="H45" s="40">
        <f t="shared" si="69"/>
        <v>756500</v>
      </c>
      <c r="I45" s="40">
        <f t="shared" si="69"/>
        <v>631000</v>
      </c>
      <c r="J45" s="40">
        <f t="shared" si="69"/>
        <v>378000</v>
      </c>
      <c r="K45" s="40">
        <f t="shared" si="69"/>
        <v>473900</v>
      </c>
      <c r="L45" s="40">
        <f t="shared" ref="L45" si="70">SUM(L36:L44)</f>
        <v>351000</v>
      </c>
      <c r="M45" s="40">
        <f t="shared" si="69"/>
        <v>3819400</v>
      </c>
      <c r="N45" s="40">
        <f t="shared" si="69"/>
        <v>290000</v>
      </c>
      <c r="O45" s="40">
        <f t="shared" si="69"/>
        <v>2490000</v>
      </c>
      <c r="P45" s="40">
        <f t="shared" si="69"/>
        <v>910000</v>
      </c>
      <c r="Q45" s="40">
        <f t="shared" si="69"/>
        <v>1613500</v>
      </c>
      <c r="R45" s="40">
        <f t="shared" si="69"/>
        <v>730000</v>
      </c>
      <c r="S45" s="40">
        <f t="shared" si="69"/>
        <v>750000</v>
      </c>
      <c r="T45" s="40">
        <f t="shared" ref="T45" si="71">SUM(T36:T44)</f>
        <v>1400000</v>
      </c>
      <c r="U45" s="40">
        <f t="shared" si="69"/>
        <v>8183500</v>
      </c>
      <c r="V45" s="40">
        <f t="shared" si="69"/>
        <v>290000</v>
      </c>
      <c r="W45" s="40">
        <f t="shared" si="69"/>
        <v>364000</v>
      </c>
      <c r="X45" s="40">
        <f t="shared" si="69"/>
        <v>404000</v>
      </c>
      <c r="Y45" s="40">
        <f t="shared" si="69"/>
        <v>248000</v>
      </c>
      <c r="Z45" s="40">
        <f t="shared" si="69"/>
        <v>0</v>
      </c>
      <c r="AA45" s="40">
        <f t="shared" si="69"/>
        <v>0</v>
      </c>
      <c r="AB45" s="40">
        <f t="shared" ref="AB45" si="72">SUM(AB36:AB44)</f>
        <v>0</v>
      </c>
      <c r="AC45" s="40">
        <f t="shared" si="69"/>
        <v>1306000</v>
      </c>
      <c r="AD45" s="40">
        <f t="shared" si="69"/>
        <v>195000</v>
      </c>
      <c r="AE45" s="40">
        <f t="shared" si="69"/>
        <v>1186900</v>
      </c>
      <c r="AF45" s="40">
        <f t="shared" si="69"/>
        <v>982000</v>
      </c>
      <c r="AG45" s="40">
        <f t="shared" si="69"/>
        <v>242000</v>
      </c>
      <c r="AH45" s="40">
        <f t="shared" si="69"/>
        <v>0</v>
      </c>
      <c r="AI45" s="40">
        <f t="shared" si="69"/>
        <v>0</v>
      </c>
      <c r="AJ45" s="40">
        <f t="shared" ref="AJ45" si="73">SUM(AJ36:AJ44)</f>
        <v>0</v>
      </c>
      <c r="AK45" s="40">
        <f t="shared" si="69"/>
        <v>2605900</v>
      </c>
      <c r="AL45" s="40">
        <f t="shared" si="69"/>
        <v>409500</v>
      </c>
      <c r="AM45" s="40">
        <f t="shared" si="69"/>
        <v>542500</v>
      </c>
      <c r="AN45" s="40">
        <f t="shared" si="69"/>
        <v>1329300</v>
      </c>
      <c r="AO45" s="40">
        <f t="shared" ref="AO45" si="74">SUM(AO36:AO44)</f>
        <v>1625400</v>
      </c>
      <c r="AP45" s="40">
        <f t="shared" si="69"/>
        <v>3906700</v>
      </c>
      <c r="AQ45" s="40">
        <f t="shared" si="69"/>
        <v>0</v>
      </c>
      <c r="AR45" s="40">
        <f t="shared" si="69"/>
        <v>0</v>
      </c>
      <c r="AS45" s="40">
        <f t="shared" si="69"/>
        <v>0</v>
      </c>
      <c r="AT45" s="40">
        <f t="shared" ref="AT45" si="75">SUM(AT36:AT44)</f>
        <v>0</v>
      </c>
      <c r="AU45" s="40">
        <f t="shared" si="69"/>
        <v>0</v>
      </c>
      <c r="AV45" s="40">
        <f t="shared" si="69"/>
        <v>0</v>
      </c>
      <c r="AW45" s="40">
        <f t="shared" si="69"/>
        <v>0</v>
      </c>
      <c r="AX45" s="40">
        <f t="shared" si="69"/>
        <v>100000</v>
      </c>
      <c r="AY45" s="40">
        <f t="shared" si="69"/>
        <v>0</v>
      </c>
      <c r="AZ45" s="40">
        <f t="shared" si="69"/>
        <v>0</v>
      </c>
      <c r="BA45" s="40">
        <f t="shared" si="69"/>
        <v>0</v>
      </c>
      <c r="BB45" s="40">
        <f t="shared" ref="BB45" si="76">SUM(BB36:BB44)</f>
        <v>0</v>
      </c>
      <c r="BC45" s="40">
        <f t="shared" si="69"/>
        <v>100000</v>
      </c>
      <c r="BD45" s="40">
        <f t="shared" si="69"/>
        <v>1085000</v>
      </c>
      <c r="BE45" s="40">
        <f t="shared" si="69"/>
        <v>4959900</v>
      </c>
      <c r="BF45" s="40">
        <f t="shared" si="69"/>
        <v>3152500</v>
      </c>
      <c r="BG45" s="40">
        <f t="shared" si="69"/>
        <v>3144000</v>
      </c>
      <c r="BH45" s="40">
        <f t="shared" si="69"/>
        <v>1650500</v>
      </c>
      <c r="BI45" s="41">
        <f>SUM(BI36:BI44)</f>
        <v>2553200</v>
      </c>
      <c r="BJ45" s="40">
        <f t="shared" ref="BJ45" si="77">SUM(BJ36:BJ44)</f>
        <v>3376400</v>
      </c>
      <c r="BK45" s="40">
        <f t="shared" si="69"/>
        <v>19921500</v>
      </c>
    </row>
    <row r="46" spans="1:63" ht="31.5">
      <c r="A46" s="6" t="s">
        <v>97</v>
      </c>
      <c r="B46" s="22">
        <v>1</v>
      </c>
      <c r="C46" s="23" t="s">
        <v>98</v>
      </c>
      <c r="D46" s="24" t="s">
        <v>99</v>
      </c>
      <c r="E46" s="24" t="s">
        <v>97</v>
      </c>
      <c r="F46" s="24"/>
      <c r="G46" s="24"/>
      <c r="H46" s="36"/>
      <c r="I46" s="24"/>
      <c r="J46" s="24"/>
      <c r="K46" s="24"/>
      <c r="L46" s="24"/>
      <c r="M46" s="25">
        <f t="shared" ref="M46:M53" si="78">SUM(F46:L46)</f>
        <v>0</v>
      </c>
      <c r="N46" s="24"/>
      <c r="O46" s="24"/>
      <c r="P46" s="24"/>
      <c r="Q46" s="24"/>
      <c r="R46" s="24"/>
      <c r="S46" s="24"/>
      <c r="T46" s="24"/>
      <c r="U46" s="25">
        <f t="shared" ref="U46:U53" si="79">SUM(N46:T46)</f>
        <v>0</v>
      </c>
      <c r="V46" s="28"/>
      <c r="W46" s="28"/>
      <c r="X46" s="28"/>
      <c r="Y46" s="28"/>
      <c r="Z46" s="28"/>
      <c r="AA46" s="28"/>
      <c r="AB46" s="28"/>
      <c r="AC46" s="25">
        <f t="shared" ref="AC46:AC53" si="80">SUM(V46:AB46)</f>
        <v>0</v>
      </c>
      <c r="AD46" s="28"/>
      <c r="AE46" s="47">
        <v>481150</v>
      </c>
      <c r="AF46" s="47">
        <f>202300+70000</f>
        <v>272300</v>
      </c>
      <c r="AG46" s="49">
        <v>478000</v>
      </c>
      <c r="AH46" s="28">
        <f>49000+98000+364000+112000</f>
        <v>623000</v>
      </c>
      <c r="AI46" s="28">
        <f>491750+123200+61600</f>
        <v>676550</v>
      </c>
      <c r="AJ46" s="28">
        <v>498500</v>
      </c>
      <c r="AK46" s="29">
        <f t="shared" ref="AK46:AK53" si="81">SUM(AD46:AJ46)</f>
        <v>3029500</v>
      </c>
      <c r="AL46" s="47">
        <v>0</v>
      </c>
      <c r="AM46" s="28"/>
      <c r="AN46" s="28"/>
      <c r="AO46" s="28"/>
      <c r="AP46" s="29">
        <f t="shared" ref="AP46:AP53" si="82">SUM(AL46:AO46)</f>
        <v>0</v>
      </c>
      <c r="AQ46" s="47"/>
      <c r="AR46" s="28"/>
      <c r="AS46" s="28"/>
      <c r="AT46" s="28"/>
      <c r="AU46" s="29">
        <f t="shared" ref="AU46:AU53" si="83">SUM(AQ46:AT46)</f>
        <v>0</v>
      </c>
      <c r="AV46" s="47"/>
      <c r="AW46" s="47"/>
      <c r="AX46" s="47"/>
      <c r="AY46" s="47"/>
      <c r="AZ46" s="28"/>
      <c r="BA46" s="28"/>
      <c r="BB46" s="28"/>
      <c r="BC46" s="29">
        <f t="shared" ref="BC46:BC53" si="84">SUM(AV46:BB46)</f>
        <v>0</v>
      </c>
      <c r="BD46" s="24">
        <f t="shared" ref="BD46:BF53" si="85">F46+N46+V46+AD46+AV46</f>
        <v>0</v>
      </c>
      <c r="BE46" s="24">
        <f t="shared" si="85"/>
        <v>481150</v>
      </c>
      <c r="BF46" s="24">
        <f t="shared" si="85"/>
        <v>272300</v>
      </c>
      <c r="BG46" s="24">
        <f t="shared" ref="BG46:BJ53" si="86">I46+Q46+Y46+AG46+AL46+AQ46+AY46</f>
        <v>478000</v>
      </c>
      <c r="BH46" s="30">
        <f t="shared" si="86"/>
        <v>623000</v>
      </c>
      <c r="BI46" s="30">
        <f t="shared" si="86"/>
        <v>676550</v>
      </c>
      <c r="BJ46" s="30">
        <f t="shared" si="86"/>
        <v>498500</v>
      </c>
      <c r="BK46" s="25">
        <f t="shared" ref="BK46:BK53" si="87">SUM(BD46:BJ46)</f>
        <v>3029500</v>
      </c>
    </row>
    <row r="47" spans="1:63" ht="31.5">
      <c r="A47" s="32"/>
      <c r="B47" s="22">
        <v>2</v>
      </c>
      <c r="C47" s="23" t="s">
        <v>100</v>
      </c>
      <c r="D47" s="24" t="s">
        <v>101</v>
      </c>
      <c r="E47" s="24" t="s">
        <v>97</v>
      </c>
      <c r="F47" s="24">
        <v>155000</v>
      </c>
      <c r="G47" s="24">
        <v>712500</v>
      </c>
      <c r="H47" s="24">
        <f>60500+60500+200000</f>
        <v>321000</v>
      </c>
      <c r="I47" s="24">
        <f>160000+20000</f>
        <v>180000</v>
      </c>
      <c r="J47" s="24"/>
      <c r="K47" s="24"/>
      <c r="L47" s="24"/>
      <c r="M47" s="25">
        <f t="shared" si="78"/>
        <v>1368500</v>
      </c>
      <c r="N47" s="24"/>
      <c r="O47" s="24"/>
      <c r="P47" s="24"/>
      <c r="Q47" s="24"/>
      <c r="R47" s="24"/>
      <c r="S47" s="24"/>
      <c r="T47" s="24"/>
      <c r="U47" s="25">
        <f t="shared" si="79"/>
        <v>0</v>
      </c>
      <c r="V47" s="28"/>
      <c r="W47" s="28"/>
      <c r="X47" s="28"/>
      <c r="Y47" s="28"/>
      <c r="Z47" s="28"/>
      <c r="AA47" s="28"/>
      <c r="AB47" s="28"/>
      <c r="AC47" s="25">
        <f t="shared" si="80"/>
        <v>0</v>
      </c>
      <c r="AD47" s="28">
        <v>195000</v>
      </c>
      <c r="AE47" s="47">
        <v>608650</v>
      </c>
      <c r="AF47" s="47">
        <v>377050</v>
      </c>
      <c r="AG47" s="49">
        <v>40000</v>
      </c>
      <c r="AH47" s="28"/>
      <c r="AI47" s="28"/>
      <c r="AJ47" s="28"/>
      <c r="AK47" s="29">
        <f t="shared" si="81"/>
        <v>1220700</v>
      </c>
      <c r="AL47" s="47">
        <v>770000</v>
      </c>
      <c r="AM47" s="28">
        <f>70000+210000+210000+210000+140000</f>
        <v>840000</v>
      </c>
      <c r="AN47" s="28">
        <f>941892+217055+109185</f>
        <v>1268132</v>
      </c>
      <c r="AO47" s="28">
        <v>1415450</v>
      </c>
      <c r="AP47" s="29">
        <f t="shared" si="82"/>
        <v>4293582</v>
      </c>
      <c r="AQ47" s="47"/>
      <c r="AR47" s="28"/>
      <c r="AS47" s="28"/>
      <c r="AT47" s="28"/>
      <c r="AU47" s="29">
        <f t="shared" si="83"/>
        <v>0</v>
      </c>
      <c r="AV47" s="47"/>
      <c r="AW47" s="47"/>
      <c r="AX47" s="47"/>
      <c r="AY47" s="47"/>
      <c r="AZ47" s="28"/>
      <c r="BA47" s="28"/>
      <c r="BB47" s="28"/>
      <c r="BC47" s="29">
        <f t="shared" si="84"/>
        <v>0</v>
      </c>
      <c r="BD47" s="24">
        <f t="shared" si="85"/>
        <v>350000</v>
      </c>
      <c r="BE47" s="24">
        <f t="shared" si="85"/>
        <v>1321150</v>
      </c>
      <c r="BF47" s="24">
        <f t="shared" si="85"/>
        <v>698050</v>
      </c>
      <c r="BG47" s="24">
        <f t="shared" si="86"/>
        <v>990000</v>
      </c>
      <c r="BH47" s="30">
        <f t="shared" si="86"/>
        <v>840000</v>
      </c>
      <c r="BI47" s="30">
        <f t="shared" si="86"/>
        <v>1268132</v>
      </c>
      <c r="BJ47" s="30">
        <f t="shared" si="86"/>
        <v>1415450</v>
      </c>
      <c r="BK47" s="25">
        <f t="shared" si="87"/>
        <v>6882782</v>
      </c>
    </row>
    <row r="48" spans="1:63">
      <c r="A48" s="32"/>
      <c r="B48" s="22">
        <v>3</v>
      </c>
      <c r="C48" s="23" t="s">
        <v>102</v>
      </c>
      <c r="D48" s="24" t="s">
        <v>103</v>
      </c>
      <c r="E48" s="24" t="s">
        <v>97</v>
      </c>
      <c r="F48" s="24"/>
      <c r="G48" s="24">
        <v>155000</v>
      </c>
      <c r="H48" s="24">
        <v>311100</v>
      </c>
      <c r="I48" s="24"/>
      <c r="J48" s="24"/>
      <c r="K48" s="24"/>
      <c r="L48" s="24"/>
      <c r="M48" s="25">
        <f t="shared" si="78"/>
        <v>466100</v>
      </c>
      <c r="N48" s="24"/>
      <c r="O48" s="24"/>
      <c r="P48" s="24"/>
      <c r="Q48" s="24"/>
      <c r="R48" s="24"/>
      <c r="S48" s="24"/>
      <c r="T48" s="24"/>
      <c r="U48" s="25">
        <f t="shared" si="79"/>
        <v>0</v>
      </c>
      <c r="V48" s="28"/>
      <c r="W48" s="28"/>
      <c r="X48" s="28"/>
      <c r="Y48" s="28"/>
      <c r="Z48" s="28"/>
      <c r="AA48" s="28"/>
      <c r="AB48" s="28"/>
      <c r="AC48" s="25">
        <f t="shared" si="80"/>
        <v>0</v>
      </c>
      <c r="AD48" s="28"/>
      <c r="AE48" s="28"/>
      <c r="AF48" s="28"/>
      <c r="AG48" s="28"/>
      <c r="AH48" s="28"/>
      <c r="AI48" s="28"/>
      <c r="AJ48" s="28"/>
      <c r="AK48" s="29">
        <f t="shared" si="81"/>
        <v>0</v>
      </c>
      <c r="AL48" s="47">
        <v>0</v>
      </c>
      <c r="AM48" s="28"/>
      <c r="AN48" s="28"/>
      <c r="AO48" s="28"/>
      <c r="AP48" s="29">
        <f t="shared" si="82"/>
        <v>0</v>
      </c>
      <c r="AQ48" s="47"/>
      <c r="AR48" s="28"/>
      <c r="AS48" s="28"/>
      <c r="AT48" s="28"/>
      <c r="AU48" s="29">
        <f t="shared" si="83"/>
        <v>0</v>
      </c>
      <c r="AV48" s="47"/>
      <c r="AW48" s="49">
        <v>100000</v>
      </c>
      <c r="AX48" s="47"/>
      <c r="AY48" s="47"/>
      <c r="AZ48" s="28"/>
      <c r="BA48" s="28"/>
      <c r="BB48" s="28"/>
      <c r="BC48" s="29">
        <f t="shared" si="84"/>
        <v>100000</v>
      </c>
      <c r="BD48" s="24">
        <f t="shared" si="85"/>
        <v>0</v>
      </c>
      <c r="BE48" s="24">
        <f t="shared" si="85"/>
        <v>255000</v>
      </c>
      <c r="BF48" s="24">
        <f t="shared" si="85"/>
        <v>311100</v>
      </c>
      <c r="BG48" s="24">
        <f t="shared" si="86"/>
        <v>0</v>
      </c>
      <c r="BH48" s="30">
        <f t="shared" si="86"/>
        <v>0</v>
      </c>
      <c r="BI48" s="30">
        <f t="shared" si="86"/>
        <v>0</v>
      </c>
      <c r="BJ48" s="30">
        <f t="shared" si="86"/>
        <v>0</v>
      </c>
      <c r="BK48" s="25">
        <f t="shared" si="87"/>
        <v>566100</v>
      </c>
    </row>
    <row r="49" spans="1:63">
      <c r="A49" s="32"/>
      <c r="B49" s="22">
        <v>4</v>
      </c>
      <c r="C49" s="23" t="s">
        <v>104</v>
      </c>
      <c r="D49" s="24" t="s">
        <v>105</v>
      </c>
      <c r="E49" s="24" t="s">
        <v>97</v>
      </c>
      <c r="F49" s="24"/>
      <c r="G49" s="24">
        <v>155000</v>
      </c>
      <c r="H49" s="24"/>
      <c r="I49" s="24"/>
      <c r="J49" s="24"/>
      <c r="K49" s="24"/>
      <c r="L49" s="24"/>
      <c r="M49" s="25">
        <f t="shared" si="78"/>
        <v>155000</v>
      </c>
      <c r="N49" s="24"/>
      <c r="O49" s="24"/>
      <c r="P49" s="24"/>
      <c r="Q49" s="24"/>
      <c r="R49" s="24"/>
      <c r="S49" s="24"/>
      <c r="T49" s="24"/>
      <c r="U49" s="25">
        <f t="shared" si="79"/>
        <v>0</v>
      </c>
      <c r="V49" s="28"/>
      <c r="W49" s="28"/>
      <c r="X49" s="28"/>
      <c r="Y49" s="28"/>
      <c r="Z49" s="28"/>
      <c r="AA49" s="28"/>
      <c r="AB49" s="28"/>
      <c r="AC49" s="25">
        <f t="shared" si="80"/>
        <v>0</v>
      </c>
      <c r="AD49" s="28"/>
      <c r="AE49" s="28">
        <v>195000</v>
      </c>
      <c r="AF49" s="47">
        <v>73150</v>
      </c>
      <c r="AG49" s="49">
        <v>30000</v>
      </c>
      <c r="AH49" s="28"/>
      <c r="AI49" s="28"/>
      <c r="AJ49" s="28"/>
      <c r="AK49" s="29">
        <f t="shared" si="81"/>
        <v>298150</v>
      </c>
      <c r="AL49" s="47">
        <v>0</v>
      </c>
      <c r="AM49" s="28"/>
      <c r="AN49" s="28"/>
      <c r="AO49" s="28"/>
      <c r="AP49" s="29">
        <f t="shared" si="82"/>
        <v>0</v>
      </c>
      <c r="AQ49" s="47"/>
      <c r="AR49" s="28"/>
      <c r="AS49" s="28"/>
      <c r="AT49" s="28"/>
      <c r="AU49" s="29">
        <f t="shared" si="83"/>
        <v>0</v>
      </c>
      <c r="AV49" s="47"/>
      <c r="AW49" s="47"/>
      <c r="AX49" s="47"/>
      <c r="AY49" s="47"/>
      <c r="AZ49" s="28"/>
      <c r="BA49" s="28"/>
      <c r="BB49" s="28"/>
      <c r="BC49" s="29">
        <f t="shared" si="84"/>
        <v>0</v>
      </c>
      <c r="BD49" s="24">
        <f t="shared" si="85"/>
        <v>0</v>
      </c>
      <c r="BE49" s="24">
        <f t="shared" si="85"/>
        <v>350000</v>
      </c>
      <c r="BF49" s="24">
        <f t="shared" si="85"/>
        <v>73150</v>
      </c>
      <c r="BG49" s="24">
        <f t="shared" si="86"/>
        <v>30000</v>
      </c>
      <c r="BH49" s="30">
        <f t="shared" si="86"/>
        <v>0</v>
      </c>
      <c r="BI49" s="30">
        <f t="shared" si="86"/>
        <v>0</v>
      </c>
      <c r="BJ49" s="30">
        <f t="shared" si="86"/>
        <v>0</v>
      </c>
      <c r="BK49" s="25">
        <f t="shared" si="87"/>
        <v>453150</v>
      </c>
    </row>
    <row r="50" spans="1:63" ht="31.5">
      <c r="A50" s="32"/>
      <c r="B50" s="22">
        <v>5</v>
      </c>
      <c r="C50" s="23" t="s">
        <v>106</v>
      </c>
      <c r="D50" s="24" t="s">
        <v>107</v>
      </c>
      <c r="E50" s="24" t="s">
        <v>97</v>
      </c>
      <c r="F50" s="24">
        <v>155000</v>
      </c>
      <c r="G50" s="24">
        <v>427000</v>
      </c>
      <c r="H50" s="24">
        <f>71500+71500+231000</f>
        <v>374000</v>
      </c>
      <c r="I50" s="24"/>
      <c r="J50" s="24"/>
      <c r="K50" s="24"/>
      <c r="L50" s="24"/>
      <c r="M50" s="25">
        <f t="shared" si="78"/>
        <v>956000</v>
      </c>
      <c r="N50" s="24"/>
      <c r="O50" s="24"/>
      <c r="P50" s="24"/>
      <c r="Q50" s="24"/>
      <c r="R50" s="24"/>
      <c r="S50" s="24"/>
      <c r="T50" s="24"/>
      <c r="U50" s="25">
        <f t="shared" si="79"/>
        <v>0</v>
      </c>
      <c r="V50" s="28"/>
      <c r="W50" s="28"/>
      <c r="X50" s="28"/>
      <c r="Y50" s="28"/>
      <c r="Z50" s="28"/>
      <c r="AA50" s="28"/>
      <c r="AB50" s="28"/>
      <c r="AC50" s="25">
        <f t="shared" si="80"/>
        <v>0</v>
      </c>
      <c r="AD50" s="28"/>
      <c r="AE50" s="47">
        <v>585250</v>
      </c>
      <c r="AF50" s="47">
        <v>174600</v>
      </c>
      <c r="AG50" s="47"/>
      <c r="AH50" s="28"/>
      <c r="AI50" s="28"/>
      <c r="AJ50" s="28"/>
      <c r="AK50" s="29">
        <f t="shared" si="81"/>
        <v>759850</v>
      </c>
      <c r="AL50" s="47">
        <v>0</v>
      </c>
      <c r="AM50" s="28"/>
      <c r="AN50" s="28">
        <f>707200+202800+104000</f>
        <v>1014000</v>
      </c>
      <c r="AO50" s="28">
        <v>1258400</v>
      </c>
      <c r="AP50" s="29">
        <f t="shared" si="82"/>
        <v>2272400</v>
      </c>
      <c r="AQ50" s="47"/>
      <c r="AR50" s="28"/>
      <c r="AS50" s="28"/>
      <c r="AT50" s="28"/>
      <c r="AU50" s="29">
        <f t="shared" si="83"/>
        <v>0</v>
      </c>
      <c r="AV50" s="47"/>
      <c r="AW50" s="47"/>
      <c r="AX50" s="47"/>
      <c r="AY50" s="47"/>
      <c r="AZ50" s="28"/>
      <c r="BA50" s="28"/>
      <c r="BB50" s="28"/>
      <c r="BC50" s="29">
        <f t="shared" si="84"/>
        <v>0</v>
      </c>
      <c r="BD50" s="24">
        <f t="shared" si="85"/>
        <v>155000</v>
      </c>
      <c r="BE50" s="24">
        <f t="shared" si="85"/>
        <v>1012250</v>
      </c>
      <c r="BF50" s="24">
        <f t="shared" si="85"/>
        <v>548600</v>
      </c>
      <c r="BG50" s="24">
        <f t="shared" si="86"/>
        <v>0</v>
      </c>
      <c r="BH50" s="30">
        <f t="shared" si="86"/>
        <v>0</v>
      </c>
      <c r="BI50" s="30">
        <f t="shared" si="86"/>
        <v>1014000</v>
      </c>
      <c r="BJ50" s="30">
        <f t="shared" si="86"/>
        <v>1258400</v>
      </c>
      <c r="BK50" s="25">
        <f t="shared" si="87"/>
        <v>3988250</v>
      </c>
    </row>
    <row r="51" spans="1:63">
      <c r="A51" s="32"/>
      <c r="B51" s="22">
        <v>6</v>
      </c>
      <c r="C51" s="23" t="s">
        <v>108</v>
      </c>
      <c r="D51" s="24" t="s">
        <v>109</v>
      </c>
      <c r="E51" s="24" t="s">
        <v>97</v>
      </c>
      <c r="F51" s="24">
        <v>155000</v>
      </c>
      <c r="G51" s="24">
        <v>279000</v>
      </c>
      <c r="H51" s="24">
        <f>108000+36000</f>
        <v>144000</v>
      </c>
      <c r="I51" s="24">
        <v>218000</v>
      </c>
      <c r="J51" s="24">
        <f>15000+198000</f>
        <v>213000</v>
      </c>
      <c r="K51" s="24">
        <v>45000</v>
      </c>
      <c r="L51" s="24"/>
      <c r="M51" s="25">
        <f t="shared" si="78"/>
        <v>1054000</v>
      </c>
      <c r="N51" s="24"/>
      <c r="O51" s="24"/>
      <c r="P51" s="24"/>
      <c r="Q51" s="24"/>
      <c r="R51" s="24"/>
      <c r="S51" s="24"/>
      <c r="T51" s="24"/>
      <c r="U51" s="25">
        <f t="shared" si="79"/>
        <v>0</v>
      </c>
      <c r="V51" s="28"/>
      <c r="W51" s="28"/>
      <c r="X51" s="28"/>
      <c r="Y51" s="28"/>
      <c r="Z51" s="28"/>
      <c r="AA51" s="28"/>
      <c r="AB51" s="28"/>
      <c r="AC51" s="25">
        <f t="shared" si="80"/>
        <v>0</v>
      </c>
      <c r="AD51" s="28"/>
      <c r="AE51" s="28"/>
      <c r="AF51" s="28"/>
      <c r="AG51" s="28"/>
      <c r="AH51" s="28"/>
      <c r="AI51" s="28"/>
      <c r="AJ51" s="28"/>
      <c r="AK51" s="29">
        <f t="shared" si="81"/>
        <v>0</v>
      </c>
      <c r="AL51" s="47">
        <v>0</v>
      </c>
      <c r="AM51" s="28"/>
      <c r="AN51" s="28"/>
      <c r="AO51" s="28"/>
      <c r="AP51" s="29">
        <f t="shared" si="82"/>
        <v>0</v>
      </c>
      <c r="AQ51" s="47"/>
      <c r="AR51" s="28"/>
      <c r="AS51" s="28"/>
      <c r="AT51" s="28"/>
      <c r="AU51" s="29">
        <f t="shared" si="83"/>
        <v>0</v>
      </c>
      <c r="AV51" s="47"/>
      <c r="AW51" s="47"/>
      <c r="AX51" s="47"/>
      <c r="AY51" s="47"/>
      <c r="AZ51" s="28"/>
      <c r="BA51" s="28"/>
      <c r="BB51" s="28"/>
      <c r="BC51" s="29">
        <f t="shared" si="84"/>
        <v>0</v>
      </c>
      <c r="BD51" s="24">
        <f t="shared" si="85"/>
        <v>155000</v>
      </c>
      <c r="BE51" s="24">
        <f t="shared" si="85"/>
        <v>279000</v>
      </c>
      <c r="BF51" s="24">
        <f t="shared" si="85"/>
        <v>144000</v>
      </c>
      <c r="BG51" s="24">
        <f t="shared" si="86"/>
        <v>218000</v>
      </c>
      <c r="BH51" s="30">
        <f t="shared" si="86"/>
        <v>213000</v>
      </c>
      <c r="BI51" s="30">
        <f t="shared" si="86"/>
        <v>45000</v>
      </c>
      <c r="BJ51" s="30">
        <f t="shared" si="86"/>
        <v>0</v>
      </c>
      <c r="BK51" s="25">
        <f t="shared" si="87"/>
        <v>1054000</v>
      </c>
    </row>
    <row r="52" spans="1:63" ht="31.5">
      <c r="A52" s="32"/>
      <c r="B52" s="22">
        <v>7</v>
      </c>
      <c r="C52" s="23" t="s">
        <v>110</v>
      </c>
      <c r="D52" s="24" t="s">
        <v>111</v>
      </c>
      <c r="E52" s="24" t="s">
        <v>97</v>
      </c>
      <c r="F52" s="24">
        <v>155000</v>
      </c>
      <c r="G52" s="24">
        <v>823000</v>
      </c>
      <c r="H52" s="24">
        <f>82500+82500</f>
        <v>165000</v>
      </c>
      <c r="I52" s="24"/>
      <c r="J52" s="24"/>
      <c r="K52" s="24"/>
      <c r="L52" s="24"/>
      <c r="M52" s="25">
        <f t="shared" si="78"/>
        <v>1143000</v>
      </c>
      <c r="N52" s="24"/>
      <c r="O52" s="24"/>
      <c r="P52" s="24"/>
      <c r="Q52" s="24"/>
      <c r="R52" s="24"/>
      <c r="S52" s="24"/>
      <c r="T52" s="24"/>
      <c r="U52" s="25">
        <f t="shared" si="79"/>
        <v>0</v>
      </c>
      <c r="V52" s="28">
        <v>290000</v>
      </c>
      <c r="W52" s="48">
        <v>1267000</v>
      </c>
      <c r="X52" s="24">
        <v>448000</v>
      </c>
      <c r="Y52" s="48"/>
      <c r="Z52" s="48"/>
      <c r="AA52" s="48">
        <f>1743000+581000</f>
        <v>2324000</v>
      </c>
      <c r="AB52" s="48">
        <f>203000+595000+406000+210000+210000+420000+210000</f>
        <v>2254000</v>
      </c>
      <c r="AC52" s="25">
        <f t="shared" si="80"/>
        <v>6583000</v>
      </c>
      <c r="AD52" s="28">
        <v>195000</v>
      </c>
      <c r="AE52" s="47">
        <v>1031900</v>
      </c>
      <c r="AF52" s="47">
        <v>412250</v>
      </c>
      <c r="AG52" s="47"/>
      <c r="AH52" s="28"/>
      <c r="AI52" s="28"/>
      <c r="AJ52" s="28"/>
      <c r="AK52" s="29">
        <f t="shared" si="81"/>
        <v>1639150</v>
      </c>
      <c r="AL52" s="47">
        <v>0</v>
      </c>
      <c r="AM52" s="28"/>
      <c r="AN52" s="28"/>
      <c r="AO52" s="28"/>
      <c r="AP52" s="29">
        <f t="shared" si="82"/>
        <v>0</v>
      </c>
      <c r="AQ52" s="47"/>
      <c r="AR52" s="28"/>
      <c r="AS52" s="28"/>
      <c r="AT52" s="28"/>
      <c r="AU52" s="29">
        <f t="shared" si="83"/>
        <v>0</v>
      </c>
      <c r="AV52" s="47"/>
      <c r="AW52" s="47"/>
      <c r="AX52" s="47"/>
      <c r="AY52" s="47"/>
      <c r="AZ52" s="28"/>
      <c r="BA52" s="28"/>
      <c r="BB52" s="28"/>
      <c r="BC52" s="29">
        <f t="shared" si="84"/>
        <v>0</v>
      </c>
      <c r="BD52" s="24">
        <f t="shared" si="85"/>
        <v>640000</v>
      </c>
      <c r="BE52" s="24">
        <f t="shared" si="85"/>
        <v>3121900</v>
      </c>
      <c r="BF52" s="24">
        <f t="shared" si="85"/>
        <v>1025250</v>
      </c>
      <c r="BG52" s="24">
        <f t="shared" si="86"/>
        <v>0</v>
      </c>
      <c r="BH52" s="30">
        <f t="shared" si="86"/>
        <v>0</v>
      </c>
      <c r="BI52" s="30">
        <f t="shared" si="86"/>
        <v>2324000</v>
      </c>
      <c r="BJ52" s="30">
        <f t="shared" si="86"/>
        <v>2254000</v>
      </c>
      <c r="BK52" s="25">
        <f t="shared" si="87"/>
        <v>9365150</v>
      </c>
    </row>
    <row r="53" spans="1:63" ht="47.25">
      <c r="A53" s="14"/>
      <c r="B53" s="22">
        <v>8</v>
      </c>
      <c r="C53" s="23" t="s">
        <v>112</v>
      </c>
      <c r="D53" s="24" t="s">
        <v>99</v>
      </c>
      <c r="E53" s="24" t="s">
        <v>97</v>
      </c>
      <c r="F53" s="24"/>
      <c r="G53" s="24">
        <v>630500</v>
      </c>
      <c r="H53" s="24">
        <f>60500+60500+170500</f>
        <v>291500</v>
      </c>
      <c r="I53" s="24">
        <f>160000+20000</f>
        <v>180000</v>
      </c>
      <c r="J53" s="24"/>
      <c r="K53" s="24"/>
      <c r="L53" s="24"/>
      <c r="M53" s="25">
        <f t="shared" si="78"/>
        <v>1102000</v>
      </c>
      <c r="N53" s="24"/>
      <c r="O53" s="24"/>
      <c r="P53" s="24"/>
      <c r="Q53" s="24"/>
      <c r="R53" s="24"/>
      <c r="S53" s="24"/>
      <c r="T53" s="24"/>
      <c r="U53" s="25">
        <f t="shared" si="79"/>
        <v>0</v>
      </c>
      <c r="V53" s="28"/>
      <c r="W53" s="28"/>
      <c r="X53" s="28"/>
      <c r="Y53" s="28"/>
      <c r="Z53" s="28"/>
      <c r="AA53" s="28"/>
      <c r="AB53" s="28"/>
      <c r="AC53" s="25">
        <f t="shared" si="80"/>
        <v>0</v>
      </c>
      <c r="AD53" s="28">
        <v>195000</v>
      </c>
      <c r="AE53" s="47">
        <v>854300</v>
      </c>
      <c r="AF53" s="47">
        <v>375250</v>
      </c>
      <c r="AG53" s="47">
        <v>180000</v>
      </c>
      <c r="AH53" s="28"/>
      <c r="AI53" s="28"/>
      <c r="AJ53" s="28"/>
      <c r="AK53" s="29">
        <f t="shared" si="81"/>
        <v>1604550</v>
      </c>
      <c r="AL53" s="47">
        <v>1155000</v>
      </c>
      <c r="AM53" s="28">
        <f>105000+315000+315000+315000+210000</f>
        <v>1260000</v>
      </c>
      <c r="AN53" s="28">
        <f>1281120+252000+126000</f>
        <v>1659120</v>
      </c>
      <c r="AO53" s="28">
        <v>1602000</v>
      </c>
      <c r="AP53" s="29">
        <f t="shared" si="82"/>
        <v>5676120</v>
      </c>
      <c r="AQ53" s="47"/>
      <c r="AR53" s="28"/>
      <c r="AS53" s="28"/>
      <c r="AT53" s="28"/>
      <c r="AU53" s="29">
        <f t="shared" si="83"/>
        <v>0</v>
      </c>
      <c r="AV53" s="47"/>
      <c r="AW53" s="47"/>
      <c r="AX53" s="47">
        <v>100000</v>
      </c>
      <c r="AY53" s="47">
        <v>200000</v>
      </c>
      <c r="AZ53" s="28"/>
      <c r="BA53" s="28"/>
      <c r="BB53" s="28"/>
      <c r="BC53" s="29">
        <f t="shared" si="84"/>
        <v>300000</v>
      </c>
      <c r="BD53" s="24">
        <f t="shared" si="85"/>
        <v>195000</v>
      </c>
      <c r="BE53" s="24">
        <f t="shared" si="85"/>
        <v>1484800</v>
      </c>
      <c r="BF53" s="24">
        <f t="shared" si="85"/>
        <v>766750</v>
      </c>
      <c r="BG53" s="24">
        <f t="shared" si="86"/>
        <v>1715000</v>
      </c>
      <c r="BH53" s="30">
        <f t="shared" si="86"/>
        <v>1260000</v>
      </c>
      <c r="BI53" s="30">
        <f t="shared" si="86"/>
        <v>1659120</v>
      </c>
      <c r="BJ53" s="30">
        <f t="shared" si="86"/>
        <v>1602000</v>
      </c>
      <c r="BK53" s="25">
        <f t="shared" si="87"/>
        <v>8682670</v>
      </c>
    </row>
    <row r="54" spans="1:63" s="42" customFormat="1">
      <c r="A54" s="37"/>
      <c r="B54" s="37"/>
      <c r="C54" s="38" t="s">
        <v>113</v>
      </c>
      <c r="D54" s="40"/>
      <c r="E54" s="40"/>
      <c r="F54" s="40">
        <f>SUM(F46:F53)</f>
        <v>620000</v>
      </c>
      <c r="G54" s="40">
        <f t="shared" ref="G54:BK54" si="88">SUM(G46:G53)</f>
        <v>3182000</v>
      </c>
      <c r="H54" s="40">
        <f t="shared" si="88"/>
        <v>1606600</v>
      </c>
      <c r="I54" s="40">
        <f t="shared" si="88"/>
        <v>578000</v>
      </c>
      <c r="J54" s="40">
        <f t="shared" si="88"/>
        <v>213000</v>
      </c>
      <c r="K54" s="40">
        <f t="shared" si="88"/>
        <v>45000</v>
      </c>
      <c r="L54" s="40">
        <f t="shared" si="88"/>
        <v>0</v>
      </c>
      <c r="M54" s="40">
        <f t="shared" si="88"/>
        <v>6244600</v>
      </c>
      <c r="N54" s="40">
        <f t="shared" si="88"/>
        <v>0</v>
      </c>
      <c r="O54" s="40">
        <f t="shared" si="88"/>
        <v>0</v>
      </c>
      <c r="P54" s="40">
        <f t="shared" si="88"/>
        <v>0</v>
      </c>
      <c r="Q54" s="40">
        <f t="shared" si="88"/>
        <v>0</v>
      </c>
      <c r="R54" s="40">
        <f t="shared" si="88"/>
        <v>0</v>
      </c>
      <c r="S54" s="40">
        <f t="shared" si="88"/>
        <v>0</v>
      </c>
      <c r="T54" s="40">
        <f t="shared" si="88"/>
        <v>0</v>
      </c>
      <c r="U54" s="40">
        <f t="shared" si="88"/>
        <v>0</v>
      </c>
      <c r="V54" s="40">
        <f t="shared" si="88"/>
        <v>290000</v>
      </c>
      <c r="W54" s="40">
        <f t="shared" si="88"/>
        <v>1267000</v>
      </c>
      <c r="X54" s="40">
        <f t="shared" si="88"/>
        <v>448000</v>
      </c>
      <c r="Y54" s="40">
        <f t="shared" si="88"/>
        <v>0</v>
      </c>
      <c r="Z54" s="40">
        <f t="shared" si="88"/>
        <v>0</v>
      </c>
      <c r="AA54" s="40">
        <f t="shared" si="88"/>
        <v>2324000</v>
      </c>
      <c r="AB54" s="40">
        <f t="shared" si="88"/>
        <v>2254000</v>
      </c>
      <c r="AC54" s="40">
        <f t="shared" si="88"/>
        <v>6583000</v>
      </c>
      <c r="AD54" s="40">
        <f t="shared" si="88"/>
        <v>585000</v>
      </c>
      <c r="AE54" s="40">
        <f t="shared" si="88"/>
        <v>3756250</v>
      </c>
      <c r="AF54" s="40">
        <f t="shared" si="88"/>
        <v>1684600</v>
      </c>
      <c r="AG54" s="40">
        <f t="shared" si="88"/>
        <v>728000</v>
      </c>
      <c r="AH54" s="40">
        <f t="shared" si="88"/>
        <v>623000</v>
      </c>
      <c r="AI54" s="40">
        <f t="shared" si="88"/>
        <v>676550</v>
      </c>
      <c r="AJ54" s="40">
        <f t="shared" si="88"/>
        <v>498500</v>
      </c>
      <c r="AK54" s="40">
        <f t="shared" si="88"/>
        <v>8551900</v>
      </c>
      <c r="AL54" s="40">
        <f t="shared" si="88"/>
        <v>1925000</v>
      </c>
      <c r="AM54" s="40">
        <f t="shared" si="88"/>
        <v>2100000</v>
      </c>
      <c r="AN54" s="40">
        <f t="shared" si="88"/>
        <v>3941252</v>
      </c>
      <c r="AO54" s="40">
        <f t="shared" si="88"/>
        <v>4275850</v>
      </c>
      <c r="AP54" s="40">
        <f t="shared" si="88"/>
        <v>12242102</v>
      </c>
      <c r="AQ54" s="40">
        <f t="shared" si="88"/>
        <v>0</v>
      </c>
      <c r="AR54" s="40">
        <f t="shared" si="88"/>
        <v>0</v>
      </c>
      <c r="AS54" s="40">
        <f t="shared" si="88"/>
        <v>0</v>
      </c>
      <c r="AT54" s="40">
        <f t="shared" si="88"/>
        <v>0</v>
      </c>
      <c r="AU54" s="40">
        <f t="shared" si="88"/>
        <v>0</v>
      </c>
      <c r="AV54" s="40">
        <f t="shared" si="88"/>
        <v>0</v>
      </c>
      <c r="AW54" s="40">
        <f t="shared" si="88"/>
        <v>100000</v>
      </c>
      <c r="AX54" s="40">
        <f t="shared" si="88"/>
        <v>100000</v>
      </c>
      <c r="AY54" s="40">
        <f t="shared" si="88"/>
        <v>200000</v>
      </c>
      <c r="AZ54" s="40">
        <f t="shared" si="88"/>
        <v>0</v>
      </c>
      <c r="BA54" s="40">
        <f t="shared" si="88"/>
        <v>0</v>
      </c>
      <c r="BB54" s="40">
        <f t="shared" si="88"/>
        <v>0</v>
      </c>
      <c r="BC54" s="40">
        <f t="shared" si="88"/>
        <v>400000</v>
      </c>
      <c r="BD54" s="40">
        <f t="shared" si="88"/>
        <v>1495000</v>
      </c>
      <c r="BE54" s="40">
        <f t="shared" si="88"/>
        <v>8305250</v>
      </c>
      <c r="BF54" s="40">
        <f t="shared" si="88"/>
        <v>3839200</v>
      </c>
      <c r="BG54" s="40">
        <f t="shared" si="88"/>
        <v>3431000</v>
      </c>
      <c r="BH54" s="40">
        <f t="shared" si="88"/>
        <v>2936000</v>
      </c>
      <c r="BI54" s="41">
        <f>SUM(BI46:BI53)</f>
        <v>6986802</v>
      </c>
      <c r="BJ54" s="40">
        <f t="shared" ref="BJ54" si="89">SUM(BJ46:BJ53)</f>
        <v>7028350</v>
      </c>
      <c r="BK54" s="40">
        <f t="shared" si="88"/>
        <v>34021602</v>
      </c>
    </row>
    <row r="55" spans="1:63">
      <c r="A55" s="6" t="s">
        <v>114</v>
      </c>
      <c r="B55" s="22">
        <v>1</v>
      </c>
      <c r="C55" s="23" t="s">
        <v>115</v>
      </c>
      <c r="D55" s="36" t="s">
        <v>116</v>
      </c>
      <c r="E55" s="24" t="s">
        <v>114</v>
      </c>
      <c r="F55" s="24"/>
      <c r="G55" s="24"/>
      <c r="H55" s="36"/>
      <c r="I55" s="24"/>
      <c r="J55" s="24"/>
      <c r="K55" s="24"/>
      <c r="L55" s="24"/>
      <c r="M55" s="25">
        <f t="shared" ref="M55:M62" si="90">SUM(F55:L55)</f>
        <v>0</v>
      </c>
      <c r="N55" s="24"/>
      <c r="O55" s="24"/>
      <c r="P55" s="24"/>
      <c r="Q55" s="24"/>
      <c r="R55" s="24"/>
      <c r="S55" s="24"/>
      <c r="T55" s="24"/>
      <c r="U55" s="25">
        <f t="shared" ref="U55:U62" si="91">SUM(N55:T55)</f>
        <v>0</v>
      </c>
      <c r="V55" s="28"/>
      <c r="W55" s="28"/>
      <c r="X55" s="28"/>
      <c r="Y55" s="28"/>
      <c r="Z55" s="28"/>
      <c r="AA55" s="28"/>
      <c r="AB55" s="28"/>
      <c r="AC55" s="25">
        <f t="shared" ref="AC55:AC62" si="92">SUM(V55:AB55)</f>
        <v>0</v>
      </c>
      <c r="AD55" s="28"/>
      <c r="AE55" s="47">
        <v>992250</v>
      </c>
      <c r="AF55" s="47">
        <f>546900+180000</f>
        <v>726900</v>
      </c>
      <c r="AG55" s="49">
        <v>760000</v>
      </c>
      <c r="AH55" s="28">
        <f>140000+210000+420000+70000</f>
        <v>840000</v>
      </c>
      <c r="AI55" s="28">
        <v>1340520</v>
      </c>
      <c r="AJ55" s="28">
        <v>1499800</v>
      </c>
      <c r="AK55" s="29">
        <f t="shared" ref="AK55:AK62" si="93">SUM(AD55:AJ55)</f>
        <v>6159470</v>
      </c>
      <c r="AL55" s="47"/>
      <c r="AM55" s="28"/>
      <c r="AN55" s="28"/>
      <c r="AO55" s="28"/>
      <c r="AP55" s="29">
        <f t="shared" ref="AP55:AP62" si="94">SUM(AL55:AO55)</f>
        <v>0</v>
      </c>
      <c r="AQ55" s="47"/>
      <c r="AR55" s="28"/>
      <c r="AS55" s="28"/>
      <c r="AT55" s="28"/>
      <c r="AU55" s="29">
        <f t="shared" ref="AU55:AU62" si="95">SUM(AQ55:AT55)</f>
        <v>0</v>
      </c>
      <c r="AV55" s="47"/>
      <c r="AW55" s="47">
        <v>100000</v>
      </c>
      <c r="AX55" s="47">
        <v>540000</v>
      </c>
      <c r="AY55" s="47"/>
      <c r="AZ55" s="28"/>
      <c r="BA55" s="28"/>
      <c r="BB55" s="28"/>
      <c r="BC55" s="29">
        <f t="shared" ref="BC55:BC62" si="96">SUM(AV55:BB55)</f>
        <v>640000</v>
      </c>
      <c r="BD55" s="24">
        <f t="shared" ref="BD55:BF62" si="97">F55+N55+V55+AD55+AV55</f>
        <v>0</v>
      </c>
      <c r="BE55" s="24">
        <f t="shared" si="97"/>
        <v>1092250</v>
      </c>
      <c r="BF55" s="24">
        <f t="shared" si="97"/>
        <v>1266900</v>
      </c>
      <c r="BG55" s="24">
        <f t="shared" ref="BG55:BJ62" si="98">I55+Q55+Y55+AG55+AL55+AQ55+AY55</f>
        <v>760000</v>
      </c>
      <c r="BH55" s="30">
        <f t="shared" si="98"/>
        <v>840000</v>
      </c>
      <c r="BI55" s="30">
        <f t="shared" si="98"/>
        <v>1340520</v>
      </c>
      <c r="BJ55" s="30">
        <f t="shared" si="98"/>
        <v>1499800</v>
      </c>
      <c r="BK55" s="25">
        <f t="shared" ref="BK55:BK62" si="99">SUM(BD55:BJ55)</f>
        <v>6799470</v>
      </c>
    </row>
    <row r="56" spans="1:63">
      <c r="A56" s="32"/>
      <c r="B56" s="22">
        <v>2</v>
      </c>
      <c r="C56" s="23" t="s">
        <v>117</v>
      </c>
      <c r="D56" s="54" t="s">
        <v>118</v>
      </c>
      <c r="E56" s="24" t="s">
        <v>114</v>
      </c>
      <c r="F56" s="24"/>
      <c r="G56" s="24"/>
      <c r="H56" s="36"/>
      <c r="I56" s="24"/>
      <c r="J56" s="24"/>
      <c r="K56" s="24"/>
      <c r="L56" s="24"/>
      <c r="M56" s="25">
        <f t="shared" si="90"/>
        <v>0</v>
      </c>
      <c r="N56" s="24"/>
      <c r="O56" s="24"/>
      <c r="P56" s="24"/>
      <c r="Q56" s="24"/>
      <c r="R56" s="24"/>
      <c r="S56" s="24"/>
      <c r="T56" s="24"/>
      <c r="U56" s="25">
        <f t="shared" si="91"/>
        <v>0</v>
      </c>
      <c r="V56" s="28"/>
      <c r="W56" s="28"/>
      <c r="X56" s="28"/>
      <c r="Y56" s="28"/>
      <c r="Z56" s="28"/>
      <c r="AA56" s="28"/>
      <c r="AB56" s="28"/>
      <c r="AC56" s="25">
        <f t="shared" si="92"/>
        <v>0</v>
      </c>
      <c r="AD56" s="28"/>
      <c r="AE56" s="47"/>
      <c r="AF56" s="47"/>
      <c r="AG56" s="49"/>
      <c r="AH56" s="28"/>
      <c r="AI56" s="28"/>
      <c r="AJ56" s="28"/>
      <c r="AK56" s="29">
        <f t="shared" si="93"/>
        <v>0</v>
      </c>
      <c r="AL56" s="47"/>
      <c r="AM56" s="28"/>
      <c r="AN56" s="28"/>
      <c r="AO56" s="28"/>
      <c r="AP56" s="29">
        <f t="shared" si="94"/>
        <v>0</v>
      </c>
      <c r="AQ56" s="47"/>
      <c r="AR56" s="28"/>
      <c r="AS56" s="28"/>
      <c r="AT56" s="28"/>
      <c r="AU56" s="29">
        <f t="shared" si="95"/>
        <v>0</v>
      </c>
      <c r="AV56" s="47"/>
      <c r="AW56" s="47">
        <v>100000</v>
      </c>
      <c r="AX56" s="47">
        <v>-100000</v>
      </c>
      <c r="AY56" s="47"/>
      <c r="AZ56" s="28"/>
      <c r="BA56" s="28"/>
      <c r="BB56" s="28"/>
      <c r="BC56" s="29">
        <f t="shared" si="96"/>
        <v>0</v>
      </c>
      <c r="BD56" s="24">
        <f t="shared" si="97"/>
        <v>0</v>
      </c>
      <c r="BE56" s="24">
        <f t="shared" si="97"/>
        <v>100000</v>
      </c>
      <c r="BF56" s="24">
        <f t="shared" si="97"/>
        <v>-100000</v>
      </c>
      <c r="BG56" s="24">
        <f t="shared" si="98"/>
        <v>0</v>
      </c>
      <c r="BH56" s="30">
        <f t="shared" si="98"/>
        <v>0</v>
      </c>
      <c r="BI56" s="30">
        <f t="shared" si="98"/>
        <v>0</v>
      </c>
      <c r="BJ56" s="30">
        <f t="shared" si="98"/>
        <v>0</v>
      </c>
      <c r="BK56" s="25">
        <f t="shared" si="99"/>
        <v>0</v>
      </c>
    </row>
    <row r="57" spans="1:63">
      <c r="A57" s="32"/>
      <c r="B57" s="22">
        <v>3</v>
      </c>
      <c r="C57" s="23" t="s">
        <v>119</v>
      </c>
      <c r="D57" s="54" t="s">
        <v>120</v>
      </c>
      <c r="E57" s="24" t="s">
        <v>114</v>
      </c>
      <c r="F57" s="24"/>
      <c r="G57" s="24"/>
      <c r="H57" s="24"/>
      <c r="I57" s="24"/>
      <c r="J57" s="24"/>
      <c r="K57" s="24"/>
      <c r="L57" s="24"/>
      <c r="M57" s="25">
        <f t="shared" si="90"/>
        <v>0</v>
      </c>
      <c r="N57" s="24"/>
      <c r="O57" s="24"/>
      <c r="P57" s="24"/>
      <c r="Q57" s="24"/>
      <c r="R57" s="24"/>
      <c r="S57" s="24"/>
      <c r="T57" s="24"/>
      <c r="U57" s="25">
        <f t="shared" si="91"/>
        <v>0</v>
      </c>
      <c r="V57" s="28"/>
      <c r="W57" s="28"/>
      <c r="X57" s="28"/>
      <c r="Y57" s="28"/>
      <c r="Z57" s="28"/>
      <c r="AA57" s="28"/>
      <c r="AB57" s="28"/>
      <c r="AC57" s="25">
        <f t="shared" si="92"/>
        <v>0</v>
      </c>
      <c r="AD57" s="28"/>
      <c r="AE57" s="47">
        <v>195000</v>
      </c>
      <c r="AF57" s="28">
        <v>36000</v>
      </c>
      <c r="AG57" s="28">
        <v>30000</v>
      </c>
      <c r="AH57" s="28"/>
      <c r="AI57" s="28"/>
      <c r="AJ57" s="28"/>
      <c r="AK57" s="29">
        <f t="shared" si="93"/>
        <v>261000</v>
      </c>
      <c r="AL57" s="47"/>
      <c r="AM57" s="28"/>
      <c r="AN57" s="28"/>
      <c r="AO57" s="28"/>
      <c r="AP57" s="29">
        <f t="shared" si="94"/>
        <v>0</v>
      </c>
      <c r="AQ57" s="47"/>
      <c r="AR57" s="28"/>
      <c r="AS57" s="28"/>
      <c r="AT57" s="28"/>
      <c r="AU57" s="29">
        <f t="shared" si="95"/>
        <v>0</v>
      </c>
      <c r="AV57" s="47"/>
      <c r="AW57" s="47">
        <v>100000</v>
      </c>
      <c r="AX57" s="47"/>
      <c r="AY57" s="47"/>
      <c r="AZ57" s="28"/>
      <c r="BA57" s="28"/>
      <c r="BB57" s="28"/>
      <c r="BC57" s="29">
        <f t="shared" si="96"/>
        <v>100000</v>
      </c>
      <c r="BD57" s="24">
        <f t="shared" si="97"/>
        <v>0</v>
      </c>
      <c r="BE57" s="24">
        <f t="shared" si="97"/>
        <v>295000</v>
      </c>
      <c r="BF57" s="24">
        <f t="shared" si="97"/>
        <v>36000</v>
      </c>
      <c r="BG57" s="24">
        <f t="shared" si="98"/>
        <v>30000</v>
      </c>
      <c r="BH57" s="30">
        <f t="shared" si="98"/>
        <v>0</v>
      </c>
      <c r="BI57" s="30">
        <f t="shared" si="98"/>
        <v>0</v>
      </c>
      <c r="BJ57" s="30">
        <f t="shared" si="98"/>
        <v>0</v>
      </c>
      <c r="BK57" s="25">
        <f t="shared" si="99"/>
        <v>361000</v>
      </c>
    </row>
    <row r="58" spans="1:63">
      <c r="A58" s="32"/>
      <c r="B58" s="22">
        <v>4</v>
      </c>
      <c r="C58" s="23" t="s">
        <v>121</v>
      </c>
      <c r="D58" s="54" t="s">
        <v>122</v>
      </c>
      <c r="E58" s="24" t="s">
        <v>114</v>
      </c>
      <c r="F58" s="24">
        <v>155000</v>
      </c>
      <c r="G58" s="24"/>
      <c r="H58" s="24">
        <f>323000+565000</f>
        <v>888000</v>
      </c>
      <c r="I58" s="24"/>
      <c r="J58" s="24"/>
      <c r="K58" s="24"/>
      <c r="L58" s="24"/>
      <c r="M58" s="25">
        <f t="shared" si="90"/>
        <v>1043000</v>
      </c>
      <c r="N58" s="34">
        <v>290000</v>
      </c>
      <c r="O58" s="34">
        <v>700000</v>
      </c>
      <c r="P58" s="34">
        <v>1890000</v>
      </c>
      <c r="Q58" s="34"/>
      <c r="R58" s="24"/>
      <c r="S58" s="24"/>
      <c r="T58" s="24"/>
      <c r="U58" s="25">
        <f t="shared" si="91"/>
        <v>2880000</v>
      </c>
      <c r="V58" s="28">
        <v>290000</v>
      </c>
      <c r="W58" s="48">
        <v>336000</v>
      </c>
      <c r="X58" s="24">
        <v>2310000</v>
      </c>
      <c r="Y58" s="48"/>
      <c r="Z58" s="48"/>
      <c r="AA58" s="48"/>
      <c r="AB58" s="48"/>
      <c r="AC58" s="25">
        <f t="shared" si="92"/>
        <v>2936000</v>
      </c>
      <c r="AD58" s="28">
        <v>195000</v>
      </c>
      <c r="AE58" s="47">
        <v>1508350</v>
      </c>
      <c r="AF58" s="47">
        <v>436500</v>
      </c>
      <c r="AG58" s="49"/>
      <c r="AH58" s="28"/>
      <c r="AI58" s="28"/>
      <c r="AJ58" s="28"/>
      <c r="AK58" s="29">
        <f t="shared" si="93"/>
        <v>2139850</v>
      </c>
      <c r="AL58" s="47"/>
      <c r="AM58" s="28"/>
      <c r="AN58" s="28"/>
      <c r="AO58" s="28"/>
      <c r="AP58" s="29">
        <f t="shared" si="94"/>
        <v>0</v>
      </c>
      <c r="AQ58" s="47"/>
      <c r="AR58" s="28"/>
      <c r="AS58" s="28"/>
      <c r="AT58" s="28"/>
      <c r="AU58" s="29">
        <f t="shared" si="95"/>
        <v>0</v>
      </c>
      <c r="AV58" s="47"/>
      <c r="AW58" s="49">
        <v>100000</v>
      </c>
      <c r="AX58" s="47"/>
      <c r="AY58" s="47"/>
      <c r="AZ58" s="28"/>
      <c r="BA58" s="28"/>
      <c r="BB58" s="28"/>
      <c r="BC58" s="29">
        <f t="shared" si="96"/>
        <v>100000</v>
      </c>
      <c r="BD58" s="24">
        <f t="shared" si="97"/>
        <v>930000</v>
      </c>
      <c r="BE58" s="24">
        <f t="shared" si="97"/>
        <v>2644350</v>
      </c>
      <c r="BF58" s="24">
        <f t="shared" si="97"/>
        <v>5524500</v>
      </c>
      <c r="BG58" s="24">
        <f t="shared" si="98"/>
        <v>0</v>
      </c>
      <c r="BH58" s="30">
        <f t="shared" si="98"/>
        <v>0</v>
      </c>
      <c r="BI58" s="30">
        <f t="shared" si="98"/>
        <v>0</v>
      </c>
      <c r="BJ58" s="30">
        <f t="shared" si="98"/>
        <v>0</v>
      </c>
      <c r="BK58" s="25">
        <f t="shared" si="99"/>
        <v>9098850</v>
      </c>
    </row>
    <row r="59" spans="1:63">
      <c r="A59" s="32"/>
      <c r="B59" s="22">
        <v>5</v>
      </c>
      <c r="C59" s="23" t="s">
        <v>123</v>
      </c>
      <c r="D59" s="54" t="s">
        <v>124</v>
      </c>
      <c r="E59" s="24" t="s">
        <v>114</v>
      </c>
      <c r="F59" s="24"/>
      <c r="G59" s="24">
        <v>200000</v>
      </c>
      <c r="H59" s="24">
        <f>5500+11000</f>
        <v>16500</v>
      </c>
      <c r="I59" s="24"/>
      <c r="J59" s="24"/>
      <c r="K59" s="24"/>
      <c r="L59" s="24"/>
      <c r="M59" s="25">
        <f t="shared" si="90"/>
        <v>216500</v>
      </c>
      <c r="N59" s="24"/>
      <c r="O59" s="24"/>
      <c r="P59" s="24"/>
      <c r="Q59" s="24"/>
      <c r="R59" s="24"/>
      <c r="S59" s="24"/>
      <c r="T59" s="24"/>
      <c r="U59" s="25">
        <f t="shared" si="91"/>
        <v>0</v>
      </c>
      <c r="V59" s="28"/>
      <c r="W59" s="28"/>
      <c r="X59" s="24"/>
      <c r="Y59" s="28"/>
      <c r="Z59" s="28"/>
      <c r="AA59" s="28"/>
      <c r="AB59" s="28"/>
      <c r="AC59" s="25">
        <f t="shared" si="92"/>
        <v>0</v>
      </c>
      <c r="AD59" s="28"/>
      <c r="AE59" s="47">
        <v>410250</v>
      </c>
      <c r="AF59" s="47">
        <v>95900</v>
      </c>
      <c r="AG59" s="49">
        <v>76000</v>
      </c>
      <c r="AH59" s="28"/>
      <c r="AI59" s="28"/>
      <c r="AJ59" s="28"/>
      <c r="AK59" s="29">
        <f t="shared" si="93"/>
        <v>582150</v>
      </c>
      <c r="AL59" s="47"/>
      <c r="AM59" s="28"/>
      <c r="AN59" s="28"/>
      <c r="AO59" s="28"/>
      <c r="AP59" s="29">
        <f t="shared" si="94"/>
        <v>0</v>
      </c>
      <c r="AQ59" s="47"/>
      <c r="AR59" s="28"/>
      <c r="AS59" s="28"/>
      <c r="AT59" s="28"/>
      <c r="AU59" s="29">
        <f t="shared" si="95"/>
        <v>0</v>
      </c>
      <c r="AV59" s="47"/>
      <c r="AW59" s="49">
        <v>100000</v>
      </c>
      <c r="AX59" s="47">
        <v>230000</v>
      </c>
      <c r="AY59" s="47"/>
      <c r="AZ59" s="28"/>
      <c r="BA59" s="28"/>
      <c r="BB59" s="28"/>
      <c r="BC59" s="29">
        <f t="shared" si="96"/>
        <v>330000</v>
      </c>
      <c r="BD59" s="24">
        <f t="shared" si="97"/>
        <v>0</v>
      </c>
      <c r="BE59" s="24">
        <f t="shared" si="97"/>
        <v>710250</v>
      </c>
      <c r="BF59" s="24">
        <f t="shared" si="97"/>
        <v>342400</v>
      </c>
      <c r="BG59" s="24">
        <f t="shared" si="98"/>
        <v>76000</v>
      </c>
      <c r="BH59" s="30">
        <f t="shared" si="98"/>
        <v>0</v>
      </c>
      <c r="BI59" s="30">
        <f t="shared" si="98"/>
        <v>0</v>
      </c>
      <c r="BJ59" s="30">
        <f t="shared" si="98"/>
        <v>0</v>
      </c>
      <c r="BK59" s="25">
        <f t="shared" si="99"/>
        <v>1128650</v>
      </c>
    </row>
    <row r="60" spans="1:63">
      <c r="A60" s="32"/>
      <c r="B60" s="22">
        <v>6</v>
      </c>
      <c r="C60" s="23" t="s">
        <v>125</v>
      </c>
      <c r="D60" s="36" t="s">
        <v>126</v>
      </c>
      <c r="E60" s="24" t="s">
        <v>114</v>
      </c>
      <c r="F60" s="24"/>
      <c r="G60" s="24"/>
      <c r="H60" s="24"/>
      <c r="I60" s="24"/>
      <c r="J60" s="24"/>
      <c r="K60" s="24"/>
      <c r="L60" s="24"/>
      <c r="M60" s="25">
        <f t="shared" si="90"/>
        <v>0</v>
      </c>
      <c r="N60" s="24"/>
      <c r="O60" s="24"/>
      <c r="P60" s="24"/>
      <c r="Q60" s="24"/>
      <c r="R60" s="24"/>
      <c r="S60" s="24"/>
      <c r="T60" s="24"/>
      <c r="U60" s="25">
        <f t="shared" si="91"/>
        <v>0</v>
      </c>
      <c r="V60" s="28"/>
      <c r="W60" s="28"/>
      <c r="X60" s="24"/>
      <c r="Y60" s="28"/>
      <c r="Z60" s="28"/>
      <c r="AA60" s="28"/>
      <c r="AB60" s="28"/>
      <c r="AC60" s="25">
        <f t="shared" si="92"/>
        <v>0</v>
      </c>
      <c r="AD60" s="28"/>
      <c r="AE60" s="47">
        <v>592700</v>
      </c>
      <c r="AF60" s="47">
        <v>254000</v>
      </c>
      <c r="AG60" s="49">
        <v>1010000</v>
      </c>
      <c r="AH60" s="28">
        <f>70000+210000+210000+210000+140000</f>
        <v>840000</v>
      </c>
      <c r="AI60" s="28">
        <v>988000</v>
      </c>
      <c r="AJ60" s="28">
        <v>1929600</v>
      </c>
      <c r="AK60" s="29">
        <f t="shared" si="93"/>
        <v>5614300</v>
      </c>
      <c r="AL60" s="47"/>
      <c r="AM60" s="28"/>
      <c r="AN60" s="28"/>
      <c r="AO60" s="28"/>
      <c r="AP60" s="29">
        <f t="shared" si="94"/>
        <v>0</v>
      </c>
      <c r="AQ60" s="47"/>
      <c r="AR60" s="28"/>
      <c r="AS60" s="28"/>
      <c r="AT60" s="28"/>
      <c r="AU60" s="29">
        <f t="shared" si="95"/>
        <v>0</v>
      </c>
      <c r="AV60" s="47"/>
      <c r="AW60" s="49"/>
      <c r="AX60" s="47"/>
      <c r="AY60" s="47"/>
      <c r="AZ60" s="28"/>
      <c r="BA60" s="28"/>
      <c r="BB60" s="28"/>
      <c r="BC60" s="29">
        <f t="shared" si="96"/>
        <v>0</v>
      </c>
      <c r="BD60" s="24">
        <f t="shared" si="97"/>
        <v>0</v>
      </c>
      <c r="BE60" s="24">
        <f t="shared" si="97"/>
        <v>592700</v>
      </c>
      <c r="BF60" s="24">
        <f t="shared" si="97"/>
        <v>254000</v>
      </c>
      <c r="BG60" s="24">
        <f t="shared" si="98"/>
        <v>1010000</v>
      </c>
      <c r="BH60" s="30">
        <f t="shared" si="98"/>
        <v>840000</v>
      </c>
      <c r="BI60" s="30">
        <f t="shared" si="98"/>
        <v>988000</v>
      </c>
      <c r="BJ60" s="30">
        <f t="shared" si="98"/>
        <v>1929600</v>
      </c>
      <c r="BK60" s="25">
        <f t="shared" si="99"/>
        <v>5614300</v>
      </c>
    </row>
    <row r="61" spans="1:63">
      <c r="A61" s="32"/>
      <c r="B61" s="22">
        <v>7</v>
      </c>
      <c r="C61" s="23" t="s">
        <v>127</v>
      </c>
      <c r="D61" s="54" t="s">
        <v>128</v>
      </c>
      <c r="E61" s="24" t="s">
        <v>114</v>
      </c>
      <c r="F61" s="24"/>
      <c r="G61" s="24">
        <v>155000</v>
      </c>
      <c r="H61" s="24"/>
      <c r="I61" s="24">
        <v>705500</v>
      </c>
      <c r="J61" s="24">
        <f>73500+35000+101500+94500+94500+63000</f>
        <v>462000</v>
      </c>
      <c r="K61" s="24">
        <f>595500+150500+75000</f>
        <v>821000</v>
      </c>
      <c r="L61" s="24">
        <v>831260</v>
      </c>
      <c r="M61" s="25">
        <f t="shared" si="90"/>
        <v>2974760</v>
      </c>
      <c r="N61" s="24"/>
      <c r="O61" s="24"/>
      <c r="P61" s="24"/>
      <c r="Q61" s="24"/>
      <c r="R61" s="24"/>
      <c r="S61" s="24"/>
      <c r="T61" s="24"/>
      <c r="U61" s="25">
        <f t="shared" si="91"/>
        <v>0</v>
      </c>
      <c r="V61" s="28"/>
      <c r="W61" s="28"/>
      <c r="X61" s="24"/>
      <c r="Y61" s="28"/>
      <c r="Z61" s="28"/>
      <c r="AA61" s="28"/>
      <c r="AB61" s="28"/>
      <c r="AC61" s="25">
        <f t="shared" si="92"/>
        <v>0</v>
      </c>
      <c r="AD61" s="28"/>
      <c r="AE61" s="28"/>
      <c r="AF61" s="28"/>
      <c r="AG61" s="28"/>
      <c r="AH61" s="28"/>
      <c r="AI61" s="28"/>
      <c r="AJ61" s="28"/>
      <c r="AK61" s="29">
        <f t="shared" si="93"/>
        <v>0</v>
      </c>
      <c r="AL61" s="47"/>
      <c r="AM61" s="28"/>
      <c r="AN61" s="28"/>
      <c r="AO61" s="28"/>
      <c r="AP61" s="29">
        <f t="shared" si="94"/>
        <v>0</v>
      </c>
      <c r="AQ61" s="47"/>
      <c r="AR61" s="28"/>
      <c r="AS61" s="28"/>
      <c r="AT61" s="28"/>
      <c r="AU61" s="29">
        <f t="shared" si="95"/>
        <v>0</v>
      </c>
      <c r="AV61" s="47"/>
      <c r="AW61" s="49"/>
      <c r="AX61" s="47">
        <v>348400</v>
      </c>
      <c r="AY61" s="47"/>
      <c r="AZ61" s="28"/>
      <c r="BA61" s="28"/>
      <c r="BB61" s="28"/>
      <c r="BC61" s="29">
        <f t="shared" si="96"/>
        <v>348400</v>
      </c>
      <c r="BD61" s="24">
        <f t="shared" si="97"/>
        <v>0</v>
      </c>
      <c r="BE61" s="24">
        <f t="shared" si="97"/>
        <v>155000</v>
      </c>
      <c r="BF61" s="24">
        <f t="shared" si="97"/>
        <v>348400</v>
      </c>
      <c r="BG61" s="24">
        <f t="shared" si="98"/>
        <v>705500</v>
      </c>
      <c r="BH61" s="30">
        <f t="shared" si="98"/>
        <v>462000</v>
      </c>
      <c r="BI61" s="30">
        <f t="shared" si="98"/>
        <v>821000</v>
      </c>
      <c r="BJ61" s="30">
        <f t="shared" si="98"/>
        <v>831260</v>
      </c>
      <c r="BK61" s="25">
        <f t="shared" si="99"/>
        <v>3323160</v>
      </c>
    </row>
    <row r="62" spans="1:63" ht="47.25">
      <c r="A62" s="14"/>
      <c r="B62" s="22">
        <v>8</v>
      </c>
      <c r="C62" s="23" t="s">
        <v>129</v>
      </c>
      <c r="D62" s="54" t="s">
        <v>130</v>
      </c>
      <c r="E62" s="24" t="s">
        <v>114</v>
      </c>
      <c r="F62" s="24"/>
      <c r="G62" s="24"/>
      <c r="H62" s="24">
        <v>155000</v>
      </c>
      <c r="I62" s="24"/>
      <c r="J62" s="24"/>
      <c r="K62" s="24"/>
      <c r="L62" s="24"/>
      <c r="M62" s="25">
        <f t="shared" si="90"/>
        <v>155000</v>
      </c>
      <c r="N62" s="24"/>
      <c r="O62" s="24"/>
      <c r="P62" s="24"/>
      <c r="Q62" s="24"/>
      <c r="R62" s="24"/>
      <c r="S62" s="24"/>
      <c r="T62" s="24"/>
      <c r="U62" s="25">
        <f t="shared" si="91"/>
        <v>0</v>
      </c>
      <c r="V62" s="28"/>
      <c r="W62" s="28"/>
      <c r="X62" s="24">
        <v>290000</v>
      </c>
      <c r="Y62" s="50"/>
      <c r="Z62" s="50"/>
      <c r="AA62" s="50"/>
      <c r="AB62" s="50"/>
      <c r="AC62" s="25">
        <f t="shared" si="92"/>
        <v>290000</v>
      </c>
      <c r="AD62" s="28"/>
      <c r="AE62" s="47">
        <v>386400</v>
      </c>
      <c r="AF62" s="47">
        <v>67900</v>
      </c>
      <c r="AG62" s="47"/>
      <c r="AH62" s="28"/>
      <c r="AI62" s="28"/>
      <c r="AJ62" s="28"/>
      <c r="AK62" s="29">
        <f t="shared" si="93"/>
        <v>454300</v>
      </c>
      <c r="AL62" s="47"/>
      <c r="AM62" s="28"/>
      <c r="AN62" s="28"/>
      <c r="AO62" s="28"/>
      <c r="AP62" s="29">
        <f t="shared" si="94"/>
        <v>0</v>
      </c>
      <c r="AQ62" s="47"/>
      <c r="AR62" s="28"/>
      <c r="AS62" s="28"/>
      <c r="AT62" s="28"/>
      <c r="AU62" s="29">
        <f t="shared" si="95"/>
        <v>0</v>
      </c>
      <c r="AV62" s="47"/>
      <c r="AW62" s="47"/>
      <c r="AX62" s="47"/>
      <c r="AY62" s="47"/>
      <c r="AZ62" s="28"/>
      <c r="BA62" s="28"/>
      <c r="BB62" s="28"/>
      <c r="BC62" s="29">
        <f t="shared" si="96"/>
        <v>0</v>
      </c>
      <c r="BD62" s="24">
        <f t="shared" si="97"/>
        <v>0</v>
      </c>
      <c r="BE62" s="24">
        <f t="shared" si="97"/>
        <v>386400</v>
      </c>
      <c r="BF62" s="24">
        <f t="shared" si="97"/>
        <v>512900</v>
      </c>
      <c r="BG62" s="24">
        <f t="shared" si="98"/>
        <v>0</v>
      </c>
      <c r="BH62" s="30">
        <f t="shared" si="98"/>
        <v>0</v>
      </c>
      <c r="BI62" s="30">
        <f t="shared" si="98"/>
        <v>0</v>
      </c>
      <c r="BJ62" s="30">
        <f t="shared" si="98"/>
        <v>0</v>
      </c>
      <c r="BK62" s="25">
        <f t="shared" si="99"/>
        <v>899300</v>
      </c>
    </row>
    <row r="63" spans="1:63" s="42" customFormat="1">
      <c r="A63" s="37"/>
      <c r="B63" s="37"/>
      <c r="C63" s="38" t="s">
        <v>131</v>
      </c>
      <c r="D63" s="40"/>
      <c r="E63" s="40"/>
      <c r="F63" s="40">
        <f>SUM(F55:F62)</f>
        <v>155000</v>
      </c>
      <c r="G63" s="40">
        <f t="shared" ref="G63:BK63" si="100">SUM(G55:G62)</f>
        <v>355000</v>
      </c>
      <c r="H63" s="40">
        <f t="shared" si="100"/>
        <v>1059500</v>
      </c>
      <c r="I63" s="40">
        <f t="shared" si="100"/>
        <v>705500</v>
      </c>
      <c r="J63" s="40">
        <f t="shared" si="100"/>
        <v>462000</v>
      </c>
      <c r="K63" s="40">
        <f t="shared" si="100"/>
        <v>821000</v>
      </c>
      <c r="L63" s="40">
        <f t="shared" si="100"/>
        <v>831260</v>
      </c>
      <c r="M63" s="40">
        <f t="shared" si="100"/>
        <v>4389260</v>
      </c>
      <c r="N63" s="40">
        <f t="shared" si="100"/>
        <v>290000</v>
      </c>
      <c r="O63" s="40">
        <f t="shared" si="100"/>
        <v>700000</v>
      </c>
      <c r="P63" s="40">
        <f t="shared" si="100"/>
        <v>1890000</v>
      </c>
      <c r="Q63" s="40">
        <f t="shared" si="100"/>
        <v>0</v>
      </c>
      <c r="R63" s="40">
        <f t="shared" si="100"/>
        <v>0</v>
      </c>
      <c r="S63" s="40">
        <f t="shared" si="100"/>
        <v>0</v>
      </c>
      <c r="T63" s="40">
        <f t="shared" si="100"/>
        <v>0</v>
      </c>
      <c r="U63" s="40">
        <f t="shared" si="100"/>
        <v>2880000</v>
      </c>
      <c r="V63" s="40">
        <f t="shared" si="100"/>
        <v>290000</v>
      </c>
      <c r="W63" s="40">
        <f t="shared" si="100"/>
        <v>336000</v>
      </c>
      <c r="X63" s="40">
        <f t="shared" si="100"/>
        <v>2600000</v>
      </c>
      <c r="Y63" s="40">
        <f t="shared" si="100"/>
        <v>0</v>
      </c>
      <c r="Z63" s="40">
        <f t="shared" si="100"/>
        <v>0</v>
      </c>
      <c r="AA63" s="40">
        <f t="shared" si="100"/>
        <v>0</v>
      </c>
      <c r="AB63" s="40">
        <f t="shared" si="100"/>
        <v>0</v>
      </c>
      <c r="AC63" s="40">
        <f t="shared" si="100"/>
        <v>3226000</v>
      </c>
      <c r="AD63" s="40">
        <f t="shared" si="100"/>
        <v>195000</v>
      </c>
      <c r="AE63" s="40">
        <f t="shared" si="100"/>
        <v>4084950</v>
      </c>
      <c r="AF63" s="40">
        <f t="shared" si="100"/>
        <v>1617200</v>
      </c>
      <c r="AG63" s="40">
        <f t="shared" si="100"/>
        <v>1876000</v>
      </c>
      <c r="AH63" s="40">
        <f t="shared" si="100"/>
        <v>1680000</v>
      </c>
      <c r="AI63" s="40">
        <f t="shared" si="100"/>
        <v>2328520</v>
      </c>
      <c r="AJ63" s="40">
        <f t="shared" si="100"/>
        <v>3429400</v>
      </c>
      <c r="AK63" s="40">
        <f t="shared" si="100"/>
        <v>15211070</v>
      </c>
      <c r="AL63" s="40">
        <f t="shared" si="100"/>
        <v>0</v>
      </c>
      <c r="AM63" s="40">
        <f t="shared" si="100"/>
        <v>0</v>
      </c>
      <c r="AN63" s="40">
        <f t="shared" si="100"/>
        <v>0</v>
      </c>
      <c r="AO63" s="40">
        <f t="shared" si="100"/>
        <v>0</v>
      </c>
      <c r="AP63" s="40">
        <f t="shared" si="100"/>
        <v>0</v>
      </c>
      <c r="AQ63" s="40">
        <f t="shared" si="100"/>
        <v>0</v>
      </c>
      <c r="AR63" s="40">
        <f t="shared" si="100"/>
        <v>0</v>
      </c>
      <c r="AS63" s="40">
        <f t="shared" si="100"/>
        <v>0</v>
      </c>
      <c r="AT63" s="40">
        <f t="shared" si="100"/>
        <v>0</v>
      </c>
      <c r="AU63" s="40">
        <f t="shared" si="100"/>
        <v>0</v>
      </c>
      <c r="AV63" s="40">
        <f t="shared" si="100"/>
        <v>0</v>
      </c>
      <c r="AW63" s="40">
        <f t="shared" si="100"/>
        <v>500000</v>
      </c>
      <c r="AX63" s="40">
        <f t="shared" si="100"/>
        <v>1018400</v>
      </c>
      <c r="AY63" s="40">
        <f t="shared" si="100"/>
        <v>0</v>
      </c>
      <c r="AZ63" s="40">
        <f t="shared" si="100"/>
        <v>0</v>
      </c>
      <c r="BA63" s="40">
        <f t="shared" si="100"/>
        <v>0</v>
      </c>
      <c r="BB63" s="40">
        <f t="shared" si="100"/>
        <v>0</v>
      </c>
      <c r="BC63" s="40">
        <f t="shared" si="100"/>
        <v>1518400</v>
      </c>
      <c r="BD63" s="40">
        <f t="shared" si="100"/>
        <v>930000</v>
      </c>
      <c r="BE63" s="40">
        <f t="shared" si="100"/>
        <v>5975950</v>
      </c>
      <c r="BF63" s="40">
        <f t="shared" si="100"/>
        <v>8185100</v>
      </c>
      <c r="BG63" s="40">
        <f t="shared" si="100"/>
        <v>2581500</v>
      </c>
      <c r="BH63" s="40">
        <f t="shared" si="100"/>
        <v>2142000</v>
      </c>
      <c r="BI63" s="41">
        <f>SUM(BI55:BI62)</f>
        <v>3149520</v>
      </c>
      <c r="BJ63" s="40">
        <f t="shared" ref="BJ63" si="101">SUM(BJ55:BJ62)</f>
        <v>4260660</v>
      </c>
      <c r="BK63" s="40">
        <f t="shared" si="100"/>
        <v>27224730</v>
      </c>
    </row>
    <row r="64" spans="1:63">
      <c r="A64" s="6" t="s">
        <v>132</v>
      </c>
      <c r="B64" s="22">
        <v>1</v>
      </c>
      <c r="C64" s="23" t="s">
        <v>133</v>
      </c>
      <c r="D64" s="24" t="s">
        <v>134</v>
      </c>
      <c r="E64" s="24" t="s">
        <v>132</v>
      </c>
      <c r="F64" s="24"/>
      <c r="G64" s="24">
        <v>155000</v>
      </c>
      <c r="H64" s="24"/>
      <c r="I64" s="24"/>
      <c r="J64" s="24">
        <v>-155000</v>
      </c>
      <c r="K64" s="24"/>
      <c r="L64" s="24"/>
      <c r="M64" s="25">
        <f t="shared" ref="M64:M67" si="102">SUM(F64:L64)</f>
        <v>0</v>
      </c>
      <c r="N64" s="24"/>
      <c r="O64" s="24"/>
      <c r="P64" s="24"/>
      <c r="Q64" s="24"/>
      <c r="R64" s="24"/>
      <c r="S64" s="24"/>
      <c r="T64" s="24"/>
      <c r="U64" s="25">
        <f t="shared" ref="U64:U67" si="103">SUM(N64:T64)</f>
        <v>0</v>
      </c>
      <c r="V64" s="28"/>
      <c r="W64" s="28"/>
      <c r="X64" s="28"/>
      <c r="Y64" s="28"/>
      <c r="Z64" s="28"/>
      <c r="AA64" s="28"/>
      <c r="AB64" s="28"/>
      <c r="AC64" s="25">
        <f t="shared" ref="AC64:AC67" si="104">SUM(V64:AB64)</f>
        <v>0</v>
      </c>
      <c r="AD64" s="28"/>
      <c r="AE64" s="28">
        <v>195000</v>
      </c>
      <c r="AF64" s="28"/>
      <c r="AG64" s="28"/>
      <c r="AH64" s="28">
        <v>-195000</v>
      </c>
      <c r="AI64" s="28"/>
      <c r="AJ64" s="28"/>
      <c r="AK64" s="29">
        <f t="shared" ref="AK64:AK67" si="105">SUM(AD64:AJ64)</f>
        <v>0</v>
      </c>
      <c r="AL64" s="47">
        <v>0</v>
      </c>
      <c r="AM64" s="28"/>
      <c r="AN64" s="28"/>
      <c r="AO64" s="28"/>
      <c r="AP64" s="29">
        <f t="shared" ref="AP64:AP67" si="106">SUM(AL64:AO64)</f>
        <v>0</v>
      </c>
      <c r="AQ64" s="47"/>
      <c r="AR64" s="28"/>
      <c r="AS64" s="28"/>
      <c r="AT64" s="28"/>
      <c r="AU64" s="29">
        <f t="shared" ref="AU64:AU67" si="107">SUM(AQ64:AT64)</f>
        <v>0</v>
      </c>
      <c r="AV64" s="47"/>
      <c r="AW64" s="47"/>
      <c r="AX64" s="47"/>
      <c r="AY64" s="47"/>
      <c r="AZ64" s="28"/>
      <c r="BA64" s="28"/>
      <c r="BB64" s="28"/>
      <c r="BC64" s="29">
        <f t="shared" ref="BC64:BC67" si="108">SUM(AV64:BB64)</f>
        <v>0</v>
      </c>
      <c r="BD64" s="24">
        <f t="shared" ref="BD64:BF67" si="109">F64+N64+V64+AD64+AV64</f>
        <v>0</v>
      </c>
      <c r="BE64" s="24">
        <f t="shared" si="109"/>
        <v>350000</v>
      </c>
      <c r="BF64" s="24">
        <f t="shared" si="109"/>
        <v>0</v>
      </c>
      <c r="BG64" s="24">
        <f t="shared" ref="BG64:BJ67" si="110">I64+Q64+Y64+AG64+AL64+AQ64+AY64</f>
        <v>0</v>
      </c>
      <c r="BH64" s="30">
        <f t="shared" si="110"/>
        <v>-350000</v>
      </c>
      <c r="BI64" s="30">
        <f t="shared" si="110"/>
        <v>0</v>
      </c>
      <c r="BJ64" s="30">
        <f t="shared" si="110"/>
        <v>0</v>
      </c>
      <c r="BK64" s="25">
        <f t="shared" ref="BK64:BK67" si="111">SUM(BD64:BJ64)</f>
        <v>0</v>
      </c>
    </row>
    <row r="65" spans="1:63">
      <c r="A65" s="32"/>
      <c r="B65" s="22">
        <v>2</v>
      </c>
      <c r="C65" s="23" t="s">
        <v>135</v>
      </c>
      <c r="D65" s="24" t="s">
        <v>136</v>
      </c>
      <c r="E65" s="24" t="s">
        <v>137</v>
      </c>
      <c r="F65" s="24">
        <v>155000</v>
      </c>
      <c r="G65" s="24">
        <v>153000</v>
      </c>
      <c r="H65" s="24">
        <v>187500</v>
      </c>
      <c r="I65" s="24">
        <v>8000</v>
      </c>
      <c r="J65" s="24"/>
      <c r="K65" s="24"/>
      <c r="L65" s="24"/>
      <c r="M65" s="25">
        <f t="shared" si="102"/>
        <v>503500</v>
      </c>
      <c r="N65" s="24"/>
      <c r="O65" s="24"/>
      <c r="P65" s="24"/>
      <c r="Q65" s="24"/>
      <c r="R65" s="24"/>
      <c r="S65" s="24"/>
      <c r="T65" s="24"/>
      <c r="U65" s="25">
        <f t="shared" si="103"/>
        <v>0</v>
      </c>
      <c r="V65" s="28"/>
      <c r="W65" s="28"/>
      <c r="X65" s="28"/>
      <c r="Y65" s="28"/>
      <c r="Z65" s="28"/>
      <c r="AA65" s="28"/>
      <c r="AB65" s="28"/>
      <c r="AC65" s="25">
        <f t="shared" si="104"/>
        <v>0</v>
      </c>
      <c r="AD65" s="28">
        <v>195000</v>
      </c>
      <c r="AE65" s="47">
        <v>295650</v>
      </c>
      <c r="AF65" s="47">
        <v>223100</v>
      </c>
      <c r="AG65" s="49">
        <v>170000</v>
      </c>
      <c r="AH65" s="28"/>
      <c r="AI65" s="28"/>
      <c r="AJ65" s="28"/>
      <c r="AK65" s="29">
        <f t="shared" si="105"/>
        <v>883750</v>
      </c>
      <c r="AL65" s="47">
        <v>380000</v>
      </c>
      <c r="AM65" s="28">
        <f>34000+102000+105000+105000+70000</f>
        <v>416000</v>
      </c>
      <c r="AN65" s="28">
        <f>481600+112400+56200</f>
        <v>650200</v>
      </c>
      <c r="AO65" s="28">
        <v>681200</v>
      </c>
      <c r="AP65" s="29">
        <f t="shared" si="106"/>
        <v>2127400</v>
      </c>
      <c r="AQ65" s="47"/>
      <c r="AR65" s="28"/>
      <c r="AS65" s="28"/>
      <c r="AT65" s="28"/>
      <c r="AU65" s="29">
        <f t="shared" si="107"/>
        <v>0</v>
      </c>
      <c r="AV65" s="47"/>
      <c r="AW65" s="49">
        <v>100000</v>
      </c>
      <c r="AX65" s="47">
        <v>230000</v>
      </c>
      <c r="AY65" s="47"/>
      <c r="AZ65" s="28"/>
      <c r="BA65" s="28"/>
      <c r="BB65" s="28"/>
      <c r="BC65" s="29">
        <f t="shared" si="108"/>
        <v>330000</v>
      </c>
      <c r="BD65" s="24">
        <f t="shared" si="109"/>
        <v>350000</v>
      </c>
      <c r="BE65" s="24">
        <f t="shared" si="109"/>
        <v>548650</v>
      </c>
      <c r="BF65" s="24">
        <f t="shared" si="109"/>
        <v>640600</v>
      </c>
      <c r="BG65" s="24">
        <f t="shared" si="110"/>
        <v>558000</v>
      </c>
      <c r="BH65" s="30">
        <f t="shared" si="110"/>
        <v>416000</v>
      </c>
      <c r="BI65" s="30">
        <f t="shared" si="110"/>
        <v>650200</v>
      </c>
      <c r="BJ65" s="30">
        <f t="shared" si="110"/>
        <v>681200</v>
      </c>
      <c r="BK65" s="25">
        <f t="shared" si="111"/>
        <v>3844650</v>
      </c>
    </row>
    <row r="66" spans="1:63">
      <c r="A66" s="32"/>
      <c r="B66" s="22">
        <v>3</v>
      </c>
      <c r="C66" s="23" t="s">
        <v>138</v>
      </c>
      <c r="D66" s="24" t="s">
        <v>139</v>
      </c>
      <c r="E66" s="24" t="s">
        <v>137</v>
      </c>
      <c r="F66" s="24">
        <v>155000</v>
      </c>
      <c r="G66" s="24"/>
      <c r="H66" s="24">
        <v>22000</v>
      </c>
      <c r="I66" s="24">
        <f>128000+10000+14000</f>
        <v>152000</v>
      </c>
      <c r="J66" s="24"/>
      <c r="K66" s="24"/>
      <c r="L66" s="24"/>
      <c r="M66" s="25">
        <f t="shared" si="102"/>
        <v>329000</v>
      </c>
      <c r="N66" s="24"/>
      <c r="O66" s="24"/>
      <c r="P66" s="24"/>
      <c r="Q66" s="24"/>
      <c r="R66" s="24"/>
      <c r="S66" s="24"/>
      <c r="T66" s="24"/>
      <c r="U66" s="25">
        <f t="shared" si="103"/>
        <v>0</v>
      </c>
      <c r="V66" s="28"/>
      <c r="W66" s="28"/>
      <c r="X66" s="28"/>
      <c r="Y66" s="28"/>
      <c r="Z66" s="28"/>
      <c r="AA66" s="28"/>
      <c r="AB66" s="28"/>
      <c r="AC66" s="25">
        <f t="shared" si="104"/>
        <v>0</v>
      </c>
      <c r="AD66" s="28">
        <v>195000</v>
      </c>
      <c r="AE66" s="47">
        <v>111550</v>
      </c>
      <c r="AF66" s="47">
        <v>586850</v>
      </c>
      <c r="AG66" s="47">
        <v>180000</v>
      </c>
      <c r="AH66" s="28"/>
      <c r="AI66" s="28"/>
      <c r="AJ66" s="28"/>
      <c r="AK66" s="29">
        <f t="shared" si="105"/>
        <v>1073400</v>
      </c>
      <c r="AL66" s="49">
        <v>577500</v>
      </c>
      <c r="AM66" s="28">
        <f>189000+185500+196000+199500+133000</f>
        <v>903000</v>
      </c>
      <c r="AN66" s="28">
        <f>837900+197600+98800</f>
        <v>1134300</v>
      </c>
      <c r="AO66" s="28">
        <v>1185600</v>
      </c>
      <c r="AP66" s="29">
        <f t="shared" si="106"/>
        <v>3800400</v>
      </c>
      <c r="AQ66" s="47"/>
      <c r="AR66" s="28"/>
      <c r="AS66" s="28"/>
      <c r="AT66" s="28"/>
      <c r="AU66" s="29">
        <f t="shared" si="107"/>
        <v>0</v>
      </c>
      <c r="AV66" s="47"/>
      <c r="AW66" s="47"/>
      <c r="AX66" s="47"/>
      <c r="AY66" s="47"/>
      <c r="AZ66" s="28"/>
      <c r="BA66" s="28"/>
      <c r="BB66" s="28"/>
      <c r="BC66" s="29">
        <f t="shared" si="108"/>
        <v>0</v>
      </c>
      <c r="BD66" s="24">
        <f t="shared" si="109"/>
        <v>350000</v>
      </c>
      <c r="BE66" s="24">
        <f t="shared" si="109"/>
        <v>111550</v>
      </c>
      <c r="BF66" s="24">
        <f t="shared" si="109"/>
        <v>608850</v>
      </c>
      <c r="BG66" s="24">
        <f t="shared" si="110"/>
        <v>909500</v>
      </c>
      <c r="BH66" s="30">
        <f t="shared" si="110"/>
        <v>903000</v>
      </c>
      <c r="BI66" s="30">
        <f t="shared" si="110"/>
        <v>1134300</v>
      </c>
      <c r="BJ66" s="30">
        <f t="shared" si="110"/>
        <v>1185600</v>
      </c>
      <c r="BK66" s="25">
        <f t="shared" si="111"/>
        <v>5202800</v>
      </c>
    </row>
    <row r="67" spans="1:63" ht="31.5">
      <c r="A67" s="14"/>
      <c r="B67" s="22">
        <v>4</v>
      </c>
      <c r="C67" s="23" t="s">
        <v>140</v>
      </c>
      <c r="D67" s="36" t="s">
        <v>141</v>
      </c>
      <c r="E67" s="24" t="s">
        <v>137</v>
      </c>
      <c r="F67" s="24"/>
      <c r="G67" s="24"/>
      <c r="H67" s="24"/>
      <c r="I67" s="24"/>
      <c r="J67" s="24"/>
      <c r="K67" s="24"/>
      <c r="L67" s="24"/>
      <c r="M67" s="25">
        <f t="shared" si="102"/>
        <v>0</v>
      </c>
      <c r="N67" s="24"/>
      <c r="O67" s="24"/>
      <c r="P67" s="24"/>
      <c r="Q67" s="24"/>
      <c r="R67" s="24"/>
      <c r="S67" s="24"/>
      <c r="T67" s="24"/>
      <c r="U67" s="25">
        <f t="shared" si="103"/>
        <v>0</v>
      </c>
      <c r="V67" s="28"/>
      <c r="W67" s="28"/>
      <c r="X67" s="28"/>
      <c r="Y67" s="28"/>
      <c r="Z67" s="28"/>
      <c r="AA67" s="28"/>
      <c r="AB67" s="28"/>
      <c r="AC67" s="25">
        <f t="shared" si="104"/>
        <v>0</v>
      </c>
      <c r="AD67" s="28"/>
      <c r="AE67" s="49">
        <v>195000</v>
      </c>
      <c r="AF67" s="28">
        <v>-195000</v>
      </c>
      <c r="AG67" s="28"/>
      <c r="AH67" s="28"/>
      <c r="AI67" s="28"/>
      <c r="AJ67" s="28"/>
      <c r="AK67" s="29">
        <f t="shared" si="105"/>
        <v>0</v>
      </c>
      <c r="AL67" s="47">
        <v>0</v>
      </c>
      <c r="AM67" s="28"/>
      <c r="AN67" s="28"/>
      <c r="AO67" s="28"/>
      <c r="AP67" s="29">
        <f t="shared" si="106"/>
        <v>0</v>
      </c>
      <c r="AQ67" s="47"/>
      <c r="AR67" s="28"/>
      <c r="AS67" s="28"/>
      <c r="AT67" s="28"/>
      <c r="AU67" s="29">
        <f t="shared" si="107"/>
        <v>0</v>
      </c>
      <c r="AV67" s="47"/>
      <c r="AW67" s="47"/>
      <c r="AX67" s="47"/>
      <c r="AY67" s="47"/>
      <c r="AZ67" s="28"/>
      <c r="BA67" s="28"/>
      <c r="BB67" s="28"/>
      <c r="BC67" s="29">
        <f t="shared" si="108"/>
        <v>0</v>
      </c>
      <c r="BD67" s="24">
        <f t="shared" si="109"/>
        <v>0</v>
      </c>
      <c r="BE67" s="24">
        <f t="shared" si="109"/>
        <v>195000</v>
      </c>
      <c r="BF67" s="24">
        <f t="shared" si="109"/>
        <v>-195000</v>
      </c>
      <c r="BG67" s="24">
        <f t="shared" si="110"/>
        <v>0</v>
      </c>
      <c r="BH67" s="30">
        <f t="shared" si="110"/>
        <v>0</v>
      </c>
      <c r="BI67" s="30">
        <f t="shared" si="110"/>
        <v>0</v>
      </c>
      <c r="BJ67" s="30">
        <f t="shared" si="110"/>
        <v>0</v>
      </c>
      <c r="BK67" s="25">
        <f t="shared" si="111"/>
        <v>0</v>
      </c>
    </row>
    <row r="68" spans="1:63" s="42" customFormat="1">
      <c r="A68" s="37"/>
      <c r="B68" s="37"/>
      <c r="C68" s="38" t="s">
        <v>142</v>
      </c>
      <c r="D68" s="40"/>
      <c r="E68" s="40"/>
      <c r="F68" s="40">
        <f>SUM(F64:F67)</f>
        <v>310000</v>
      </c>
      <c r="G68" s="40">
        <f t="shared" ref="G68:BK68" si="112">SUM(G64:G67)</f>
        <v>308000</v>
      </c>
      <c r="H68" s="40">
        <f t="shared" si="112"/>
        <v>209500</v>
      </c>
      <c r="I68" s="40">
        <f t="shared" si="112"/>
        <v>160000</v>
      </c>
      <c r="J68" s="40">
        <f t="shared" si="112"/>
        <v>-155000</v>
      </c>
      <c r="K68" s="40">
        <f t="shared" si="112"/>
        <v>0</v>
      </c>
      <c r="L68" s="40">
        <f t="shared" si="112"/>
        <v>0</v>
      </c>
      <c r="M68" s="40">
        <f t="shared" si="112"/>
        <v>832500</v>
      </c>
      <c r="N68" s="40">
        <f t="shared" si="112"/>
        <v>0</v>
      </c>
      <c r="O68" s="40">
        <f t="shared" si="112"/>
        <v>0</v>
      </c>
      <c r="P68" s="40">
        <f t="shared" si="112"/>
        <v>0</v>
      </c>
      <c r="Q68" s="40">
        <f t="shared" si="112"/>
        <v>0</v>
      </c>
      <c r="R68" s="40">
        <f t="shared" si="112"/>
        <v>0</v>
      </c>
      <c r="S68" s="40">
        <f t="shared" si="112"/>
        <v>0</v>
      </c>
      <c r="T68" s="40">
        <f t="shared" si="112"/>
        <v>0</v>
      </c>
      <c r="U68" s="40">
        <f t="shared" si="112"/>
        <v>0</v>
      </c>
      <c r="V68" s="40">
        <f t="shared" si="112"/>
        <v>0</v>
      </c>
      <c r="W68" s="40">
        <f t="shared" si="112"/>
        <v>0</v>
      </c>
      <c r="X68" s="40">
        <f t="shared" si="112"/>
        <v>0</v>
      </c>
      <c r="Y68" s="40">
        <f t="shared" si="112"/>
        <v>0</v>
      </c>
      <c r="Z68" s="40">
        <f t="shared" si="112"/>
        <v>0</v>
      </c>
      <c r="AA68" s="40">
        <f t="shared" si="112"/>
        <v>0</v>
      </c>
      <c r="AB68" s="40">
        <f t="shared" si="112"/>
        <v>0</v>
      </c>
      <c r="AC68" s="40">
        <f t="shared" si="112"/>
        <v>0</v>
      </c>
      <c r="AD68" s="40">
        <f t="shared" si="112"/>
        <v>390000</v>
      </c>
      <c r="AE68" s="40">
        <f t="shared" si="112"/>
        <v>797200</v>
      </c>
      <c r="AF68" s="40">
        <f t="shared" si="112"/>
        <v>614950</v>
      </c>
      <c r="AG68" s="40">
        <f t="shared" si="112"/>
        <v>350000</v>
      </c>
      <c r="AH68" s="40">
        <f t="shared" si="112"/>
        <v>-195000</v>
      </c>
      <c r="AI68" s="40">
        <f t="shared" si="112"/>
        <v>0</v>
      </c>
      <c r="AJ68" s="40">
        <f t="shared" si="112"/>
        <v>0</v>
      </c>
      <c r="AK68" s="40">
        <f t="shared" si="112"/>
        <v>1957150</v>
      </c>
      <c r="AL68" s="40">
        <f t="shared" si="112"/>
        <v>957500</v>
      </c>
      <c r="AM68" s="40">
        <f t="shared" si="112"/>
        <v>1319000</v>
      </c>
      <c r="AN68" s="40">
        <f t="shared" si="112"/>
        <v>1784500</v>
      </c>
      <c r="AO68" s="40">
        <f t="shared" si="112"/>
        <v>1866800</v>
      </c>
      <c r="AP68" s="40">
        <f t="shared" si="112"/>
        <v>5927800</v>
      </c>
      <c r="AQ68" s="40">
        <f t="shared" si="112"/>
        <v>0</v>
      </c>
      <c r="AR68" s="40">
        <f t="shared" si="112"/>
        <v>0</v>
      </c>
      <c r="AS68" s="40">
        <f t="shared" si="112"/>
        <v>0</v>
      </c>
      <c r="AT68" s="40">
        <f t="shared" si="112"/>
        <v>0</v>
      </c>
      <c r="AU68" s="40">
        <f t="shared" si="112"/>
        <v>0</v>
      </c>
      <c r="AV68" s="40">
        <f t="shared" si="112"/>
        <v>0</v>
      </c>
      <c r="AW68" s="40">
        <f t="shared" si="112"/>
        <v>100000</v>
      </c>
      <c r="AX68" s="40">
        <f t="shared" si="112"/>
        <v>230000</v>
      </c>
      <c r="AY68" s="40">
        <f t="shared" si="112"/>
        <v>0</v>
      </c>
      <c r="AZ68" s="40">
        <f t="shared" si="112"/>
        <v>0</v>
      </c>
      <c r="BA68" s="40">
        <f t="shared" si="112"/>
        <v>0</v>
      </c>
      <c r="BB68" s="40">
        <f t="shared" si="112"/>
        <v>0</v>
      </c>
      <c r="BC68" s="40">
        <f t="shared" si="112"/>
        <v>330000</v>
      </c>
      <c r="BD68" s="40">
        <f t="shared" si="112"/>
        <v>700000</v>
      </c>
      <c r="BE68" s="40">
        <f t="shared" si="112"/>
        <v>1205200</v>
      </c>
      <c r="BF68" s="40">
        <f t="shared" si="112"/>
        <v>1054450</v>
      </c>
      <c r="BG68" s="40">
        <f t="shared" si="112"/>
        <v>1467500</v>
      </c>
      <c r="BH68" s="40">
        <f t="shared" si="112"/>
        <v>969000</v>
      </c>
      <c r="BI68" s="41">
        <f>SUM(BI64:BI67)</f>
        <v>1784500</v>
      </c>
      <c r="BJ68" s="40">
        <f t="shared" ref="BJ68" si="113">SUM(BJ64:BJ67)</f>
        <v>1866800</v>
      </c>
      <c r="BK68" s="40">
        <f t="shared" si="112"/>
        <v>9047450</v>
      </c>
    </row>
    <row r="69" spans="1:63">
      <c r="A69" s="15" t="s">
        <v>143</v>
      </c>
      <c r="B69" s="22">
        <v>1</v>
      </c>
      <c r="C69" s="23" t="s">
        <v>144</v>
      </c>
      <c r="D69" s="36"/>
      <c r="E69" s="24" t="s">
        <v>143</v>
      </c>
      <c r="F69" s="24"/>
      <c r="G69" s="24"/>
      <c r="H69" s="36"/>
      <c r="I69" s="24"/>
      <c r="J69" s="24"/>
      <c r="K69" s="24"/>
      <c r="L69" s="24"/>
      <c r="M69" s="25">
        <f>SUM(F69:L69)</f>
        <v>0</v>
      </c>
      <c r="N69" s="24"/>
      <c r="O69" s="24"/>
      <c r="P69" s="24"/>
      <c r="Q69" s="24"/>
      <c r="R69" s="24"/>
      <c r="S69" s="24"/>
      <c r="T69" s="24"/>
      <c r="U69" s="25">
        <f>SUM(N69:T69)</f>
        <v>0</v>
      </c>
      <c r="V69" s="28"/>
      <c r="W69" s="48"/>
      <c r="X69" s="28"/>
      <c r="Y69" s="28"/>
      <c r="Z69" s="28"/>
      <c r="AA69" s="28"/>
      <c r="AB69" s="28"/>
      <c r="AC69" s="25">
        <f>SUM(V69:AB69)</f>
        <v>0</v>
      </c>
      <c r="AD69" s="28"/>
      <c r="AE69" s="49"/>
      <c r="AF69" s="28"/>
      <c r="AG69" s="28"/>
      <c r="AH69" s="28"/>
      <c r="AI69" s="28"/>
      <c r="AJ69" s="28">
        <v>571500</v>
      </c>
      <c r="AK69" s="29">
        <f>SUM(AD69:AJ69)</f>
        <v>571500</v>
      </c>
      <c r="AL69" s="47"/>
      <c r="AM69" s="28"/>
      <c r="AN69" s="28"/>
      <c r="AO69" s="28"/>
      <c r="AP69" s="29">
        <f>SUM(AL69:AO69)</f>
        <v>0</v>
      </c>
      <c r="AQ69" s="47"/>
      <c r="AR69" s="28"/>
      <c r="AS69" s="28"/>
      <c r="AT69" s="28"/>
      <c r="AU69" s="29">
        <f>SUM(AQ69:AT69)</f>
        <v>0</v>
      </c>
      <c r="AV69" s="47"/>
      <c r="AW69" s="47"/>
      <c r="AX69" s="47"/>
      <c r="AY69" s="47"/>
      <c r="AZ69" s="28"/>
      <c r="BA69" s="28"/>
      <c r="BB69" s="28"/>
      <c r="BC69" s="29">
        <f>SUM(AV69:BB69)</f>
        <v>0</v>
      </c>
      <c r="BD69" s="24">
        <f>F69+N69+V69+AD69+AV69</f>
        <v>0</v>
      </c>
      <c r="BE69" s="24">
        <f>G69+O69+W69+AE69+AW69</f>
        <v>0</v>
      </c>
      <c r="BF69" s="24">
        <f>H69+P69+X69+AF69+AX69</f>
        <v>0</v>
      </c>
      <c r="BG69" s="24">
        <f>I69+Q69+Y69+AG69+AL69+AQ69+AY69</f>
        <v>0</v>
      </c>
      <c r="BH69" s="30">
        <f>J69+R69+Z69+AH69+AM69+AR69+AZ69</f>
        <v>0</v>
      </c>
      <c r="BI69" s="30">
        <f>K69+S69+AA69+AI69+AN69+AS69+BA69</f>
        <v>0</v>
      </c>
      <c r="BJ69" s="30">
        <f>L69+T69+AB69+AJ69+AO69+AT69+BB69</f>
        <v>571500</v>
      </c>
      <c r="BK69" s="25">
        <f>SUM(BD69:BJ69)</f>
        <v>571500</v>
      </c>
    </row>
    <row r="70" spans="1:63" s="42" customFormat="1">
      <c r="A70" s="37"/>
      <c r="B70" s="37"/>
      <c r="C70" s="38" t="s">
        <v>145</v>
      </c>
      <c r="D70" s="40"/>
      <c r="E70" s="40"/>
      <c r="F70" s="40">
        <f>SUM(F69)</f>
        <v>0</v>
      </c>
      <c r="G70" s="40">
        <f t="shared" ref="G70:BK72" si="114">SUM(G69)</f>
        <v>0</v>
      </c>
      <c r="H70" s="40">
        <f t="shared" si="114"/>
        <v>0</v>
      </c>
      <c r="I70" s="40">
        <f t="shared" si="114"/>
        <v>0</v>
      </c>
      <c r="J70" s="40">
        <f t="shared" si="114"/>
        <v>0</v>
      </c>
      <c r="K70" s="40">
        <f t="shared" si="114"/>
        <v>0</v>
      </c>
      <c r="L70" s="40">
        <f t="shared" si="114"/>
        <v>0</v>
      </c>
      <c r="M70" s="40">
        <f t="shared" si="114"/>
        <v>0</v>
      </c>
      <c r="N70" s="40">
        <f t="shared" si="114"/>
        <v>0</v>
      </c>
      <c r="O70" s="40">
        <f t="shared" si="114"/>
        <v>0</v>
      </c>
      <c r="P70" s="40">
        <f t="shared" si="114"/>
        <v>0</v>
      </c>
      <c r="Q70" s="40">
        <f t="shared" si="114"/>
        <v>0</v>
      </c>
      <c r="R70" s="40">
        <f t="shared" si="114"/>
        <v>0</v>
      </c>
      <c r="S70" s="40">
        <f t="shared" si="114"/>
        <v>0</v>
      </c>
      <c r="T70" s="40">
        <f t="shared" si="114"/>
        <v>0</v>
      </c>
      <c r="U70" s="40">
        <f t="shared" si="114"/>
        <v>0</v>
      </c>
      <c r="V70" s="40">
        <f t="shared" si="114"/>
        <v>0</v>
      </c>
      <c r="W70" s="40">
        <f t="shared" si="114"/>
        <v>0</v>
      </c>
      <c r="X70" s="40">
        <f t="shared" si="114"/>
        <v>0</v>
      </c>
      <c r="Y70" s="40">
        <f t="shared" si="114"/>
        <v>0</v>
      </c>
      <c r="Z70" s="40">
        <f t="shared" si="114"/>
        <v>0</v>
      </c>
      <c r="AA70" s="40">
        <f t="shared" si="114"/>
        <v>0</v>
      </c>
      <c r="AB70" s="40">
        <f t="shared" si="114"/>
        <v>0</v>
      </c>
      <c r="AC70" s="40">
        <f t="shared" si="114"/>
        <v>0</v>
      </c>
      <c r="AD70" s="40">
        <f t="shared" si="114"/>
        <v>0</v>
      </c>
      <c r="AE70" s="40">
        <f t="shared" si="114"/>
        <v>0</v>
      </c>
      <c r="AF70" s="40">
        <f t="shared" si="114"/>
        <v>0</v>
      </c>
      <c r="AG70" s="40">
        <f t="shared" si="114"/>
        <v>0</v>
      </c>
      <c r="AH70" s="40">
        <f t="shared" si="114"/>
        <v>0</v>
      </c>
      <c r="AI70" s="40">
        <f t="shared" si="114"/>
        <v>0</v>
      </c>
      <c r="AJ70" s="40">
        <f t="shared" si="114"/>
        <v>571500</v>
      </c>
      <c r="AK70" s="40">
        <f t="shared" si="114"/>
        <v>571500</v>
      </c>
      <c r="AL70" s="40">
        <f t="shared" si="114"/>
        <v>0</v>
      </c>
      <c r="AM70" s="40">
        <f t="shared" si="114"/>
        <v>0</v>
      </c>
      <c r="AN70" s="40">
        <f t="shared" si="114"/>
        <v>0</v>
      </c>
      <c r="AO70" s="40">
        <f t="shared" si="114"/>
        <v>0</v>
      </c>
      <c r="AP70" s="40">
        <f t="shared" si="114"/>
        <v>0</v>
      </c>
      <c r="AQ70" s="40">
        <f t="shared" si="114"/>
        <v>0</v>
      </c>
      <c r="AR70" s="40">
        <f t="shared" si="114"/>
        <v>0</v>
      </c>
      <c r="AS70" s="40">
        <f t="shared" si="114"/>
        <v>0</v>
      </c>
      <c r="AT70" s="40">
        <f t="shared" si="114"/>
        <v>0</v>
      </c>
      <c r="AU70" s="40">
        <f t="shared" si="114"/>
        <v>0</v>
      </c>
      <c r="AV70" s="40">
        <f t="shared" si="114"/>
        <v>0</v>
      </c>
      <c r="AW70" s="40">
        <f t="shared" si="114"/>
        <v>0</v>
      </c>
      <c r="AX70" s="40">
        <f t="shared" si="114"/>
        <v>0</v>
      </c>
      <c r="AY70" s="40">
        <f t="shared" si="114"/>
        <v>0</v>
      </c>
      <c r="AZ70" s="40">
        <f t="shared" si="114"/>
        <v>0</v>
      </c>
      <c r="BA70" s="40">
        <f t="shared" si="114"/>
        <v>0</v>
      </c>
      <c r="BB70" s="40">
        <f t="shared" si="114"/>
        <v>0</v>
      </c>
      <c r="BC70" s="40">
        <f t="shared" si="114"/>
        <v>0</v>
      </c>
      <c r="BD70" s="40">
        <f t="shared" si="114"/>
        <v>0</v>
      </c>
      <c r="BE70" s="40">
        <f t="shared" si="114"/>
        <v>0</v>
      </c>
      <c r="BF70" s="40">
        <f t="shared" si="114"/>
        <v>0</v>
      </c>
      <c r="BG70" s="40">
        <f t="shared" si="114"/>
        <v>0</v>
      </c>
      <c r="BH70" s="40">
        <f t="shared" si="114"/>
        <v>0</v>
      </c>
      <c r="BI70" s="40">
        <f t="shared" si="114"/>
        <v>0</v>
      </c>
      <c r="BJ70" s="40">
        <f t="shared" si="114"/>
        <v>571500</v>
      </c>
      <c r="BK70" s="40">
        <f t="shared" si="114"/>
        <v>571500</v>
      </c>
    </row>
    <row r="71" spans="1:63">
      <c r="A71" s="15" t="s">
        <v>146</v>
      </c>
      <c r="B71" s="22">
        <v>1</v>
      </c>
      <c r="C71" s="23" t="s">
        <v>147</v>
      </c>
      <c r="D71" s="36" t="s">
        <v>148</v>
      </c>
      <c r="E71" s="24" t="s">
        <v>146</v>
      </c>
      <c r="F71" s="24"/>
      <c r="G71" s="24"/>
      <c r="H71" s="36"/>
      <c r="I71" s="24"/>
      <c r="J71" s="24"/>
      <c r="K71" s="24"/>
      <c r="L71" s="24"/>
      <c r="M71" s="25">
        <f>SUM(F71:L71)</f>
        <v>0</v>
      </c>
      <c r="N71" s="24"/>
      <c r="O71" s="24"/>
      <c r="P71" s="24"/>
      <c r="Q71" s="24"/>
      <c r="R71" s="24"/>
      <c r="S71" s="24"/>
      <c r="T71" s="24"/>
      <c r="U71" s="25">
        <f>SUM(N71:T71)</f>
        <v>0</v>
      </c>
      <c r="V71" s="28"/>
      <c r="W71" s="48">
        <v>290000</v>
      </c>
      <c r="X71" s="28"/>
      <c r="Y71" s="28"/>
      <c r="Z71" s="28"/>
      <c r="AA71" s="28"/>
      <c r="AB71" s="28">
        <f>630000+210000</f>
        <v>840000</v>
      </c>
      <c r="AC71" s="25">
        <f>SUM(V71:AB71)</f>
        <v>1130000</v>
      </c>
      <c r="AD71" s="28"/>
      <c r="AE71" s="49">
        <v>195000</v>
      </c>
      <c r="AF71" s="28"/>
      <c r="AG71" s="28"/>
      <c r="AH71" s="28"/>
      <c r="AI71" s="28"/>
      <c r="AJ71" s="28"/>
      <c r="AK71" s="29">
        <f>SUM(AD71:AJ71)</f>
        <v>195000</v>
      </c>
      <c r="AL71" s="47"/>
      <c r="AM71" s="28"/>
      <c r="AN71" s="28"/>
      <c r="AO71" s="28"/>
      <c r="AP71" s="29">
        <f>SUM(AL71:AO71)</f>
        <v>0</v>
      </c>
      <c r="AQ71" s="47"/>
      <c r="AR71" s="28"/>
      <c r="AS71" s="28"/>
      <c r="AT71" s="28"/>
      <c r="AU71" s="29">
        <f>SUM(AQ71:AT71)</f>
        <v>0</v>
      </c>
      <c r="AV71" s="47"/>
      <c r="AW71" s="47"/>
      <c r="AX71" s="47"/>
      <c r="AY71" s="47"/>
      <c r="AZ71" s="28"/>
      <c r="BA71" s="28"/>
      <c r="BB71" s="28"/>
      <c r="BC71" s="29">
        <f>SUM(AV71:BB71)</f>
        <v>0</v>
      </c>
      <c r="BD71" s="24">
        <f>F71+N71+V71+AD71+AV71</f>
        <v>0</v>
      </c>
      <c r="BE71" s="24">
        <f>G71+O71+W71+AE71+AW71</f>
        <v>485000</v>
      </c>
      <c r="BF71" s="24">
        <f>H71+P71+X71+AF71+AX71</f>
        <v>0</v>
      </c>
      <c r="BG71" s="24">
        <f>I71+Q71+Y71+AG71+AL71+AQ71+AY71</f>
        <v>0</v>
      </c>
      <c r="BH71" s="30">
        <f>J71+R71+Z71+AH71+AM71+AR71+AZ71</f>
        <v>0</v>
      </c>
      <c r="BI71" s="30">
        <f>K71+S71+AA71+AI71+AN71+AS71+BA71</f>
        <v>0</v>
      </c>
      <c r="BJ71" s="30">
        <f>L71+T71+AB71+AJ71+AO71+AT71+BB71</f>
        <v>840000</v>
      </c>
      <c r="BK71" s="25">
        <f>SUM(BD71:BJ71)</f>
        <v>1325000</v>
      </c>
    </row>
    <row r="72" spans="1:63" s="42" customFormat="1">
      <c r="A72" s="37"/>
      <c r="B72" s="37"/>
      <c r="C72" s="38" t="s">
        <v>149</v>
      </c>
      <c r="D72" s="40"/>
      <c r="E72" s="40"/>
      <c r="F72" s="40">
        <f>SUM(F71)</f>
        <v>0</v>
      </c>
      <c r="G72" s="40">
        <f t="shared" ref="G72:BK72" si="115">SUM(G71)</f>
        <v>0</v>
      </c>
      <c r="H72" s="40">
        <f t="shared" si="115"/>
        <v>0</v>
      </c>
      <c r="I72" s="40">
        <f t="shared" si="115"/>
        <v>0</v>
      </c>
      <c r="J72" s="40">
        <f t="shared" si="115"/>
        <v>0</v>
      </c>
      <c r="K72" s="40">
        <f t="shared" si="115"/>
        <v>0</v>
      </c>
      <c r="L72" s="40">
        <f t="shared" si="114"/>
        <v>0</v>
      </c>
      <c r="M72" s="40">
        <f t="shared" si="115"/>
        <v>0</v>
      </c>
      <c r="N72" s="40">
        <f t="shared" si="115"/>
        <v>0</v>
      </c>
      <c r="O72" s="40">
        <f t="shared" si="115"/>
        <v>0</v>
      </c>
      <c r="P72" s="40">
        <f t="shared" si="115"/>
        <v>0</v>
      </c>
      <c r="Q72" s="40">
        <f t="shared" si="115"/>
        <v>0</v>
      </c>
      <c r="R72" s="40">
        <f t="shared" si="115"/>
        <v>0</v>
      </c>
      <c r="S72" s="40">
        <f t="shared" si="115"/>
        <v>0</v>
      </c>
      <c r="T72" s="40">
        <f t="shared" si="114"/>
        <v>0</v>
      </c>
      <c r="U72" s="40">
        <f t="shared" si="115"/>
        <v>0</v>
      </c>
      <c r="V72" s="40">
        <f t="shared" si="115"/>
        <v>0</v>
      </c>
      <c r="W72" s="40">
        <f t="shared" si="115"/>
        <v>290000</v>
      </c>
      <c r="X72" s="40">
        <f t="shared" si="115"/>
        <v>0</v>
      </c>
      <c r="Y72" s="40">
        <f t="shared" si="115"/>
        <v>0</v>
      </c>
      <c r="Z72" s="40">
        <f t="shared" si="115"/>
        <v>0</v>
      </c>
      <c r="AA72" s="40">
        <f t="shared" si="115"/>
        <v>0</v>
      </c>
      <c r="AB72" s="40">
        <f t="shared" si="114"/>
        <v>840000</v>
      </c>
      <c r="AC72" s="40">
        <f t="shared" si="115"/>
        <v>1130000</v>
      </c>
      <c r="AD72" s="40">
        <f t="shared" si="115"/>
        <v>0</v>
      </c>
      <c r="AE72" s="40">
        <f t="shared" si="115"/>
        <v>195000</v>
      </c>
      <c r="AF72" s="40">
        <f t="shared" si="115"/>
        <v>0</v>
      </c>
      <c r="AG72" s="40">
        <f t="shared" si="115"/>
        <v>0</v>
      </c>
      <c r="AH72" s="40">
        <f t="shared" si="115"/>
        <v>0</v>
      </c>
      <c r="AI72" s="40">
        <f t="shared" si="115"/>
        <v>0</v>
      </c>
      <c r="AJ72" s="40">
        <f t="shared" si="114"/>
        <v>0</v>
      </c>
      <c r="AK72" s="40">
        <f t="shared" si="115"/>
        <v>195000</v>
      </c>
      <c r="AL72" s="40">
        <f t="shared" si="115"/>
        <v>0</v>
      </c>
      <c r="AM72" s="40">
        <f t="shared" si="115"/>
        <v>0</v>
      </c>
      <c r="AN72" s="40">
        <f t="shared" si="115"/>
        <v>0</v>
      </c>
      <c r="AO72" s="40">
        <f t="shared" si="114"/>
        <v>0</v>
      </c>
      <c r="AP72" s="40">
        <f t="shared" si="115"/>
        <v>0</v>
      </c>
      <c r="AQ72" s="40">
        <f t="shared" si="115"/>
        <v>0</v>
      </c>
      <c r="AR72" s="40">
        <f t="shared" si="115"/>
        <v>0</v>
      </c>
      <c r="AS72" s="40">
        <f t="shared" si="115"/>
        <v>0</v>
      </c>
      <c r="AT72" s="40">
        <f t="shared" si="114"/>
        <v>0</v>
      </c>
      <c r="AU72" s="40">
        <f t="shared" si="115"/>
        <v>0</v>
      </c>
      <c r="AV72" s="40">
        <f t="shared" si="115"/>
        <v>0</v>
      </c>
      <c r="AW72" s="40">
        <f t="shared" si="115"/>
        <v>0</v>
      </c>
      <c r="AX72" s="40">
        <f t="shared" si="115"/>
        <v>0</v>
      </c>
      <c r="AY72" s="40">
        <f t="shared" si="115"/>
        <v>0</v>
      </c>
      <c r="AZ72" s="40">
        <f t="shared" si="115"/>
        <v>0</v>
      </c>
      <c r="BA72" s="40">
        <f t="shared" si="115"/>
        <v>0</v>
      </c>
      <c r="BB72" s="40">
        <f t="shared" si="114"/>
        <v>0</v>
      </c>
      <c r="BC72" s="40">
        <f t="shared" si="115"/>
        <v>0</v>
      </c>
      <c r="BD72" s="40">
        <f t="shared" si="115"/>
        <v>0</v>
      </c>
      <c r="BE72" s="40">
        <f t="shared" si="115"/>
        <v>485000</v>
      </c>
      <c r="BF72" s="40">
        <f t="shared" si="115"/>
        <v>0</v>
      </c>
      <c r="BG72" s="40">
        <f t="shared" si="115"/>
        <v>0</v>
      </c>
      <c r="BH72" s="40">
        <f t="shared" si="115"/>
        <v>0</v>
      </c>
      <c r="BI72" s="40">
        <f t="shared" si="115"/>
        <v>0</v>
      </c>
      <c r="BJ72" s="40">
        <f t="shared" si="114"/>
        <v>840000</v>
      </c>
      <c r="BK72" s="40">
        <f t="shared" si="115"/>
        <v>1325000</v>
      </c>
    </row>
    <row r="73" spans="1:63" ht="31.5">
      <c r="A73" s="6" t="s">
        <v>150</v>
      </c>
      <c r="B73" s="22">
        <v>1</v>
      </c>
      <c r="C73" s="23" t="s">
        <v>151</v>
      </c>
      <c r="D73" s="24" t="s">
        <v>152</v>
      </c>
      <c r="E73" s="24" t="s">
        <v>150</v>
      </c>
      <c r="F73" s="24"/>
      <c r="G73" s="24"/>
      <c r="H73" s="24">
        <v>155000</v>
      </c>
      <c r="I73" s="24"/>
      <c r="J73" s="24"/>
      <c r="K73" s="24"/>
      <c r="L73" s="24"/>
      <c r="M73" s="25">
        <f t="shared" ref="M73:M81" si="116">SUM(F73:L73)</f>
        <v>155000</v>
      </c>
      <c r="N73" s="24"/>
      <c r="O73" s="24"/>
      <c r="P73" s="24"/>
      <c r="Q73" s="24"/>
      <c r="R73" s="24"/>
      <c r="S73" s="24"/>
      <c r="T73" s="24"/>
      <c r="U73" s="25">
        <f t="shared" ref="U73:U81" si="117">SUM(N73:T73)</f>
        <v>0</v>
      </c>
      <c r="V73" s="28"/>
      <c r="W73" s="28"/>
      <c r="X73" s="28"/>
      <c r="Y73" s="28"/>
      <c r="Z73" s="28"/>
      <c r="AA73" s="28"/>
      <c r="AB73" s="28"/>
      <c r="AC73" s="25">
        <f t="shared" ref="AC73:AC81" si="118">SUM(V73:AB73)</f>
        <v>0</v>
      </c>
      <c r="AD73" s="28"/>
      <c r="AE73" s="28"/>
      <c r="AF73" s="28"/>
      <c r="AG73" s="28"/>
      <c r="AH73" s="28"/>
      <c r="AI73" s="28"/>
      <c r="AJ73" s="28"/>
      <c r="AK73" s="29">
        <f t="shared" ref="AK73:AK81" si="119">SUM(AD73:AJ73)</f>
        <v>0</v>
      </c>
      <c r="AL73" s="47"/>
      <c r="AM73" s="28"/>
      <c r="AN73" s="28"/>
      <c r="AO73" s="28"/>
      <c r="AP73" s="29">
        <f t="shared" ref="AP73:AP81" si="120">SUM(AL73:AO73)</f>
        <v>0</v>
      </c>
      <c r="AQ73" s="47"/>
      <c r="AR73" s="28"/>
      <c r="AS73" s="28"/>
      <c r="AT73" s="28"/>
      <c r="AU73" s="29">
        <f t="shared" ref="AU73:AU81" si="121">SUM(AQ73:AT73)</f>
        <v>0</v>
      </c>
      <c r="AV73" s="47"/>
      <c r="AW73" s="47"/>
      <c r="AX73" s="47"/>
      <c r="AY73" s="47"/>
      <c r="AZ73" s="28"/>
      <c r="BA73" s="28"/>
      <c r="BB73" s="28"/>
      <c r="BC73" s="29">
        <f t="shared" ref="BC73:BC81" si="122">SUM(AV73:BB73)</f>
        <v>0</v>
      </c>
      <c r="BD73" s="24">
        <f t="shared" ref="BD73:BF81" si="123">F73+N73+V73+AD73+AV73</f>
        <v>0</v>
      </c>
      <c r="BE73" s="24">
        <f t="shared" si="123"/>
        <v>0</v>
      </c>
      <c r="BF73" s="24">
        <f t="shared" si="123"/>
        <v>155000</v>
      </c>
      <c r="BG73" s="24">
        <f t="shared" ref="BG73:BJ81" si="124">I73+Q73+Y73+AG73+AL73+AQ73+AY73</f>
        <v>0</v>
      </c>
      <c r="BH73" s="30">
        <f t="shared" si="124"/>
        <v>0</v>
      </c>
      <c r="BI73" s="30">
        <f t="shared" si="124"/>
        <v>0</v>
      </c>
      <c r="BJ73" s="30">
        <f t="shared" si="124"/>
        <v>0</v>
      </c>
      <c r="BK73" s="25">
        <f t="shared" ref="BK73:BK81" si="125">SUM(BD73:BJ73)</f>
        <v>155000</v>
      </c>
    </row>
    <row r="74" spans="1:63">
      <c r="A74" s="32"/>
      <c r="B74" s="22">
        <v>2</v>
      </c>
      <c r="C74" s="23" t="s">
        <v>153</v>
      </c>
      <c r="D74" s="24" t="s">
        <v>154</v>
      </c>
      <c r="E74" s="24" t="s">
        <v>150</v>
      </c>
      <c r="F74" s="24"/>
      <c r="G74" s="24">
        <v>430000</v>
      </c>
      <c r="H74" s="24">
        <f>60500+60500+286000+100000</f>
        <v>507000</v>
      </c>
      <c r="I74" s="24">
        <v>136500</v>
      </c>
      <c r="J74" s="24"/>
      <c r="K74" s="24"/>
      <c r="L74" s="24"/>
      <c r="M74" s="25">
        <f t="shared" si="116"/>
        <v>1073500</v>
      </c>
      <c r="N74" s="24"/>
      <c r="O74" s="24"/>
      <c r="P74" s="24"/>
      <c r="Q74" s="24"/>
      <c r="R74" s="24"/>
      <c r="S74" s="24"/>
      <c r="T74" s="24"/>
      <c r="U74" s="25">
        <f t="shared" si="117"/>
        <v>0</v>
      </c>
      <c r="V74" s="28"/>
      <c r="W74" s="28"/>
      <c r="X74" s="28"/>
      <c r="Y74" s="28"/>
      <c r="Z74" s="28"/>
      <c r="AA74" s="28"/>
      <c r="AB74" s="28"/>
      <c r="AC74" s="25">
        <f t="shared" si="118"/>
        <v>0</v>
      </c>
      <c r="AD74" s="28"/>
      <c r="AE74" s="28"/>
      <c r="AF74" s="28"/>
      <c r="AG74" s="28"/>
      <c r="AH74" s="28"/>
      <c r="AI74" s="28"/>
      <c r="AJ74" s="28"/>
      <c r="AK74" s="29">
        <f t="shared" si="119"/>
        <v>0</v>
      </c>
      <c r="AL74" s="47"/>
      <c r="AM74" s="28"/>
      <c r="AN74" s="28"/>
      <c r="AO74" s="28"/>
      <c r="AP74" s="29">
        <f t="shared" si="120"/>
        <v>0</v>
      </c>
      <c r="AQ74" s="47"/>
      <c r="AR74" s="28"/>
      <c r="AS74" s="28"/>
      <c r="AT74" s="28"/>
      <c r="AU74" s="29">
        <f t="shared" si="121"/>
        <v>0</v>
      </c>
      <c r="AV74" s="47"/>
      <c r="AW74" s="47"/>
      <c r="AX74" s="47"/>
      <c r="AY74" s="47"/>
      <c r="AZ74" s="28"/>
      <c r="BA74" s="28"/>
      <c r="BB74" s="28"/>
      <c r="BC74" s="29">
        <f t="shared" si="122"/>
        <v>0</v>
      </c>
      <c r="BD74" s="24">
        <f t="shared" si="123"/>
        <v>0</v>
      </c>
      <c r="BE74" s="24">
        <f t="shared" si="123"/>
        <v>430000</v>
      </c>
      <c r="BF74" s="24">
        <f t="shared" si="123"/>
        <v>507000</v>
      </c>
      <c r="BG74" s="24">
        <f t="shared" si="124"/>
        <v>136500</v>
      </c>
      <c r="BH74" s="30">
        <f t="shared" si="124"/>
        <v>0</v>
      </c>
      <c r="BI74" s="30">
        <f t="shared" si="124"/>
        <v>0</v>
      </c>
      <c r="BJ74" s="30">
        <f t="shared" si="124"/>
        <v>0</v>
      </c>
      <c r="BK74" s="25">
        <f t="shared" si="125"/>
        <v>1073500</v>
      </c>
    </row>
    <row r="75" spans="1:63">
      <c r="A75" s="32"/>
      <c r="B75" s="22">
        <v>3</v>
      </c>
      <c r="C75" s="23" t="s">
        <v>155</v>
      </c>
      <c r="D75" s="24" t="s">
        <v>156</v>
      </c>
      <c r="E75" s="24" t="s">
        <v>150</v>
      </c>
      <c r="F75" s="24"/>
      <c r="G75" s="24">
        <v>942500</v>
      </c>
      <c r="H75" s="24">
        <v>87500</v>
      </c>
      <c r="I75" s="24"/>
      <c r="J75" s="24"/>
      <c r="K75" s="24"/>
      <c r="L75" s="24"/>
      <c r="M75" s="25">
        <f t="shared" si="116"/>
        <v>1030000</v>
      </c>
      <c r="N75" s="24"/>
      <c r="O75" s="24"/>
      <c r="P75" s="24"/>
      <c r="Q75" s="24"/>
      <c r="R75" s="24"/>
      <c r="S75" s="24"/>
      <c r="T75" s="24"/>
      <c r="U75" s="25">
        <f t="shared" si="117"/>
        <v>0</v>
      </c>
      <c r="V75" s="28"/>
      <c r="W75" s="48">
        <v>794000</v>
      </c>
      <c r="X75" s="28"/>
      <c r="Y75" s="28"/>
      <c r="Z75" s="28"/>
      <c r="AA75" s="28"/>
      <c r="AB75" s="28"/>
      <c r="AC75" s="25">
        <f t="shared" si="118"/>
        <v>794000</v>
      </c>
      <c r="AD75" s="28"/>
      <c r="AE75" s="28"/>
      <c r="AF75" s="47"/>
      <c r="AG75" s="47"/>
      <c r="AH75" s="28"/>
      <c r="AI75" s="28"/>
      <c r="AJ75" s="28"/>
      <c r="AK75" s="29">
        <f t="shared" si="119"/>
        <v>0</v>
      </c>
      <c r="AL75" s="47"/>
      <c r="AM75" s="28"/>
      <c r="AN75" s="28"/>
      <c r="AO75" s="28"/>
      <c r="AP75" s="29">
        <f t="shared" si="120"/>
        <v>0</v>
      </c>
      <c r="AQ75" s="47"/>
      <c r="AR75" s="28"/>
      <c r="AS75" s="28"/>
      <c r="AT75" s="28"/>
      <c r="AU75" s="29">
        <f t="shared" si="121"/>
        <v>0</v>
      </c>
      <c r="AV75" s="47"/>
      <c r="AW75" s="47"/>
      <c r="AX75" s="47"/>
      <c r="AY75" s="47"/>
      <c r="AZ75" s="28"/>
      <c r="BA75" s="28"/>
      <c r="BB75" s="28"/>
      <c r="BC75" s="29">
        <f t="shared" si="122"/>
        <v>0</v>
      </c>
      <c r="BD75" s="24">
        <f t="shared" si="123"/>
        <v>0</v>
      </c>
      <c r="BE75" s="24">
        <f t="shared" si="123"/>
        <v>1736500</v>
      </c>
      <c r="BF75" s="24">
        <f t="shared" si="123"/>
        <v>87500</v>
      </c>
      <c r="BG75" s="24">
        <f t="shared" si="124"/>
        <v>0</v>
      </c>
      <c r="BH75" s="30">
        <f t="shared" si="124"/>
        <v>0</v>
      </c>
      <c r="BI75" s="30">
        <f t="shared" si="124"/>
        <v>0</v>
      </c>
      <c r="BJ75" s="30">
        <f t="shared" si="124"/>
        <v>0</v>
      </c>
      <c r="BK75" s="25">
        <f t="shared" si="125"/>
        <v>1824000</v>
      </c>
    </row>
    <row r="76" spans="1:63">
      <c r="A76" s="32"/>
      <c r="B76" s="22">
        <v>4</v>
      </c>
      <c r="C76" s="23" t="s">
        <v>157</v>
      </c>
      <c r="D76" s="24" t="s">
        <v>158</v>
      </c>
      <c r="E76" s="24" t="s">
        <v>150</v>
      </c>
      <c r="F76" s="24"/>
      <c r="G76" s="24"/>
      <c r="H76" s="24">
        <f>155000+104500+93500+110000+20000</f>
        <v>483000</v>
      </c>
      <c r="I76" s="24">
        <v>884000</v>
      </c>
      <c r="J76" s="24">
        <f>70000+210000+210000+210000+140000</f>
        <v>840000</v>
      </c>
      <c r="K76" s="24">
        <f>1000000+220000+110000</f>
        <v>1330000</v>
      </c>
      <c r="L76" s="24">
        <v>1320000</v>
      </c>
      <c r="M76" s="25">
        <f t="shared" si="116"/>
        <v>4857000</v>
      </c>
      <c r="N76" s="24"/>
      <c r="O76" s="24"/>
      <c r="P76" s="24"/>
      <c r="Q76" s="24"/>
      <c r="R76" s="24"/>
      <c r="S76" s="24"/>
      <c r="T76" s="24"/>
      <c r="U76" s="25">
        <f t="shared" si="117"/>
        <v>0</v>
      </c>
      <c r="V76" s="28"/>
      <c r="W76" s="28"/>
      <c r="X76" s="28"/>
      <c r="Y76" s="28"/>
      <c r="Z76" s="28"/>
      <c r="AA76" s="28"/>
      <c r="AB76" s="28"/>
      <c r="AC76" s="25">
        <f t="shared" si="118"/>
        <v>0</v>
      </c>
      <c r="AD76" s="28"/>
      <c r="AE76" s="28"/>
      <c r="AF76" s="28"/>
      <c r="AG76" s="28"/>
      <c r="AH76" s="28"/>
      <c r="AI76" s="28"/>
      <c r="AJ76" s="28"/>
      <c r="AK76" s="29">
        <f t="shared" si="119"/>
        <v>0</v>
      </c>
      <c r="AL76" s="47"/>
      <c r="AM76" s="28"/>
      <c r="AN76" s="28"/>
      <c r="AO76" s="28"/>
      <c r="AP76" s="29">
        <f t="shared" si="120"/>
        <v>0</v>
      </c>
      <c r="AQ76" s="47"/>
      <c r="AR76" s="28"/>
      <c r="AS76" s="28"/>
      <c r="AT76" s="28"/>
      <c r="AU76" s="29">
        <f t="shared" si="121"/>
        <v>0</v>
      </c>
      <c r="AV76" s="47"/>
      <c r="AW76" s="47"/>
      <c r="AX76" s="47"/>
      <c r="AY76" s="47"/>
      <c r="AZ76" s="28"/>
      <c r="BA76" s="28"/>
      <c r="BB76" s="28"/>
      <c r="BC76" s="29">
        <f t="shared" si="122"/>
        <v>0</v>
      </c>
      <c r="BD76" s="24">
        <f t="shared" si="123"/>
        <v>0</v>
      </c>
      <c r="BE76" s="24">
        <f t="shared" si="123"/>
        <v>0</v>
      </c>
      <c r="BF76" s="24">
        <f t="shared" si="123"/>
        <v>483000</v>
      </c>
      <c r="BG76" s="24">
        <f t="shared" si="124"/>
        <v>884000</v>
      </c>
      <c r="BH76" s="30">
        <f t="shared" si="124"/>
        <v>840000</v>
      </c>
      <c r="BI76" s="30">
        <f t="shared" si="124"/>
        <v>1330000</v>
      </c>
      <c r="BJ76" s="30">
        <f t="shared" si="124"/>
        <v>1320000</v>
      </c>
      <c r="BK76" s="25">
        <f t="shared" si="125"/>
        <v>4857000</v>
      </c>
    </row>
    <row r="77" spans="1:63">
      <c r="A77" s="32"/>
      <c r="B77" s="22">
        <v>5</v>
      </c>
      <c r="C77" s="23" t="s">
        <v>159</v>
      </c>
      <c r="D77" s="24" t="s">
        <v>160</v>
      </c>
      <c r="E77" s="24" t="s">
        <v>150</v>
      </c>
      <c r="F77" s="24"/>
      <c r="G77" s="24">
        <v>155000</v>
      </c>
      <c r="H77" s="24">
        <v>469000</v>
      </c>
      <c r="I77" s="24">
        <v>632000</v>
      </c>
      <c r="J77" s="24">
        <f>38500+126000+129500+112000+70000</f>
        <v>476000</v>
      </c>
      <c r="K77" s="24">
        <v>35000</v>
      </c>
      <c r="L77" s="24"/>
      <c r="M77" s="25">
        <f t="shared" si="116"/>
        <v>1767000</v>
      </c>
      <c r="N77" s="24"/>
      <c r="O77" s="24"/>
      <c r="P77" s="24"/>
      <c r="Q77" s="24"/>
      <c r="R77" s="24"/>
      <c r="S77" s="24"/>
      <c r="T77" s="24"/>
      <c r="U77" s="25">
        <f t="shared" si="117"/>
        <v>0</v>
      </c>
      <c r="V77" s="28"/>
      <c r="W77" s="28"/>
      <c r="X77" s="28"/>
      <c r="Y77" s="28"/>
      <c r="Z77" s="28"/>
      <c r="AA77" s="28"/>
      <c r="AB77" s="28"/>
      <c r="AC77" s="25">
        <f t="shared" si="118"/>
        <v>0</v>
      </c>
      <c r="AD77" s="28"/>
      <c r="AE77" s="28"/>
      <c r="AF77" s="28"/>
      <c r="AG77" s="28"/>
      <c r="AH77" s="28"/>
      <c r="AI77" s="28"/>
      <c r="AJ77" s="28"/>
      <c r="AK77" s="29">
        <f t="shared" si="119"/>
        <v>0</v>
      </c>
      <c r="AL77" s="47"/>
      <c r="AM77" s="28"/>
      <c r="AN77" s="28"/>
      <c r="AO77" s="28"/>
      <c r="AP77" s="29">
        <f t="shared" si="120"/>
        <v>0</v>
      </c>
      <c r="AQ77" s="47"/>
      <c r="AR77" s="28"/>
      <c r="AS77" s="28"/>
      <c r="AT77" s="28"/>
      <c r="AU77" s="29">
        <f t="shared" si="121"/>
        <v>0</v>
      </c>
      <c r="AV77" s="47"/>
      <c r="AW77" s="47"/>
      <c r="AX77" s="47"/>
      <c r="AY77" s="47"/>
      <c r="AZ77" s="28"/>
      <c r="BA77" s="28"/>
      <c r="BB77" s="28"/>
      <c r="BC77" s="29">
        <f t="shared" si="122"/>
        <v>0</v>
      </c>
      <c r="BD77" s="24">
        <f t="shared" si="123"/>
        <v>0</v>
      </c>
      <c r="BE77" s="24">
        <f t="shared" si="123"/>
        <v>155000</v>
      </c>
      <c r="BF77" s="24">
        <f t="shared" si="123"/>
        <v>469000</v>
      </c>
      <c r="BG77" s="24">
        <f t="shared" si="124"/>
        <v>632000</v>
      </c>
      <c r="BH77" s="30">
        <f t="shared" si="124"/>
        <v>476000</v>
      </c>
      <c r="BI77" s="30">
        <f t="shared" si="124"/>
        <v>35000</v>
      </c>
      <c r="BJ77" s="30">
        <f t="shared" si="124"/>
        <v>0</v>
      </c>
      <c r="BK77" s="25">
        <f t="shared" si="125"/>
        <v>1767000</v>
      </c>
    </row>
    <row r="78" spans="1:63">
      <c r="A78" s="32"/>
      <c r="B78" s="22">
        <v>6</v>
      </c>
      <c r="C78" s="23" t="s">
        <v>161</v>
      </c>
      <c r="D78" s="24" t="s">
        <v>162</v>
      </c>
      <c r="E78" s="24" t="s">
        <v>150</v>
      </c>
      <c r="F78" s="24"/>
      <c r="G78" s="24"/>
      <c r="H78" s="24"/>
      <c r="I78" s="24"/>
      <c r="J78" s="24"/>
      <c r="K78" s="24"/>
      <c r="L78" s="24"/>
      <c r="M78" s="25">
        <f t="shared" si="116"/>
        <v>0</v>
      </c>
      <c r="N78" s="24"/>
      <c r="O78" s="24"/>
      <c r="P78" s="24"/>
      <c r="Q78" s="24"/>
      <c r="R78" s="24"/>
      <c r="S78" s="24"/>
      <c r="T78" s="24"/>
      <c r="U78" s="25">
        <f t="shared" si="117"/>
        <v>0</v>
      </c>
      <c r="V78" s="28"/>
      <c r="W78" s="28"/>
      <c r="X78" s="28"/>
      <c r="Y78" s="28"/>
      <c r="Z78" s="28"/>
      <c r="AA78" s="28"/>
      <c r="AB78" s="28"/>
      <c r="AC78" s="25">
        <f t="shared" si="118"/>
        <v>0</v>
      </c>
      <c r="AD78" s="28"/>
      <c r="AE78" s="47">
        <v>232800</v>
      </c>
      <c r="AF78" s="47">
        <v>424050</v>
      </c>
      <c r="AG78" s="47">
        <v>229000</v>
      </c>
      <c r="AH78" s="28">
        <f>59500+31500+168000+126000+42000</f>
        <v>427000</v>
      </c>
      <c r="AI78" s="28">
        <f>411600+138600+46200</f>
        <v>596400</v>
      </c>
      <c r="AJ78" s="28">
        <v>596750</v>
      </c>
      <c r="AK78" s="29">
        <f t="shared" si="119"/>
        <v>2506000</v>
      </c>
      <c r="AL78" s="47"/>
      <c r="AM78" s="28"/>
      <c r="AN78" s="28"/>
      <c r="AO78" s="28"/>
      <c r="AP78" s="29">
        <f t="shared" si="120"/>
        <v>0</v>
      </c>
      <c r="AQ78" s="47"/>
      <c r="AR78" s="28"/>
      <c r="AS78" s="28"/>
      <c r="AT78" s="28"/>
      <c r="AU78" s="29">
        <f t="shared" si="121"/>
        <v>0</v>
      </c>
      <c r="AV78" s="47"/>
      <c r="AW78" s="47"/>
      <c r="AX78" s="47"/>
      <c r="AY78" s="47"/>
      <c r="AZ78" s="28"/>
      <c r="BA78" s="28"/>
      <c r="BB78" s="28"/>
      <c r="BC78" s="29">
        <f t="shared" si="122"/>
        <v>0</v>
      </c>
      <c r="BD78" s="24">
        <f t="shared" si="123"/>
        <v>0</v>
      </c>
      <c r="BE78" s="24">
        <f t="shared" si="123"/>
        <v>232800</v>
      </c>
      <c r="BF78" s="24">
        <f t="shared" si="123"/>
        <v>424050</v>
      </c>
      <c r="BG78" s="24">
        <f t="shared" si="124"/>
        <v>229000</v>
      </c>
      <c r="BH78" s="30">
        <f t="shared" si="124"/>
        <v>427000</v>
      </c>
      <c r="BI78" s="30">
        <f t="shared" si="124"/>
        <v>596400</v>
      </c>
      <c r="BJ78" s="30">
        <f t="shared" si="124"/>
        <v>596750</v>
      </c>
      <c r="BK78" s="25">
        <f t="shared" si="125"/>
        <v>2506000</v>
      </c>
    </row>
    <row r="79" spans="1:63">
      <c r="A79" s="32"/>
      <c r="B79" s="22">
        <v>7</v>
      </c>
      <c r="C79" s="23" t="s">
        <v>163</v>
      </c>
      <c r="D79" s="24" t="s">
        <v>156</v>
      </c>
      <c r="E79" s="24" t="s">
        <v>150</v>
      </c>
      <c r="F79" s="24"/>
      <c r="G79" s="24"/>
      <c r="H79" s="24">
        <v>155000</v>
      </c>
      <c r="I79" s="24">
        <v>-155000</v>
      </c>
      <c r="J79" s="24"/>
      <c r="K79" s="24"/>
      <c r="L79" s="24"/>
      <c r="M79" s="25">
        <f t="shared" si="116"/>
        <v>0</v>
      </c>
      <c r="N79" s="24"/>
      <c r="O79" s="24"/>
      <c r="P79" s="24"/>
      <c r="Q79" s="24"/>
      <c r="R79" s="24"/>
      <c r="S79" s="24"/>
      <c r="T79" s="24"/>
      <c r="U79" s="25">
        <f t="shared" si="117"/>
        <v>0</v>
      </c>
      <c r="V79" s="28"/>
      <c r="W79" s="28"/>
      <c r="X79" s="28"/>
      <c r="Y79" s="28"/>
      <c r="Z79" s="28"/>
      <c r="AA79" s="28"/>
      <c r="AB79" s="28"/>
      <c r="AC79" s="25">
        <f t="shared" si="118"/>
        <v>0</v>
      </c>
      <c r="AD79" s="28"/>
      <c r="AE79" s="28"/>
      <c r="AF79" s="28"/>
      <c r="AG79" s="28"/>
      <c r="AH79" s="28"/>
      <c r="AI79" s="28"/>
      <c r="AJ79" s="28"/>
      <c r="AK79" s="29">
        <f t="shared" si="119"/>
        <v>0</v>
      </c>
      <c r="AL79" s="47"/>
      <c r="AM79" s="28"/>
      <c r="AN79" s="28"/>
      <c r="AO79" s="28"/>
      <c r="AP79" s="29">
        <f t="shared" si="120"/>
        <v>0</v>
      </c>
      <c r="AQ79" s="47"/>
      <c r="AR79" s="28"/>
      <c r="AS79" s="28"/>
      <c r="AT79" s="28"/>
      <c r="AU79" s="29">
        <f t="shared" si="121"/>
        <v>0</v>
      </c>
      <c r="AV79" s="47"/>
      <c r="AW79" s="47"/>
      <c r="AX79" s="47"/>
      <c r="AY79" s="47"/>
      <c r="AZ79" s="28"/>
      <c r="BA79" s="28"/>
      <c r="BB79" s="28"/>
      <c r="BC79" s="29">
        <f t="shared" si="122"/>
        <v>0</v>
      </c>
      <c r="BD79" s="24">
        <f t="shared" si="123"/>
        <v>0</v>
      </c>
      <c r="BE79" s="24">
        <f t="shared" si="123"/>
        <v>0</v>
      </c>
      <c r="BF79" s="24">
        <f t="shared" si="123"/>
        <v>155000</v>
      </c>
      <c r="BG79" s="24">
        <f t="shared" si="124"/>
        <v>-155000</v>
      </c>
      <c r="BH79" s="30">
        <f t="shared" si="124"/>
        <v>0</v>
      </c>
      <c r="BI79" s="30">
        <f t="shared" si="124"/>
        <v>0</v>
      </c>
      <c r="BJ79" s="30">
        <f t="shared" si="124"/>
        <v>0</v>
      </c>
      <c r="BK79" s="25">
        <f t="shared" si="125"/>
        <v>0</v>
      </c>
    </row>
    <row r="80" spans="1:63" ht="31.5">
      <c r="A80" s="32"/>
      <c r="B80" s="22">
        <v>8</v>
      </c>
      <c r="C80" s="23" t="s">
        <v>164</v>
      </c>
      <c r="D80" s="24" t="s">
        <v>165</v>
      </c>
      <c r="E80" s="24" t="s">
        <v>150</v>
      </c>
      <c r="F80" s="24"/>
      <c r="G80" s="24"/>
      <c r="H80" s="24">
        <v>155000</v>
      </c>
      <c r="I80" s="24"/>
      <c r="J80" s="24"/>
      <c r="K80" s="24"/>
      <c r="L80" s="24"/>
      <c r="M80" s="25">
        <f t="shared" si="116"/>
        <v>155000</v>
      </c>
      <c r="N80" s="24"/>
      <c r="O80" s="24"/>
      <c r="P80" s="24"/>
      <c r="Q80" s="24"/>
      <c r="R80" s="24"/>
      <c r="S80" s="24"/>
      <c r="T80" s="24"/>
      <c r="U80" s="25">
        <f t="shared" si="117"/>
        <v>0</v>
      </c>
      <c r="V80" s="28"/>
      <c r="W80" s="28"/>
      <c r="X80" s="28"/>
      <c r="Y80" s="28"/>
      <c r="Z80" s="28"/>
      <c r="AA80" s="28"/>
      <c r="AB80" s="28"/>
      <c r="AC80" s="25">
        <f t="shared" si="118"/>
        <v>0</v>
      </c>
      <c r="AD80" s="28"/>
      <c r="AE80" s="28"/>
      <c r="AF80" s="28"/>
      <c r="AG80" s="28"/>
      <c r="AH80" s="28"/>
      <c r="AI80" s="28"/>
      <c r="AJ80" s="28"/>
      <c r="AK80" s="29">
        <f t="shared" si="119"/>
        <v>0</v>
      </c>
      <c r="AL80" s="47"/>
      <c r="AM80" s="28"/>
      <c r="AN80" s="28"/>
      <c r="AO80" s="28"/>
      <c r="AP80" s="29">
        <f t="shared" si="120"/>
        <v>0</v>
      </c>
      <c r="AQ80" s="47"/>
      <c r="AR80" s="28"/>
      <c r="AS80" s="28"/>
      <c r="AT80" s="28"/>
      <c r="AU80" s="29">
        <f t="shared" si="121"/>
        <v>0</v>
      </c>
      <c r="AV80" s="47"/>
      <c r="AW80" s="47"/>
      <c r="AX80" s="47"/>
      <c r="AY80" s="47"/>
      <c r="AZ80" s="28"/>
      <c r="BA80" s="28"/>
      <c r="BB80" s="28"/>
      <c r="BC80" s="29">
        <f t="shared" si="122"/>
        <v>0</v>
      </c>
      <c r="BD80" s="24">
        <f t="shared" si="123"/>
        <v>0</v>
      </c>
      <c r="BE80" s="24">
        <f t="shared" si="123"/>
        <v>0</v>
      </c>
      <c r="BF80" s="24">
        <f t="shared" si="123"/>
        <v>155000</v>
      </c>
      <c r="BG80" s="24">
        <f t="shared" si="124"/>
        <v>0</v>
      </c>
      <c r="BH80" s="30">
        <f t="shared" si="124"/>
        <v>0</v>
      </c>
      <c r="BI80" s="30">
        <f t="shared" si="124"/>
        <v>0</v>
      </c>
      <c r="BJ80" s="30">
        <f t="shared" si="124"/>
        <v>0</v>
      </c>
      <c r="BK80" s="25">
        <f t="shared" si="125"/>
        <v>155000</v>
      </c>
    </row>
    <row r="81" spans="1:63">
      <c r="A81" s="14"/>
      <c r="B81" s="22">
        <v>9</v>
      </c>
      <c r="C81" s="23" t="s">
        <v>166</v>
      </c>
      <c r="D81" s="24" t="s">
        <v>154</v>
      </c>
      <c r="E81" s="24" t="s">
        <v>150</v>
      </c>
      <c r="F81" s="24"/>
      <c r="G81" s="24"/>
      <c r="H81" s="24">
        <v>155000</v>
      </c>
      <c r="I81" s="24">
        <v>776500</v>
      </c>
      <c r="J81" s="24">
        <f>200000+273000+210000+140000</f>
        <v>823000</v>
      </c>
      <c r="K81" s="24">
        <v>160000</v>
      </c>
      <c r="L81" s="24"/>
      <c r="M81" s="25">
        <f t="shared" si="116"/>
        <v>1914500</v>
      </c>
      <c r="N81" s="24"/>
      <c r="O81" s="24"/>
      <c r="P81" s="24"/>
      <c r="Q81" s="24"/>
      <c r="R81" s="24"/>
      <c r="S81" s="24"/>
      <c r="T81" s="24"/>
      <c r="U81" s="25">
        <f t="shared" si="117"/>
        <v>0</v>
      </c>
      <c r="V81" s="28"/>
      <c r="W81" s="28"/>
      <c r="X81" s="28"/>
      <c r="Y81" s="28"/>
      <c r="Z81" s="28"/>
      <c r="AA81" s="28"/>
      <c r="AB81" s="28"/>
      <c r="AC81" s="25">
        <f t="shared" si="118"/>
        <v>0</v>
      </c>
      <c r="AD81" s="28"/>
      <c r="AE81" s="28"/>
      <c r="AF81" s="28"/>
      <c r="AG81" s="28"/>
      <c r="AH81" s="28"/>
      <c r="AI81" s="28"/>
      <c r="AJ81" s="28"/>
      <c r="AK81" s="29">
        <f t="shared" si="119"/>
        <v>0</v>
      </c>
      <c r="AL81" s="47"/>
      <c r="AM81" s="28"/>
      <c r="AN81" s="28"/>
      <c r="AO81" s="28"/>
      <c r="AP81" s="29">
        <f t="shared" si="120"/>
        <v>0</v>
      </c>
      <c r="AQ81" s="47"/>
      <c r="AR81" s="28"/>
      <c r="AS81" s="28"/>
      <c r="AT81" s="28"/>
      <c r="AU81" s="29">
        <f t="shared" si="121"/>
        <v>0</v>
      </c>
      <c r="AV81" s="47"/>
      <c r="AW81" s="47"/>
      <c r="AX81" s="47"/>
      <c r="AY81" s="47"/>
      <c r="AZ81" s="28"/>
      <c r="BA81" s="28"/>
      <c r="BB81" s="28"/>
      <c r="BC81" s="29">
        <f t="shared" si="122"/>
        <v>0</v>
      </c>
      <c r="BD81" s="24">
        <f t="shared" si="123"/>
        <v>0</v>
      </c>
      <c r="BE81" s="24">
        <f t="shared" si="123"/>
        <v>0</v>
      </c>
      <c r="BF81" s="24">
        <f t="shared" si="123"/>
        <v>155000</v>
      </c>
      <c r="BG81" s="24">
        <f t="shared" si="124"/>
        <v>776500</v>
      </c>
      <c r="BH81" s="30">
        <f t="shared" si="124"/>
        <v>823000</v>
      </c>
      <c r="BI81" s="30">
        <f t="shared" si="124"/>
        <v>160000</v>
      </c>
      <c r="BJ81" s="30">
        <f t="shared" si="124"/>
        <v>0</v>
      </c>
      <c r="BK81" s="25">
        <f t="shared" si="125"/>
        <v>1914500</v>
      </c>
    </row>
    <row r="82" spans="1:63" s="42" customFormat="1">
      <c r="A82" s="37"/>
      <c r="B82" s="37"/>
      <c r="C82" s="38" t="s">
        <v>167</v>
      </c>
      <c r="D82" s="40"/>
      <c r="E82" s="40"/>
      <c r="F82" s="40">
        <f>SUM(F73:F81)</f>
        <v>0</v>
      </c>
      <c r="G82" s="40">
        <f t="shared" ref="G82:BK82" si="126">SUM(G73:G81)</f>
        <v>1527500</v>
      </c>
      <c r="H82" s="40">
        <f t="shared" si="126"/>
        <v>2166500</v>
      </c>
      <c r="I82" s="40">
        <f t="shared" si="126"/>
        <v>2274000</v>
      </c>
      <c r="J82" s="40">
        <f t="shared" si="126"/>
        <v>2139000</v>
      </c>
      <c r="K82" s="40">
        <f t="shared" si="126"/>
        <v>1525000</v>
      </c>
      <c r="L82" s="40">
        <f t="shared" si="126"/>
        <v>1320000</v>
      </c>
      <c r="M82" s="40">
        <f t="shared" si="126"/>
        <v>10952000</v>
      </c>
      <c r="N82" s="40">
        <f t="shared" si="126"/>
        <v>0</v>
      </c>
      <c r="O82" s="40">
        <f t="shared" si="126"/>
        <v>0</v>
      </c>
      <c r="P82" s="40">
        <f t="shared" si="126"/>
        <v>0</v>
      </c>
      <c r="Q82" s="40">
        <f t="shared" si="126"/>
        <v>0</v>
      </c>
      <c r="R82" s="40">
        <f t="shared" si="126"/>
        <v>0</v>
      </c>
      <c r="S82" s="40">
        <f t="shared" si="126"/>
        <v>0</v>
      </c>
      <c r="T82" s="40">
        <f t="shared" si="126"/>
        <v>0</v>
      </c>
      <c r="U82" s="40">
        <f t="shared" si="126"/>
        <v>0</v>
      </c>
      <c r="V82" s="40">
        <f t="shared" si="126"/>
        <v>0</v>
      </c>
      <c r="W82" s="40">
        <f t="shared" si="126"/>
        <v>794000</v>
      </c>
      <c r="X82" s="40">
        <f t="shared" si="126"/>
        <v>0</v>
      </c>
      <c r="Y82" s="40">
        <f t="shared" si="126"/>
        <v>0</v>
      </c>
      <c r="Z82" s="40">
        <f t="shared" si="126"/>
        <v>0</v>
      </c>
      <c r="AA82" s="40">
        <f t="shared" si="126"/>
        <v>0</v>
      </c>
      <c r="AB82" s="40">
        <f t="shared" si="126"/>
        <v>0</v>
      </c>
      <c r="AC82" s="40">
        <f t="shared" si="126"/>
        <v>794000</v>
      </c>
      <c r="AD82" s="40">
        <f t="shared" si="126"/>
        <v>0</v>
      </c>
      <c r="AE82" s="40">
        <f t="shared" si="126"/>
        <v>232800</v>
      </c>
      <c r="AF82" s="40">
        <f t="shared" si="126"/>
        <v>424050</v>
      </c>
      <c r="AG82" s="40">
        <f t="shared" si="126"/>
        <v>229000</v>
      </c>
      <c r="AH82" s="40">
        <f t="shared" si="126"/>
        <v>427000</v>
      </c>
      <c r="AI82" s="40">
        <f t="shared" si="126"/>
        <v>596400</v>
      </c>
      <c r="AJ82" s="40">
        <f t="shared" si="126"/>
        <v>596750</v>
      </c>
      <c r="AK82" s="40">
        <f t="shared" si="126"/>
        <v>2506000</v>
      </c>
      <c r="AL82" s="40">
        <f t="shared" si="126"/>
        <v>0</v>
      </c>
      <c r="AM82" s="40">
        <f t="shared" si="126"/>
        <v>0</v>
      </c>
      <c r="AN82" s="40">
        <f t="shared" si="126"/>
        <v>0</v>
      </c>
      <c r="AO82" s="40">
        <f t="shared" si="126"/>
        <v>0</v>
      </c>
      <c r="AP82" s="40">
        <f t="shared" si="126"/>
        <v>0</v>
      </c>
      <c r="AQ82" s="40">
        <f t="shared" si="126"/>
        <v>0</v>
      </c>
      <c r="AR82" s="40">
        <f t="shared" si="126"/>
        <v>0</v>
      </c>
      <c r="AS82" s="40">
        <f t="shared" si="126"/>
        <v>0</v>
      </c>
      <c r="AT82" s="40">
        <f t="shared" si="126"/>
        <v>0</v>
      </c>
      <c r="AU82" s="40">
        <f t="shared" si="126"/>
        <v>0</v>
      </c>
      <c r="AV82" s="40">
        <f t="shared" si="126"/>
        <v>0</v>
      </c>
      <c r="AW82" s="40">
        <f t="shared" si="126"/>
        <v>0</v>
      </c>
      <c r="AX82" s="40">
        <f t="shared" si="126"/>
        <v>0</v>
      </c>
      <c r="AY82" s="40">
        <f t="shared" si="126"/>
        <v>0</v>
      </c>
      <c r="AZ82" s="40">
        <f t="shared" si="126"/>
        <v>0</v>
      </c>
      <c r="BA82" s="40">
        <f t="shared" si="126"/>
        <v>0</v>
      </c>
      <c r="BB82" s="40">
        <f t="shared" si="126"/>
        <v>0</v>
      </c>
      <c r="BC82" s="40">
        <f t="shared" si="126"/>
        <v>0</v>
      </c>
      <c r="BD82" s="40">
        <f t="shared" si="126"/>
        <v>0</v>
      </c>
      <c r="BE82" s="40">
        <f t="shared" si="126"/>
        <v>2554300</v>
      </c>
      <c r="BF82" s="40">
        <f t="shared" si="126"/>
        <v>2590550</v>
      </c>
      <c r="BG82" s="40">
        <f t="shared" si="126"/>
        <v>2503000</v>
      </c>
      <c r="BH82" s="40">
        <f t="shared" si="126"/>
        <v>2566000</v>
      </c>
      <c r="BI82" s="41">
        <f>SUM(BI73:BI81)</f>
        <v>2121400</v>
      </c>
      <c r="BJ82" s="40">
        <f t="shared" ref="BJ82" si="127">SUM(BJ73:BJ81)</f>
        <v>1916750</v>
      </c>
      <c r="BK82" s="40">
        <f t="shared" si="126"/>
        <v>14252000</v>
      </c>
    </row>
    <row r="83" spans="1:63" ht="31.5">
      <c r="A83" s="15" t="s">
        <v>168</v>
      </c>
      <c r="B83" s="22">
        <v>1</v>
      </c>
      <c r="C83" s="23" t="s">
        <v>169</v>
      </c>
      <c r="D83" s="24" t="s">
        <v>170</v>
      </c>
      <c r="E83" s="24" t="s">
        <v>168</v>
      </c>
      <c r="F83" s="24"/>
      <c r="G83" s="24">
        <v>155000</v>
      </c>
      <c r="H83" s="24">
        <f>180000-155000</f>
        <v>25000</v>
      </c>
      <c r="I83" s="24">
        <v>160000</v>
      </c>
      <c r="J83" s="24">
        <f>590000+49000+378000</f>
        <v>1017000</v>
      </c>
      <c r="K83" s="24">
        <f>803000+185000+92500</f>
        <v>1080500</v>
      </c>
      <c r="L83" s="24">
        <v>1092000</v>
      </c>
      <c r="M83" s="25">
        <f>SUM(F83:L83)</f>
        <v>3529500</v>
      </c>
      <c r="N83" s="24"/>
      <c r="O83" s="24"/>
      <c r="P83" s="24"/>
      <c r="Q83" s="24"/>
      <c r="R83" s="24"/>
      <c r="S83" s="24"/>
      <c r="T83" s="24"/>
      <c r="U83" s="25">
        <f>SUM(N83:T83)</f>
        <v>0</v>
      </c>
      <c r="V83" s="28"/>
      <c r="W83" s="28"/>
      <c r="X83" s="28"/>
      <c r="Y83" s="28"/>
      <c r="Z83" s="28"/>
      <c r="AA83" s="28"/>
      <c r="AB83" s="28"/>
      <c r="AC83" s="25">
        <f>SUM(V83:AB83)</f>
        <v>0</v>
      </c>
      <c r="AD83" s="28"/>
      <c r="AE83" s="28"/>
      <c r="AF83" s="28"/>
      <c r="AG83" s="28"/>
      <c r="AH83" s="28"/>
      <c r="AI83" s="28"/>
      <c r="AJ83" s="28"/>
      <c r="AK83" s="29">
        <f>SUM(AD83:AJ83)</f>
        <v>0</v>
      </c>
      <c r="AL83" s="47"/>
      <c r="AM83" s="28"/>
      <c r="AN83" s="28"/>
      <c r="AO83" s="28"/>
      <c r="AP83" s="29">
        <f>SUM(AL83:AO83)</f>
        <v>0</v>
      </c>
      <c r="AQ83" s="47"/>
      <c r="AR83" s="28"/>
      <c r="AS83" s="28"/>
      <c r="AT83" s="28"/>
      <c r="AU83" s="29">
        <f>SUM(AQ83:AT83)</f>
        <v>0</v>
      </c>
      <c r="AV83" s="47"/>
      <c r="AW83" s="47"/>
      <c r="AX83" s="47"/>
      <c r="AY83" s="47"/>
      <c r="AZ83" s="28"/>
      <c r="BA83" s="28"/>
      <c r="BB83" s="28"/>
      <c r="BC83" s="29">
        <f>SUM(AV83:BB83)</f>
        <v>0</v>
      </c>
      <c r="BD83" s="24">
        <f>F83+N83+V83+AD83+AV83</f>
        <v>0</v>
      </c>
      <c r="BE83" s="24">
        <f>G83+O83+W83+AE83+AW83</f>
        <v>155000</v>
      </c>
      <c r="BF83" s="24">
        <f>H83+P83+X83+AF83+AX83</f>
        <v>25000</v>
      </c>
      <c r="BG83" s="24">
        <f>I83+Q83+Y83+AG83+AL83+AQ83+AY83</f>
        <v>160000</v>
      </c>
      <c r="BH83" s="30">
        <f>J83+R83+Z83+AH83+AM83+AR83+AZ83</f>
        <v>1017000</v>
      </c>
      <c r="BI83" s="30">
        <f>K83+S83+AA83+AI83+AN83+AS83+BA83</f>
        <v>1080500</v>
      </c>
      <c r="BJ83" s="30">
        <f>L83+T83+AB83+AJ83+AO83+AT83+BB83</f>
        <v>1092000</v>
      </c>
      <c r="BK83" s="25">
        <f>SUM(BD83:BJ83)</f>
        <v>3529500</v>
      </c>
    </row>
    <row r="84" spans="1:63" s="42" customFormat="1">
      <c r="A84" s="37"/>
      <c r="B84" s="37"/>
      <c r="C84" s="38" t="s">
        <v>171</v>
      </c>
      <c r="D84" s="40"/>
      <c r="E84" s="40"/>
      <c r="F84" s="40">
        <f>SUM(F83)</f>
        <v>0</v>
      </c>
      <c r="G84" s="40">
        <f t="shared" ref="G84:BK84" si="128">SUM(G83)</f>
        <v>155000</v>
      </c>
      <c r="H84" s="40">
        <f t="shared" si="128"/>
        <v>25000</v>
      </c>
      <c r="I84" s="40">
        <f t="shared" si="128"/>
        <v>160000</v>
      </c>
      <c r="J84" s="40">
        <f t="shared" si="128"/>
        <v>1017000</v>
      </c>
      <c r="K84" s="40">
        <f t="shared" si="128"/>
        <v>1080500</v>
      </c>
      <c r="L84" s="40">
        <f t="shared" si="128"/>
        <v>1092000</v>
      </c>
      <c r="M84" s="40">
        <f t="shared" si="128"/>
        <v>3529500</v>
      </c>
      <c r="N84" s="40">
        <f t="shared" si="128"/>
        <v>0</v>
      </c>
      <c r="O84" s="40">
        <f t="shared" si="128"/>
        <v>0</v>
      </c>
      <c r="P84" s="40">
        <f t="shared" si="128"/>
        <v>0</v>
      </c>
      <c r="Q84" s="40">
        <f t="shared" si="128"/>
        <v>0</v>
      </c>
      <c r="R84" s="40">
        <f t="shared" si="128"/>
        <v>0</v>
      </c>
      <c r="S84" s="40">
        <f t="shared" si="128"/>
        <v>0</v>
      </c>
      <c r="T84" s="40">
        <f t="shared" si="128"/>
        <v>0</v>
      </c>
      <c r="U84" s="40">
        <f t="shared" si="128"/>
        <v>0</v>
      </c>
      <c r="V84" s="40">
        <f t="shared" si="128"/>
        <v>0</v>
      </c>
      <c r="W84" s="40">
        <f t="shared" si="128"/>
        <v>0</v>
      </c>
      <c r="X84" s="40">
        <f t="shared" si="128"/>
        <v>0</v>
      </c>
      <c r="Y84" s="40">
        <f t="shared" si="128"/>
        <v>0</v>
      </c>
      <c r="Z84" s="40">
        <f t="shared" si="128"/>
        <v>0</v>
      </c>
      <c r="AA84" s="40">
        <f t="shared" si="128"/>
        <v>0</v>
      </c>
      <c r="AB84" s="40">
        <f t="shared" si="128"/>
        <v>0</v>
      </c>
      <c r="AC84" s="40">
        <f t="shared" si="128"/>
        <v>0</v>
      </c>
      <c r="AD84" s="40">
        <f t="shared" si="128"/>
        <v>0</v>
      </c>
      <c r="AE84" s="40">
        <f t="shared" si="128"/>
        <v>0</v>
      </c>
      <c r="AF84" s="40">
        <f t="shared" si="128"/>
        <v>0</v>
      </c>
      <c r="AG84" s="40">
        <f t="shared" si="128"/>
        <v>0</v>
      </c>
      <c r="AH84" s="40">
        <f t="shared" si="128"/>
        <v>0</v>
      </c>
      <c r="AI84" s="40">
        <f t="shared" si="128"/>
        <v>0</v>
      </c>
      <c r="AJ84" s="40">
        <f t="shared" si="128"/>
        <v>0</v>
      </c>
      <c r="AK84" s="40">
        <f t="shared" si="128"/>
        <v>0</v>
      </c>
      <c r="AL84" s="40">
        <f t="shared" si="128"/>
        <v>0</v>
      </c>
      <c r="AM84" s="40">
        <f t="shared" si="128"/>
        <v>0</v>
      </c>
      <c r="AN84" s="40">
        <f t="shared" si="128"/>
        <v>0</v>
      </c>
      <c r="AO84" s="40">
        <f t="shared" si="128"/>
        <v>0</v>
      </c>
      <c r="AP84" s="40">
        <f t="shared" si="128"/>
        <v>0</v>
      </c>
      <c r="AQ84" s="40">
        <f t="shared" si="128"/>
        <v>0</v>
      </c>
      <c r="AR84" s="40">
        <f t="shared" si="128"/>
        <v>0</v>
      </c>
      <c r="AS84" s="40">
        <f t="shared" si="128"/>
        <v>0</v>
      </c>
      <c r="AT84" s="40">
        <f t="shared" si="128"/>
        <v>0</v>
      </c>
      <c r="AU84" s="40">
        <f t="shared" si="128"/>
        <v>0</v>
      </c>
      <c r="AV84" s="40">
        <f t="shared" si="128"/>
        <v>0</v>
      </c>
      <c r="AW84" s="40">
        <f t="shared" si="128"/>
        <v>0</v>
      </c>
      <c r="AX84" s="40">
        <f t="shared" si="128"/>
        <v>0</v>
      </c>
      <c r="AY84" s="40">
        <f t="shared" si="128"/>
        <v>0</v>
      </c>
      <c r="AZ84" s="40">
        <f t="shared" si="128"/>
        <v>0</v>
      </c>
      <c r="BA84" s="40">
        <f t="shared" si="128"/>
        <v>0</v>
      </c>
      <c r="BB84" s="40">
        <f t="shared" si="128"/>
        <v>0</v>
      </c>
      <c r="BC84" s="40">
        <f t="shared" si="128"/>
        <v>0</v>
      </c>
      <c r="BD84" s="40">
        <f t="shared" si="128"/>
        <v>0</v>
      </c>
      <c r="BE84" s="40">
        <f t="shared" si="128"/>
        <v>155000</v>
      </c>
      <c r="BF84" s="40">
        <f t="shared" si="128"/>
        <v>25000</v>
      </c>
      <c r="BG84" s="40">
        <f t="shared" si="128"/>
        <v>160000</v>
      </c>
      <c r="BH84" s="40">
        <f t="shared" si="128"/>
        <v>1017000</v>
      </c>
      <c r="BI84" s="41">
        <f>SUM(BI83)</f>
        <v>1080500</v>
      </c>
      <c r="BJ84" s="40">
        <f t="shared" ref="BJ84" si="129">SUM(BJ83)</f>
        <v>1092000</v>
      </c>
      <c r="BK84" s="40">
        <f t="shared" si="128"/>
        <v>3529500</v>
      </c>
    </row>
    <row r="85" spans="1:63">
      <c r="A85" s="6" t="s">
        <v>172</v>
      </c>
      <c r="B85" s="22">
        <v>1</v>
      </c>
      <c r="C85" s="23" t="s">
        <v>173</v>
      </c>
      <c r="D85" s="24" t="s">
        <v>174</v>
      </c>
      <c r="E85" s="24" t="s">
        <v>172</v>
      </c>
      <c r="F85" s="24">
        <v>155000</v>
      </c>
      <c r="G85" s="24">
        <v>1164000</v>
      </c>
      <c r="H85" s="24">
        <f>110000+110000+330000+110000+80000</f>
        <v>740000</v>
      </c>
      <c r="I85" s="24">
        <f>20000+60000</f>
        <v>80000</v>
      </c>
      <c r="J85" s="24"/>
      <c r="K85" s="24"/>
      <c r="L85" s="24"/>
      <c r="M85" s="25">
        <f t="shared" ref="M85:M115" si="130">SUM(F85:L85)</f>
        <v>2139000</v>
      </c>
      <c r="N85" s="55">
        <v>290000</v>
      </c>
      <c r="O85" s="55">
        <v>2150000</v>
      </c>
      <c r="P85" s="55">
        <v>1650000</v>
      </c>
      <c r="Q85" s="55">
        <v>200000</v>
      </c>
      <c r="R85" s="24"/>
      <c r="S85" s="24"/>
      <c r="T85" s="24"/>
      <c r="U85" s="25">
        <f t="shared" ref="U85:U115" si="131">SUM(N85:T85)</f>
        <v>4290000</v>
      </c>
      <c r="V85" s="28"/>
      <c r="W85" s="28"/>
      <c r="X85" s="24">
        <v>590000</v>
      </c>
      <c r="Y85" s="50"/>
      <c r="Z85" s="50"/>
      <c r="AA85" s="50"/>
      <c r="AB85" s="50"/>
      <c r="AC85" s="25">
        <f t="shared" ref="AC85:AC115" si="132">SUM(V85:AB85)</f>
        <v>590000</v>
      </c>
      <c r="AD85" s="28">
        <v>195000</v>
      </c>
      <c r="AE85" s="47">
        <v>1676350</v>
      </c>
      <c r="AF85" s="47">
        <f>792000+30000</f>
        <v>822000</v>
      </c>
      <c r="AG85" s="49">
        <v>30000</v>
      </c>
      <c r="AH85" s="28"/>
      <c r="AI85" s="28"/>
      <c r="AJ85" s="28"/>
      <c r="AK85" s="29">
        <f t="shared" ref="AK85:AK115" si="133">SUM(AD85:AJ85)</f>
        <v>2723350</v>
      </c>
      <c r="AL85" s="47">
        <v>0</v>
      </c>
      <c r="AM85" s="28"/>
      <c r="AN85" s="28"/>
      <c r="AO85" s="28"/>
      <c r="AP85" s="29">
        <f t="shared" ref="AP85:AP115" si="134">SUM(AL85:AO85)</f>
        <v>0</v>
      </c>
      <c r="AQ85" s="49">
        <v>900000</v>
      </c>
      <c r="AR85" s="28">
        <f>300000+300000+300000+300000+200000</f>
        <v>1400000</v>
      </c>
      <c r="AS85" s="28">
        <f>1902000+765000</f>
        <v>2667000</v>
      </c>
      <c r="AT85" s="28">
        <f>255000+765000+510000+255000+255000+510000+255000</f>
        <v>2805000</v>
      </c>
      <c r="AU85" s="29">
        <f t="shared" ref="AU85:AU115" si="135">SUM(AQ85:AT85)</f>
        <v>7772000</v>
      </c>
      <c r="AV85" s="47"/>
      <c r="AW85" s="49">
        <f>100000+248400</f>
        <v>348400</v>
      </c>
      <c r="AX85" s="47"/>
      <c r="AY85" s="47"/>
      <c r="AZ85" s="28"/>
      <c r="BA85" s="28"/>
      <c r="BB85" s="28"/>
      <c r="BC85" s="29">
        <f t="shared" ref="BC85:BC115" si="136">SUM(AV85:BB85)</f>
        <v>348400</v>
      </c>
      <c r="BD85" s="24">
        <f t="shared" ref="BD85:BF115" si="137">F85+N85+V85+AD85+AV85</f>
        <v>640000</v>
      </c>
      <c r="BE85" s="24">
        <f t="shared" si="137"/>
        <v>5338750</v>
      </c>
      <c r="BF85" s="24">
        <f t="shared" si="137"/>
        <v>3802000</v>
      </c>
      <c r="BG85" s="24">
        <f t="shared" ref="BG85:BJ115" si="138">I85+Q85+Y85+AG85+AL85+AQ85+AY85</f>
        <v>1210000</v>
      </c>
      <c r="BH85" s="30">
        <f t="shared" si="138"/>
        <v>1400000</v>
      </c>
      <c r="BI85" s="30">
        <f t="shared" si="138"/>
        <v>2667000</v>
      </c>
      <c r="BJ85" s="30">
        <f t="shared" si="138"/>
        <v>2805000</v>
      </c>
      <c r="BK85" s="25">
        <f t="shared" ref="BK85:BK115" si="139">SUM(BD85:BJ85)</f>
        <v>17862750</v>
      </c>
    </row>
    <row r="86" spans="1:63">
      <c r="A86" s="32"/>
      <c r="B86" s="22">
        <v>2</v>
      </c>
      <c r="C86" s="23" t="s">
        <v>175</v>
      </c>
      <c r="D86" s="24" t="s">
        <v>176</v>
      </c>
      <c r="E86" s="24" t="s">
        <v>172</v>
      </c>
      <c r="F86" s="24"/>
      <c r="G86" s="24"/>
      <c r="H86" s="24">
        <v>155000</v>
      </c>
      <c r="I86" s="24">
        <f>156000+16000</f>
        <v>172000</v>
      </c>
      <c r="J86" s="24"/>
      <c r="K86" s="24"/>
      <c r="L86" s="24"/>
      <c r="M86" s="25">
        <f t="shared" si="130"/>
        <v>327000</v>
      </c>
      <c r="N86" s="55"/>
      <c r="O86" s="55"/>
      <c r="P86" s="55">
        <v>390000</v>
      </c>
      <c r="Q86" s="55"/>
      <c r="R86" s="24"/>
      <c r="S86" s="24"/>
      <c r="T86" s="24"/>
      <c r="U86" s="25">
        <f t="shared" si="131"/>
        <v>390000</v>
      </c>
      <c r="V86" s="28"/>
      <c r="W86" s="28"/>
      <c r="X86" s="24"/>
      <c r="Y86" s="28"/>
      <c r="Z86" s="28"/>
      <c r="AA86" s="28"/>
      <c r="AB86" s="28"/>
      <c r="AC86" s="25">
        <f t="shared" si="132"/>
        <v>0</v>
      </c>
      <c r="AD86" s="28"/>
      <c r="AE86" s="47">
        <v>195000</v>
      </c>
      <c r="AF86" s="47">
        <f>165550+208000</f>
        <v>373550</v>
      </c>
      <c r="AG86" s="49">
        <v>30000</v>
      </c>
      <c r="AH86" s="28"/>
      <c r="AI86" s="28"/>
      <c r="AJ86" s="28"/>
      <c r="AK86" s="29">
        <f t="shared" si="133"/>
        <v>598550</v>
      </c>
      <c r="AL86" s="47">
        <v>945000</v>
      </c>
      <c r="AM86" s="28">
        <f>315000+315000+315000</f>
        <v>945000</v>
      </c>
      <c r="AN86" s="28"/>
      <c r="AO86" s="28"/>
      <c r="AP86" s="29">
        <f t="shared" si="134"/>
        <v>1890000</v>
      </c>
      <c r="AQ86" s="47"/>
      <c r="AR86" s="28"/>
      <c r="AS86" s="28"/>
      <c r="AT86" s="28"/>
      <c r="AU86" s="29">
        <f t="shared" si="135"/>
        <v>0</v>
      </c>
      <c r="AV86" s="47"/>
      <c r="AW86" s="47"/>
      <c r="AX86" s="47"/>
      <c r="AY86" s="47"/>
      <c r="AZ86" s="28"/>
      <c r="BA86" s="28"/>
      <c r="BB86" s="28"/>
      <c r="BC86" s="29">
        <f t="shared" si="136"/>
        <v>0</v>
      </c>
      <c r="BD86" s="24">
        <f t="shared" si="137"/>
        <v>0</v>
      </c>
      <c r="BE86" s="24">
        <f t="shared" si="137"/>
        <v>195000</v>
      </c>
      <c r="BF86" s="24">
        <f t="shared" si="137"/>
        <v>918550</v>
      </c>
      <c r="BG86" s="24">
        <f t="shared" si="138"/>
        <v>1147000</v>
      </c>
      <c r="BH86" s="30">
        <f t="shared" si="138"/>
        <v>945000</v>
      </c>
      <c r="BI86" s="30">
        <f t="shared" si="138"/>
        <v>0</v>
      </c>
      <c r="BJ86" s="30">
        <f t="shared" si="138"/>
        <v>0</v>
      </c>
      <c r="BK86" s="25">
        <f t="shared" si="139"/>
        <v>3205550</v>
      </c>
    </row>
    <row r="87" spans="1:63">
      <c r="A87" s="32"/>
      <c r="B87" s="22">
        <v>3</v>
      </c>
      <c r="C87" s="23" t="s">
        <v>177</v>
      </c>
      <c r="D87" s="24" t="s">
        <v>178</v>
      </c>
      <c r="E87" s="24" t="s">
        <v>172</v>
      </c>
      <c r="F87" s="24"/>
      <c r="G87" s="24"/>
      <c r="H87" s="24"/>
      <c r="I87" s="24"/>
      <c r="J87" s="24"/>
      <c r="K87" s="24"/>
      <c r="L87" s="24"/>
      <c r="M87" s="25">
        <f t="shared" si="130"/>
        <v>0</v>
      </c>
      <c r="N87" s="55"/>
      <c r="O87" s="55"/>
      <c r="P87" s="55">
        <v>290000</v>
      </c>
      <c r="Q87" s="55">
        <v>-290000</v>
      </c>
      <c r="R87" s="24"/>
      <c r="S87" s="24"/>
      <c r="T87" s="24"/>
      <c r="U87" s="25">
        <f t="shared" si="131"/>
        <v>0</v>
      </c>
      <c r="V87" s="28"/>
      <c r="W87" s="28"/>
      <c r="X87" s="24"/>
      <c r="Y87" s="28"/>
      <c r="Z87" s="28"/>
      <c r="AA87" s="28"/>
      <c r="AB87" s="28"/>
      <c r="AC87" s="25">
        <f t="shared" si="132"/>
        <v>0</v>
      </c>
      <c r="AD87" s="28"/>
      <c r="AE87" s="47"/>
      <c r="AF87" s="47">
        <v>225000</v>
      </c>
      <c r="AG87" s="49">
        <v>963000</v>
      </c>
      <c r="AH87" s="28">
        <f>70000+630000+140000</f>
        <v>840000</v>
      </c>
      <c r="AI87" s="28">
        <f>1122400+289000+144500</f>
        <v>1555900</v>
      </c>
      <c r="AJ87" s="28">
        <v>1455000</v>
      </c>
      <c r="AK87" s="29">
        <f t="shared" si="133"/>
        <v>5038900</v>
      </c>
      <c r="AL87" s="47">
        <v>0</v>
      </c>
      <c r="AM87" s="28"/>
      <c r="AN87" s="28"/>
      <c r="AO87" s="28"/>
      <c r="AP87" s="29">
        <f t="shared" si="134"/>
        <v>0</v>
      </c>
      <c r="AQ87" s="47"/>
      <c r="AR87" s="28"/>
      <c r="AS87" s="28"/>
      <c r="AT87" s="28"/>
      <c r="AU87" s="29">
        <f t="shared" si="135"/>
        <v>0</v>
      </c>
      <c r="AV87" s="47"/>
      <c r="AW87" s="47"/>
      <c r="AX87" s="47"/>
      <c r="AY87" s="47"/>
      <c r="AZ87" s="28"/>
      <c r="BA87" s="28"/>
      <c r="BB87" s="28"/>
      <c r="BC87" s="29">
        <f t="shared" si="136"/>
        <v>0</v>
      </c>
      <c r="BD87" s="24">
        <f t="shared" si="137"/>
        <v>0</v>
      </c>
      <c r="BE87" s="24">
        <f t="shared" si="137"/>
        <v>0</v>
      </c>
      <c r="BF87" s="24">
        <f t="shared" si="137"/>
        <v>515000</v>
      </c>
      <c r="BG87" s="24">
        <f t="shared" si="138"/>
        <v>673000</v>
      </c>
      <c r="BH87" s="30">
        <f t="shared" si="138"/>
        <v>840000</v>
      </c>
      <c r="BI87" s="30">
        <f t="shared" si="138"/>
        <v>1555900</v>
      </c>
      <c r="BJ87" s="30">
        <f t="shared" si="138"/>
        <v>1455000</v>
      </c>
      <c r="BK87" s="25">
        <f t="shared" si="139"/>
        <v>5038900</v>
      </c>
    </row>
    <row r="88" spans="1:63">
      <c r="A88" s="32"/>
      <c r="B88" s="22">
        <v>4</v>
      </c>
      <c r="C88" s="23" t="s">
        <v>179</v>
      </c>
      <c r="D88" s="24" t="s">
        <v>180</v>
      </c>
      <c r="E88" s="24" t="s">
        <v>172</v>
      </c>
      <c r="F88" s="24"/>
      <c r="G88" s="24">
        <v>323000</v>
      </c>
      <c r="H88" s="24">
        <f>93500+55000+253000+71500+55000+20000+60000</f>
        <v>608000</v>
      </c>
      <c r="I88" s="24">
        <v>649000</v>
      </c>
      <c r="J88" s="24">
        <f>59500+147000+154000+157500</f>
        <v>518000</v>
      </c>
      <c r="K88" s="24">
        <f>808000+162000+81000</f>
        <v>1051000</v>
      </c>
      <c r="L88" s="24">
        <v>838000</v>
      </c>
      <c r="M88" s="25">
        <f t="shared" si="130"/>
        <v>3987000</v>
      </c>
      <c r="N88" s="24"/>
      <c r="O88" s="24"/>
      <c r="P88" s="24"/>
      <c r="Q88" s="24"/>
      <c r="R88" s="24"/>
      <c r="S88" s="24"/>
      <c r="T88" s="24"/>
      <c r="U88" s="25">
        <f t="shared" si="131"/>
        <v>0</v>
      </c>
      <c r="V88" s="28"/>
      <c r="W88" s="28"/>
      <c r="X88" s="24"/>
      <c r="Y88" s="28"/>
      <c r="Z88" s="28"/>
      <c r="AA88" s="28"/>
      <c r="AB88" s="28"/>
      <c r="AC88" s="25">
        <f t="shared" si="132"/>
        <v>0</v>
      </c>
      <c r="AD88" s="28"/>
      <c r="AE88" s="28"/>
      <c r="AF88" s="28"/>
      <c r="AG88" s="28"/>
      <c r="AH88" s="28"/>
      <c r="AI88" s="28"/>
      <c r="AJ88" s="28"/>
      <c r="AK88" s="29">
        <f t="shared" si="133"/>
        <v>0</v>
      </c>
      <c r="AL88" s="47">
        <v>0</v>
      </c>
      <c r="AM88" s="28"/>
      <c r="AN88" s="28"/>
      <c r="AO88" s="28"/>
      <c r="AP88" s="29">
        <f t="shared" si="134"/>
        <v>0</v>
      </c>
      <c r="AQ88" s="47"/>
      <c r="AR88" s="28"/>
      <c r="AS88" s="28"/>
      <c r="AT88" s="28"/>
      <c r="AU88" s="29">
        <f t="shared" si="135"/>
        <v>0</v>
      </c>
      <c r="AV88" s="47"/>
      <c r="AW88" s="47"/>
      <c r="AX88" s="47"/>
      <c r="AY88" s="47"/>
      <c r="AZ88" s="28"/>
      <c r="BA88" s="28"/>
      <c r="BB88" s="28"/>
      <c r="BC88" s="29">
        <f t="shared" si="136"/>
        <v>0</v>
      </c>
      <c r="BD88" s="24">
        <f t="shared" si="137"/>
        <v>0</v>
      </c>
      <c r="BE88" s="24">
        <f t="shared" si="137"/>
        <v>323000</v>
      </c>
      <c r="BF88" s="24">
        <f t="shared" si="137"/>
        <v>608000</v>
      </c>
      <c r="BG88" s="24">
        <f t="shared" si="138"/>
        <v>649000</v>
      </c>
      <c r="BH88" s="30">
        <f t="shared" si="138"/>
        <v>518000</v>
      </c>
      <c r="BI88" s="30">
        <f t="shared" si="138"/>
        <v>1051000</v>
      </c>
      <c r="BJ88" s="30">
        <f t="shared" si="138"/>
        <v>838000</v>
      </c>
      <c r="BK88" s="25">
        <f t="shared" si="139"/>
        <v>3987000</v>
      </c>
    </row>
    <row r="89" spans="1:63">
      <c r="A89" s="32"/>
      <c r="B89" s="22">
        <v>5</v>
      </c>
      <c r="C89" s="56" t="s">
        <v>181</v>
      </c>
      <c r="D89" s="57" t="s">
        <v>182</v>
      </c>
      <c r="E89" s="24" t="s">
        <v>172</v>
      </c>
      <c r="F89" s="24"/>
      <c r="G89" s="24"/>
      <c r="H89" s="24"/>
      <c r="I89" s="24"/>
      <c r="J89" s="24"/>
      <c r="K89" s="24"/>
      <c r="L89" s="24"/>
      <c r="M89" s="25">
        <f t="shared" si="130"/>
        <v>0</v>
      </c>
      <c r="N89" s="24"/>
      <c r="O89" s="24"/>
      <c r="P89" s="24"/>
      <c r="Q89" s="24"/>
      <c r="R89" s="24"/>
      <c r="S89" s="24"/>
      <c r="T89" s="24"/>
      <c r="U89" s="25">
        <f t="shared" si="131"/>
        <v>0</v>
      </c>
      <c r="V89" s="28"/>
      <c r="W89" s="28"/>
      <c r="X89" s="24">
        <v>290000</v>
      </c>
      <c r="Y89" s="28"/>
      <c r="Z89" s="28"/>
      <c r="AA89" s="28"/>
      <c r="AB89" s="28">
        <v>232000</v>
      </c>
      <c r="AC89" s="25">
        <f t="shared" si="132"/>
        <v>522000</v>
      </c>
      <c r="AD89" s="28"/>
      <c r="AE89" s="28"/>
      <c r="AF89" s="28"/>
      <c r="AG89" s="28"/>
      <c r="AH89" s="28"/>
      <c r="AI89" s="28"/>
      <c r="AJ89" s="28"/>
      <c r="AK89" s="29">
        <f t="shared" si="133"/>
        <v>0</v>
      </c>
      <c r="AL89" s="47">
        <v>0</v>
      </c>
      <c r="AM89" s="28"/>
      <c r="AN89" s="28"/>
      <c r="AO89" s="28"/>
      <c r="AP89" s="29">
        <f t="shared" si="134"/>
        <v>0</v>
      </c>
      <c r="AQ89" s="47"/>
      <c r="AR89" s="28"/>
      <c r="AS89" s="28"/>
      <c r="AT89" s="28"/>
      <c r="AU89" s="29">
        <f t="shared" si="135"/>
        <v>0</v>
      </c>
      <c r="AV89" s="47"/>
      <c r="AW89" s="47"/>
      <c r="AX89" s="47"/>
      <c r="AY89" s="47"/>
      <c r="AZ89" s="28"/>
      <c r="BA89" s="28"/>
      <c r="BB89" s="28"/>
      <c r="BC89" s="29">
        <f t="shared" si="136"/>
        <v>0</v>
      </c>
      <c r="BD89" s="24">
        <f t="shared" si="137"/>
        <v>0</v>
      </c>
      <c r="BE89" s="24">
        <f t="shared" si="137"/>
        <v>0</v>
      </c>
      <c r="BF89" s="24">
        <f t="shared" si="137"/>
        <v>290000</v>
      </c>
      <c r="BG89" s="24">
        <f t="shared" si="138"/>
        <v>0</v>
      </c>
      <c r="BH89" s="30">
        <f t="shared" si="138"/>
        <v>0</v>
      </c>
      <c r="BI89" s="30">
        <f t="shared" si="138"/>
        <v>0</v>
      </c>
      <c r="BJ89" s="30">
        <f t="shared" si="138"/>
        <v>232000</v>
      </c>
      <c r="BK89" s="25">
        <f t="shared" si="139"/>
        <v>522000</v>
      </c>
    </row>
    <row r="90" spans="1:63">
      <c r="A90" s="32"/>
      <c r="B90" s="22">
        <v>6</v>
      </c>
      <c r="C90" s="23" t="s">
        <v>183</v>
      </c>
      <c r="D90" s="24" t="s">
        <v>184</v>
      </c>
      <c r="E90" s="24" t="s">
        <v>172</v>
      </c>
      <c r="F90" s="24"/>
      <c r="G90" s="24"/>
      <c r="H90" s="24"/>
      <c r="I90" s="24"/>
      <c r="J90" s="24"/>
      <c r="K90" s="24"/>
      <c r="L90" s="24"/>
      <c r="M90" s="25">
        <f t="shared" si="130"/>
        <v>0</v>
      </c>
      <c r="N90" s="34"/>
      <c r="O90" s="34">
        <v>290000</v>
      </c>
      <c r="P90" s="34">
        <v>1620000</v>
      </c>
      <c r="Q90" s="34"/>
      <c r="R90" s="24"/>
      <c r="S90" s="24"/>
      <c r="T90" s="24"/>
      <c r="U90" s="25">
        <f t="shared" si="131"/>
        <v>1910000</v>
      </c>
      <c r="V90" s="28"/>
      <c r="W90" s="28"/>
      <c r="X90" s="28"/>
      <c r="Y90" s="28"/>
      <c r="Z90" s="28"/>
      <c r="AA90" s="28"/>
      <c r="AB90" s="28"/>
      <c r="AC90" s="25">
        <f t="shared" si="132"/>
        <v>0</v>
      </c>
      <c r="AD90" s="28"/>
      <c r="AE90" s="47">
        <v>616950</v>
      </c>
      <c r="AF90" s="47">
        <v>708100</v>
      </c>
      <c r="AG90" s="49">
        <v>898000</v>
      </c>
      <c r="AH90" s="28">
        <f>140000+210000+210000+210000+140000</f>
        <v>910000</v>
      </c>
      <c r="AI90" s="28">
        <f>863000+194000+97000</f>
        <v>1154000</v>
      </c>
      <c r="AJ90" s="28">
        <v>1262250</v>
      </c>
      <c r="AK90" s="29">
        <f t="shared" si="133"/>
        <v>5549300</v>
      </c>
      <c r="AL90" s="47">
        <v>0</v>
      </c>
      <c r="AM90" s="28"/>
      <c r="AN90" s="28"/>
      <c r="AO90" s="28"/>
      <c r="AP90" s="29">
        <f t="shared" si="134"/>
        <v>0</v>
      </c>
      <c r="AQ90" s="47"/>
      <c r="AR90" s="28"/>
      <c r="AS90" s="28"/>
      <c r="AT90" s="28"/>
      <c r="AU90" s="29">
        <f t="shared" si="135"/>
        <v>0</v>
      </c>
      <c r="AV90" s="47"/>
      <c r="AW90" s="47"/>
      <c r="AX90" s="47"/>
      <c r="AY90" s="47"/>
      <c r="AZ90" s="28"/>
      <c r="BA90" s="28"/>
      <c r="BB90" s="28"/>
      <c r="BC90" s="29">
        <f t="shared" si="136"/>
        <v>0</v>
      </c>
      <c r="BD90" s="24">
        <f t="shared" si="137"/>
        <v>0</v>
      </c>
      <c r="BE90" s="24">
        <f t="shared" si="137"/>
        <v>906950</v>
      </c>
      <c r="BF90" s="24">
        <f t="shared" si="137"/>
        <v>2328100</v>
      </c>
      <c r="BG90" s="24">
        <f t="shared" si="138"/>
        <v>898000</v>
      </c>
      <c r="BH90" s="30">
        <f t="shared" si="138"/>
        <v>910000</v>
      </c>
      <c r="BI90" s="30">
        <f t="shared" si="138"/>
        <v>1154000</v>
      </c>
      <c r="BJ90" s="30">
        <f t="shared" si="138"/>
        <v>1262250</v>
      </c>
      <c r="BK90" s="25">
        <f t="shared" si="139"/>
        <v>7459300</v>
      </c>
    </row>
    <row r="91" spans="1:63" ht="47.25">
      <c r="A91" s="32"/>
      <c r="B91" s="22">
        <v>7</v>
      </c>
      <c r="C91" s="23" t="s">
        <v>185</v>
      </c>
      <c r="D91" s="24" t="s">
        <v>186</v>
      </c>
      <c r="E91" s="24" t="s">
        <v>172</v>
      </c>
      <c r="F91" s="24"/>
      <c r="G91" s="24">
        <v>287500</v>
      </c>
      <c r="H91" s="24">
        <f>137000+74000+352000</f>
        <v>563000</v>
      </c>
      <c r="I91" s="24"/>
      <c r="J91" s="24"/>
      <c r="K91" s="24"/>
      <c r="L91" s="24"/>
      <c r="M91" s="25">
        <f t="shared" si="130"/>
        <v>850500</v>
      </c>
      <c r="N91" s="34"/>
      <c r="O91" s="34">
        <v>410000</v>
      </c>
      <c r="P91" s="34">
        <v>940000</v>
      </c>
      <c r="Q91" s="34">
        <v>400000</v>
      </c>
      <c r="R91" s="24"/>
      <c r="S91" s="24"/>
      <c r="T91" s="24"/>
      <c r="U91" s="25">
        <f t="shared" si="131"/>
        <v>1750000</v>
      </c>
      <c r="V91" s="28"/>
      <c r="W91" s="28"/>
      <c r="X91" s="28"/>
      <c r="Y91" s="28"/>
      <c r="Z91" s="28"/>
      <c r="AA91" s="28"/>
      <c r="AB91" s="28"/>
      <c r="AC91" s="25">
        <f t="shared" si="132"/>
        <v>0</v>
      </c>
      <c r="AD91" s="28"/>
      <c r="AE91" s="28"/>
      <c r="AF91" s="47">
        <v>350200</v>
      </c>
      <c r="AG91" s="49">
        <v>1040000</v>
      </c>
      <c r="AH91" s="28">
        <f>70000+210000+210000+210000+140000</f>
        <v>840000</v>
      </c>
      <c r="AI91" s="28">
        <f>860500+194000+97000</f>
        <v>1151500</v>
      </c>
      <c r="AJ91" s="28">
        <v>1164000</v>
      </c>
      <c r="AK91" s="29">
        <f t="shared" si="133"/>
        <v>4545700</v>
      </c>
      <c r="AL91" s="47">
        <v>0</v>
      </c>
      <c r="AM91" s="28"/>
      <c r="AN91" s="28"/>
      <c r="AO91" s="28"/>
      <c r="AP91" s="29">
        <f t="shared" si="134"/>
        <v>0</v>
      </c>
      <c r="AQ91" s="47"/>
      <c r="AR91" s="28"/>
      <c r="AS91" s="28"/>
      <c r="AT91" s="28"/>
      <c r="AU91" s="29">
        <f t="shared" si="135"/>
        <v>0</v>
      </c>
      <c r="AV91" s="47"/>
      <c r="AW91" s="47"/>
      <c r="AX91" s="47"/>
      <c r="AY91" s="47"/>
      <c r="AZ91" s="28"/>
      <c r="BA91" s="28"/>
      <c r="BB91" s="28"/>
      <c r="BC91" s="29">
        <f t="shared" si="136"/>
        <v>0</v>
      </c>
      <c r="BD91" s="24">
        <f t="shared" si="137"/>
        <v>0</v>
      </c>
      <c r="BE91" s="24">
        <f t="shared" si="137"/>
        <v>697500</v>
      </c>
      <c r="BF91" s="24">
        <f t="shared" si="137"/>
        <v>1853200</v>
      </c>
      <c r="BG91" s="24">
        <f t="shared" si="138"/>
        <v>1440000</v>
      </c>
      <c r="BH91" s="30">
        <f t="shared" si="138"/>
        <v>840000</v>
      </c>
      <c r="BI91" s="30">
        <f t="shared" si="138"/>
        <v>1151500</v>
      </c>
      <c r="BJ91" s="30">
        <f t="shared" si="138"/>
        <v>1164000</v>
      </c>
      <c r="BK91" s="25">
        <f t="shared" si="139"/>
        <v>7146200</v>
      </c>
    </row>
    <row r="92" spans="1:63" ht="31.5">
      <c r="A92" s="32"/>
      <c r="B92" s="22">
        <v>8</v>
      </c>
      <c r="C92" s="23" t="s">
        <v>187</v>
      </c>
      <c r="D92" s="24" t="s">
        <v>180</v>
      </c>
      <c r="E92" s="24" t="s">
        <v>172</v>
      </c>
      <c r="F92" s="24">
        <v>155000</v>
      </c>
      <c r="G92" s="24">
        <v>490500</v>
      </c>
      <c r="H92" s="24">
        <f>93500+99000+396000+99000</f>
        <v>687500</v>
      </c>
      <c r="I92" s="24">
        <f>60000+20000+20000</f>
        <v>100000</v>
      </c>
      <c r="J92" s="24"/>
      <c r="K92" s="24"/>
      <c r="L92" s="24"/>
      <c r="M92" s="25">
        <f t="shared" si="130"/>
        <v>1433000</v>
      </c>
      <c r="N92" s="24"/>
      <c r="O92" s="24"/>
      <c r="P92" s="24"/>
      <c r="Q92" s="24"/>
      <c r="R92" s="24"/>
      <c r="S92" s="24"/>
      <c r="T92" s="24"/>
      <c r="U92" s="25">
        <f t="shared" si="131"/>
        <v>0</v>
      </c>
      <c r="V92" s="28"/>
      <c r="W92" s="28"/>
      <c r="X92" s="28"/>
      <c r="Y92" s="28"/>
      <c r="Z92" s="28"/>
      <c r="AA92" s="28"/>
      <c r="AB92" s="28"/>
      <c r="AC92" s="25">
        <f t="shared" si="132"/>
        <v>0</v>
      </c>
      <c r="AD92" s="28">
        <v>195000</v>
      </c>
      <c r="AE92" s="47">
        <v>662850</v>
      </c>
      <c r="AF92" s="47">
        <v>522700</v>
      </c>
      <c r="AG92" s="49">
        <v>144000</v>
      </c>
      <c r="AH92" s="28"/>
      <c r="AI92" s="28"/>
      <c r="AJ92" s="28"/>
      <c r="AK92" s="29">
        <f t="shared" si="133"/>
        <v>1524550</v>
      </c>
      <c r="AL92" s="47">
        <v>781000</v>
      </c>
      <c r="AM92" s="28">
        <f>71000+212000+185500+175500+128500</f>
        <v>772500</v>
      </c>
      <c r="AN92" s="28">
        <f>923900+175000+87000</f>
        <v>1185900</v>
      </c>
      <c r="AO92" s="28">
        <v>992120</v>
      </c>
      <c r="AP92" s="29">
        <f t="shared" si="134"/>
        <v>3731520</v>
      </c>
      <c r="AQ92" s="47"/>
      <c r="AR92" s="28"/>
      <c r="AS92" s="28"/>
      <c r="AT92" s="28"/>
      <c r="AU92" s="29">
        <f t="shared" si="135"/>
        <v>0</v>
      </c>
      <c r="AV92" s="47"/>
      <c r="AW92" s="47"/>
      <c r="AX92" s="47"/>
      <c r="AY92" s="47"/>
      <c r="AZ92" s="28"/>
      <c r="BA92" s="28"/>
      <c r="BB92" s="28"/>
      <c r="BC92" s="29">
        <f t="shared" si="136"/>
        <v>0</v>
      </c>
      <c r="BD92" s="24">
        <f t="shared" si="137"/>
        <v>350000</v>
      </c>
      <c r="BE92" s="24">
        <f t="shared" si="137"/>
        <v>1153350</v>
      </c>
      <c r="BF92" s="24">
        <f t="shared" si="137"/>
        <v>1210200</v>
      </c>
      <c r="BG92" s="24">
        <f t="shared" si="138"/>
        <v>1025000</v>
      </c>
      <c r="BH92" s="30">
        <f t="shared" si="138"/>
        <v>772500</v>
      </c>
      <c r="BI92" s="30">
        <f t="shared" si="138"/>
        <v>1185900</v>
      </c>
      <c r="BJ92" s="30">
        <f t="shared" si="138"/>
        <v>992120</v>
      </c>
      <c r="BK92" s="25">
        <f t="shared" si="139"/>
        <v>6689070</v>
      </c>
    </row>
    <row r="93" spans="1:63">
      <c r="A93" s="32"/>
      <c r="B93" s="22">
        <v>9</v>
      </c>
      <c r="C93" s="23" t="s">
        <v>188</v>
      </c>
      <c r="D93" s="24" t="s">
        <v>189</v>
      </c>
      <c r="E93" s="24" t="s">
        <v>172</v>
      </c>
      <c r="F93" s="24"/>
      <c r="G93" s="24">
        <v>804000</v>
      </c>
      <c r="H93" s="24">
        <f>99000+99000+297000</f>
        <v>495000</v>
      </c>
      <c r="I93" s="24">
        <f>20000+160000</f>
        <v>180000</v>
      </c>
      <c r="J93" s="24"/>
      <c r="K93" s="24"/>
      <c r="L93" s="24"/>
      <c r="M93" s="25">
        <f t="shared" si="130"/>
        <v>1479000</v>
      </c>
      <c r="N93" s="34"/>
      <c r="O93" s="34">
        <v>1050000</v>
      </c>
      <c r="P93" s="34">
        <v>760000</v>
      </c>
      <c r="Q93" s="34">
        <v>1025000</v>
      </c>
      <c r="R93" s="24">
        <f>225000+225000+225000+225000+150000</f>
        <v>1050000</v>
      </c>
      <c r="S93" s="24">
        <f>1575000+560000</f>
        <v>2135000</v>
      </c>
      <c r="T93" s="24">
        <f>570000+550000+350000+300000+300000+150000</f>
        <v>2220000</v>
      </c>
      <c r="U93" s="25">
        <f t="shared" si="131"/>
        <v>8240000</v>
      </c>
      <c r="V93" s="28"/>
      <c r="W93" s="28"/>
      <c r="X93" s="28"/>
      <c r="Y93" s="28"/>
      <c r="Z93" s="28"/>
      <c r="AA93" s="28"/>
      <c r="AB93" s="28"/>
      <c r="AC93" s="25">
        <f t="shared" si="132"/>
        <v>0</v>
      </c>
      <c r="AD93" s="28"/>
      <c r="AE93" s="47">
        <v>1339600</v>
      </c>
      <c r="AF93" s="47">
        <v>582000</v>
      </c>
      <c r="AG93" s="49">
        <v>270000</v>
      </c>
      <c r="AH93" s="28"/>
      <c r="AI93" s="28"/>
      <c r="AJ93" s="28"/>
      <c r="AK93" s="29">
        <f t="shared" si="133"/>
        <v>2191600</v>
      </c>
      <c r="AL93" s="47">
        <v>0</v>
      </c>
      <c r="AM93" s="28"/>
      <c r="AN93" s="28"/>
      <c r="AO93" s="28"/>
      <c r="AP93" s="29">
        <f t="shared" si="134"/>
        <v>0</v>
      </c>
      <c r="AQ93" s="47"/>
      <c r="AR93" s="28"/>
      <c r="AS93" s="28"/>
      <c r="AT93" s="28"/>
      <c r="AU93" s="29">
        <f t="shared" si="135"/>
        <v>0</v>
      </c>
      <c r="AV93" s="47"/>
      <c r="AW93" s="47"/>
      <c r="AX93" s="47">
        <v>366800</v>
      </c>
      <c r="AY93" s="47"/>
      <c r="AZ93" s="28"/>
      <c r="BA93" s="28"/>
      <c r="BB93" s="28"/>
      <c r="BC93" s="29">
        <f t="shared" si="136"/>
        <v>366800</v>
      </c>
      <c r="BD93" s="24">
        <f t="shared" si="137"/>
        <v>0</v>
      </c>
      <c r="BE93" s="24">
        <f t="shared" si="137"/>
        <v>3193600</v>
      </c>
      <c r="BF93" s="24">
        <f t="shared" si="137"/>
        <v>2203800</v>
      </c>
      <c r="BG93" s="24">
        <f t="shared" si="138"/>
        <v>1475000</v>
      </c>
      <c r="BH93" s="30">
        <f t="shared" si="138"/>
        <v>1050000</v>
      </c>
      <c r="BI93" s="30">
        <f t="shared" si="138"/>
        <v>2135000</v>
      </c>
      <c r="BJ93" s="30">
        <f t="shared" si="138"/>
        <v>2220000</v>
      </c>
      <c r="BK93" s="25">
        <f t="shared" si="139"/>
        <v>12277400</v>
      </c>
    </row>
    <row r="94" spans="1:63" ht="31.5">
      <c r="A94" s="32"/>
      <c r="B94" s="22">
        <v>10</v>
      </c>
      <c r="C94" s="23" t="s">
        <v>190</v>
      </c>
      <c r="D94" s="24" t="s">
        <v>182</v>
      </c>
      <c r="E94" s="24" t="s">
        <v>172</v>
      </c>
      <c r="F94" s="24"/>
      <c r="G94" s="24">
        <v>155000</v>
      </c>
      <c r="H94" s="24">
        <v>151000</v>
      </c>
      <c r="I94" s="24"/>
      <c r="J94" s="24"/>
      <c r="K94" s="24"/>
      <c r="L94" s="24"/>
      <c r="M94" s="25">
        <f t="shared" si="130"/>
        <v>306000</v>
      </c>
      <c r="N94" s="24"/>
      <c r="O94" s="24"/>
      <c r="P94" s="24"/>
      <c r="Q94" s="24"/>
      <c r="R94" s="24"/>
      <c r="S94" s="24"/>
      <c r="T94" s="24"/>
      <c r="U94" s="25">
        <f t="shared" si="131"/>
        <v>0</v>
      </c>
      <c r="V94" s="28"/>
      <c r="W94" s="28"/>
      <c r="X94" s="28"/>
      <c r="Y94" s="28"/>
      <c r="Z94" s="28"/>
      <c r="AA94" s="28"/>
      <c r="AB94" s="28"/>
      <c r="AC94" s="25">
        <f t="shared" si="132"/>
        <v>0</v>
      </c>
      <c r="AD94" s="28"/>
      <c r="AE94" s="28"/>
      <c r="AF94" s="28"/>
      <c r="AG94" s="28"/>
      <c r="AH94" s="28"/>
      <c r="AI94" s="28"/>
      <c r="AJ94" s="28"/>
      <c r="AK94" s="29">
        <f t="shared" si="133"/>
        <v>0</v>
      </c>
      <c r="AL94" s="49">
        <v>0</v>
      </c>
      <c r="AM94" s="28"/>
      <c r="AN94" s="28"/>
      <c r="AO94" s="28"/>
      <c r="AP94" s="29">
        <f t="shared" si="134"/>
        <v>0</v>
      </c>
      <c r="AQ94" s="49"/>
      <c r="AR94" s="28"/>
      <c r="AS94" s="28"/>
      <c r="AT94" s="28"/>
      <c r="AU94" s="29">
        <f t="shared" si="135"/>
        <v>0</v>
      </c>
      <c r="AV94" s="49"/>
      <c r="AW94" s="49"/>
      <c r="AX94" s="49"/>
      <c r="AY94" s="49"/>
      <c r="AZ94" s="28"/>
      <c r="BA94" s="28"/>
      <c r="BB94" s="28"/>
      <c r="BC94" s="29">
        <f t="shared" si="136"/>
        <v>0</v>
      </c>
      <c r="BD94" s="24">
        <f t="shared" si="137"/>
        <v>0</v>
      </c>
      <c r="BE94" s="24">
        <f t="shared" si="137"/>
        <v>155000</v>
      </c>
      <c r="BF94" s="24">
        <f t="shared" si="137"/>
        <v>151000</v>
      </c>
      <c r="BG94" s="24">
        <f t="shared" si="138"/>
        <v>0</v>
      </c>
      <c r="BH94" s="30">
        <f t="shared" si="138"/>
        <v>0</v>
      </c>
      <c r="BI94" s="30">
        <f t="shared" si="138"/>
        <v>0</v>
      </c>
      <c r="BJ94" s="30">
        <f t="shared" si="138"/>
        <v>0</v>
      </c>
      <c r="BK94" s="25">
        <f t="shared" si="139"/>
        <v>306000</v>
      </c>
    </row>
    <row r="95" spans="1:63">
      <c r="A95" s="32"/>
      <c r="B95" s="22">
        <v>11</v>
      </c>
      <c r="C95" s="23" t="s">
        <v>191</v>
      </c>
      <c r="D95" s="24" t="s">
        <v>192</v>
      </c>
      <c r="E95" s="24" t="s">
        <v>172</v>
      </c>
      <c r="F95" s="24"/>
      <c r="G95" s="24">
        <v>155000</v>
      </c>
      <c r="H95" s="24">
        <v>154000</v>
      </c>
      <c r="I95" s="24"/>
      <c r="J95" s="24"/>
      <c r="K95" s="24"/>
      <c r="L95" s="24"/>
      <c r="M95" s="25">
        <f t="shared" si="130"/>
        <v>309000</v>
      </c>
      <c r="N95" s="34"/>
      <c r="O95" s="34">
        <v>790000</v>
      </c>
      <c r="P95" s="34">
        <v>1260000</v>
      </c>
      <c r="Q95" s="34">
        <v>975000</v>
      </c>
      <c r="R95" s="24">
        <f>215000+225000+225000+225000+150000</f>
        <v>1040000</v>
      </c>
      <c r="S95" s="24">
        <v>2195000</v>
      </c>
      <c r="T95" s="24">
        <f>600000+600000+600000+200000+200000</f>
        <v>2200000</v>
      </c>
      <c r="U95" s="25">
        <f t="shared" si="131"/>
        <v>8460000</v>
      </c>
      <c r="V95" s="28"/>
      <c r="W95" s="28"/>
      <c r="X95" s="28"/>
      <c r="Y95" s="28"/>
      <c r="Z95" s="28"/>
      <c r="AA95" s="28"/>
      <c r="AB95" s="28"/>
      <c r="AC95" s="25">
        <f t="shared" si="132"/>
        <v>0</v>
      </c>
      <c r="AD95" s="28"/>
      <c r="AE95" s="47">
        <v>447200</v>
      </c>
      <c r="AF95" s="47">
        <v>504400</v>
      </c>
      <c r="AG95" s="49">
        <v>270000</v>
      </c>
      <c r="AH95" s="28"/>
      <c r="AI95" s="28"/>
      <c r="AJ95" s="28"/>
      <c r="AK95" s="29">
        <f t="shared" si="133"/>
        <v>1221600</v>
      </c>
      <c r="AL95" s="47">
        <v>0</v>
      </c>
      <c r="AM95" s="28"/>
      <c r="AN95" s="28"/>
      <c r="AO95" s="28"/>
      <c r="AP95" s="29">
        <f t="shared" si="134"/>
        <v>0</v>
      </c>
      <c r="AQ95" s="47"/>
      <c r="AR95" s="28"/>
      <c r="AS95" s="28"/>
      <c r="AT95" s="28"/>
      <c r="AU95" s="29">
        <f t="shared" si="135"/>
        <v>0</v>
      </c>
      <c r="AV95" s="47"/>
      <c r="AW95" s="47"/>
      <c r="AX95" s="47"/>
      <c r="AY95" s="47"/>
      <c r="AZ95" s="28"/>
      <c r="BA95" s="28"/>
      <c r="BB95" s="28"/>
      <c r="BC95" s="29">
        <f t="shared" si="136"/>
        <v>0</v>
      </c>
      <c r="BD95" s="24">
        <f t="shared" si="137"/>
        <v>0</v>
      </c>
      <c r="BE95" s="24">
        <f t="shared" si="137"/>
        <v>1392200</v>
      </c>
      <c r="BF95" s="24">
        <f t="shared" si="137"/>
        <v>1918400</v>
      </c>
      <c r="BG95" s="24">
        <f t="shared" si="138"/>
        <v>1245000</v>
      </c>
      <c r="BH95" s="30">
        <f t="shared" si="138"/>
        <v>1040000</v>
      </c>
      <c r="BI95" s="30">
        <f t="shared" si="138"/>
        <v>2195000</v>
      </c>
      <c r="BJ95" s="30">
        <f t="shared" si="138"/>
        <v>2200000</v>
      </c>
      <c r="BK95" s="25">
        <f t="shared" si="139"/>
        <v>9990600</v>
      </c>
    </row>
    <row r="96" spans="1:63">
      <c r="A96" s="32"/>
      <c r="B96" s="22">
        <v>12</v>
      </c>
      <c r="C96" s="23" t="s">
        <v>193</v>
      </c>
      <c r="D96" s="24" t="s">
        <v>182</v>
      </c>
      <c r="E96" s="24" t="s">
        <v>172</v>
      </c>
      <c r="F96" s="24"/>
      <c r="G96" s="24">
        <v>512500</v>
      </c>
      <c r="H96" s="24">
        <f>104500+110000+110000</f>
        <v>324500</v>
      </c>
      <c r="I96" s="24">
        <v>200000</v>
      </c>
      <c r="J96" s="24"/>
      <c r="K96" s="24"/>
      <c r="L96" s="24"/>
      <c r="M96" s="25">
        <f t="shared" si="130"/>
        <v>1037000</v>
      </c>
      <c r="N96" s="34"/>
      <c r="O96" s="34">
        <v>1300000</v>
      </c>
      <c r="P96" s="34">
        <v>1480000</v>
      </c>
      <c r="Q96" s="34">
        <v>250000</v>
      </c>
      <c r="R96" s="24"/>
      <c r="S96" s="24"/>
      <c r="T96" s="24"/>
      <c r="U96" s="25">
        <f t="shared" si="131"/>
        <v>3030000</v>
      </c>
      <c r="V96" s="28"/>
      <c r="W96" s="28">
        <v>290000</v>
      </c>
      <c r="X96" s="28"/>
      <c r="Y96" s="48">
        <v>1072000</v>
      </c>
      <c r="Z96" s="48"/>
      <c r="AA96" s="48"/>
      <c r="AB96" s="48"/>
      <c r="AC96" s="25">
        <f t="shared" si="132"/>
        <v>1362000</v>
      </c>
      <c r="AD96" s="28"/>
      <c r="AE96" s="47">
        <v>943600</v>
      </c>
      <c r="AF96" s="28">
        <v>780850</v>
      </c>
      <c r="AG96" s="28">
        <v>150000</v>
      </c>
      <c r="AH96" s="28"/>
      <c r="AI96" s="28"/>
      <c r="AJ96" s="28"/>
      <c r="AK96" s="29">
        <f t="shared" si="133"/>
        <v>1874450</v>
      </c>
      <c r="AL96" s="47">
        <v>0</v>
      </c>
      <c r="AM96" s="28"/>
      <c r="AN96" s="28"/>
      <c r="AO96" s="28"/>
      <c r="AP96" s="29">
        <f t="shared" si="134"/>
        <v>0</v>
      </c>
      <c r="AQ96" s="49">
        <v>900000</v>
      </c>
      <c r="AR96" s="28">
        <f>300000+300000+300000+300000+200000</f>
        <v>1400000</v>
      </c>
      <c r="AS96" s="28">
        <f>2072000+765000</f>
        <v>2837000</v>
      </c>
      <c r="AT96" s="28">
        <f>255000+503000+755000+510000+765000</f>
        <v>2788000</v>
      </c>
      <c r="AU96" s="29">
        <f t="shared" si="135"/>
        <v>7925000</v>
      </c>
      <c r="AV96" s="47"/>
      <c r="AW96" s="47">
        <v>100000</v>
      </c>
      <c r="AX96" s="47">
        <v>276000</v>
      </c>
      <c r="AY96" s="47"/>
      <c r="AZ96" s="28"/>
      <c r="BA96" s="28"/>
      <c r="BB96" s="28"/>
      <c r="BC96" s="29">
        <f t="shared" si="136"/>
        <v>376000</v>
      </c>
      <c r="BD96" s="24">
        <f t="shared" si="137"/>
        <v>0</v>
      </c>
      <c r="BE96" s="24">
        <f t="shared" si="137"/>
        <v>3146100</v>
      </c>
      <c r="BF96" s="24">
        <f t="shared" si="137"/>
        <v>2861350</v>
      </c>
      <c r="BG96" s="24">
        <f t="shared" si="138"/>
        <v>2572000</v>
      </c>
      <c r="BH96" s="30">
        <f t="shared" si="138"/>
        <v>1400000</v>
      </c>
      <c r="BI96" s="30">
        <f t="shared" si="138"/>
        <v>2837000</v>
      </c>
      <c r="BJ96" s="30">
        <f t="shared" si="138"/>
        <v>2788000</v>
      </c>
      <c r="BK96" s="25">
        <f t="shared" si="139"/>
        <v>15604450</v>
      </c>
    </row>
    <row r="97" spans="1:63">
      <c r="A97" s="32"/>
      <c r="B97" s="22">
        <v>13</v>
      </c>
      <c r="C97" s="23" t="s">
        <v>194</v>
      </c>
      <c r="D97" s="24" t="s">
        <v>189</v>
      </c>
      <c r="E97" s="24" t="s">
        <v>172</v>
      </c>
      <c r="F97" s="24"/>
      <c r="G97" s="24"/>
      <c r="H97" s="24"/>
      <c r="I97" s="24"/>
      <c r="J97" s="24"/>
      <c r="K97" s="24"/>
      <c r="L97" s="24"/>
      <c r="M97" s="25">
        <f t="shared" si="130"/>
        <v>0</v>
      </c>
      <c r="N97" s="34"/>
      <c r="O97" s="34">
        <v>1210000</v>
      </c>
      <c r="P97" s="34">
        <v>1000000</v>
      </c>
      <c r="Q97" s="34">
        <v>1075000</v>
      </c>
      <c r="R97" s="24">
        <f>225000+225000+225000+225000</f>
        <v>900000</v>
      </c>
      <c r="S97" s="24">
        <f>1715000+600000</f>
        <v>2315000</v>
      </c>
      <c r="T97" s="24">
        <f>800000+400000+200000+200000+400000+200000+200000</f>
        <v>2400000</v>
      </c>
      <c r="U97" s="25">
        <f t="shared" si="131"/>
        <v>8900000</v>
      </c>
      <c r="V97" s="28"/>
      <c r="W97" s="28"/>
      <c r="X97" s="28"/>
      <c r="Y97" s="28"/>
      <c r="Z97" s="28"/>
      <c r="AA97" s="28"/>
      <c r="AB97" s="28"/>
      <c r="AC97" s="25">
        <f t="shared" si="132"/>
        <v>0</v>
      </c>
      <c r="AD97" s="28"/>
      <c r="AE97" s="47">
        <v>801250</v>
      </c>
      <c r="AF97" s="47">
        <v>582000</v>
      </c>
      <c r="AG97" s="49">
        <v>270000</v>
      </c>
      <c r="AH97" s="28"/>
      <c r="AI97" s="28"/>
      <c r="AJ97" s="28"/>
      <c r="AK97" s="29">
        <f t="shared" si="133"/>
        <v>1653250</v>
      </c>
      <c r="AL97" s="47">
        <v>0</v>
      </c>
      <c r="AM97" s="28"/>
      <c r="AN97" s="28"/>
      <c r="AO97" s="28"/>
      <c r="AP97" s="29">
        <f t="shared" si="134"/>
        <v>0</v>
      </c>
      <c r="AQ97" s="47"/>
      <c r="AR97" s="28"/>
      <c r="AS97" s="28"/>
      <c r="AT97" s="28"/>
      <c r="AU97" s="29">
        <f t="shared" si="135"/>
        <v>0</v>
      </c>
      <c r="AV97" s="47"/>
      <c r="AW97" s="47"/>
      <c r="AX97" s="47"/>
      <c r="AY97" s="47"/>
      <c r="AZ97" s="28"/>
      <c r="BA97" s="28"/>
      <c r="BB97" s="28"/>
      <c r="BC97" s="29">
        <f t="shared" si="136"/>
        <v>0</v>
      </c>
      <c r="BD97" s="24">
        <f t="shared" si="137"/>
        <v>0</v>
      </c>
      <c r="BE97" s="24">
        <f t="shared" si="137"/>
        <v>2011250</v>
      </c>
      <c r="BF97" s="24">
        <f t="shared" si="137"/>
        <v>1582000</v>
      </c>
      <c r="BG97" s="24">
        <f t="shared" si="138"/>
        <v>1345000</v>
      </c>
      <c r="BH97" s="30">
        <f t="shared" si="138"/>
        <v>900000</v>
      </c>
      <c r="BI97" s="30">
        <f t="shared" si="138"/>
        <v>2315000</v>
      </c>
      <c r="BJ97" s="30">
        <f t="shared" si="138"/>
        <v>2400000</v>
      </c>
      <c r="BK97" s="25">
        <f t="shared" si="139"/>
        <v>10553250</v>
      </c>
    </row>
    <row r="98" spans="1:63" ht="31.5">
      <c r="A98" s="32"/>
      <c r="B98" s="22">
        <v>14</v>
      </c>
      <c r="C98" s="23" t="s">
        <v>195</v>
      </c>
      <c r="D98" s="24" t="s">
        <v>180</v>
      </c>
      <c r="E98" s="24" t="s">
        <v>172</v>
      </c>
      <c r="F98" s="24"/>
      <c r="G98" s="24"/>
      <c r="H98" s="24"/>
      <c r="I98" s="24"/>
      <c r="J98" s="24"/>
      <c r="K98" s="24"/>
      <c r="L98" s="24"/>
      <c r="M98" s="25">
        <f t="shared" si="130"/>
        <v>0</v>
      </c>
      <c r="N98" s="24"/>
      <c r="O98" s="24"/>
      <c r="P98" s="24"/>
      <c r="Q98" s="24"/>
      <c r="R98" s="24"/>
      <c r="S98" s="24"/>
      <c r="T98" s="24"/>
      <c r="U98" s="25">
        <f t="shared" si="131"/>
        <v>0</v>
      </c>
      <c r="V98" s="28"/>
      <c r="W98" s="28"/>
      <c r="X98" s="28"/>
      <c r="Y98" s="28"/>
      <c r="Z98" s="28"/>
      <c r="AA98" s="28"/>
      <c r="AB98" s="28"/>
      <c r="AC98" s="25">
        <f t="shared" si="132"/>
        <v>0</v>
      </c>
      <c r="AD98" s="28"/>
      <c r="AE98" s="47"/>
      <c r="AF98" s="47">
        <v>680900</v>
      </c>
      <c r="AG98" s="49">
        <v>150000</v>
      </c>
      <c r="AH98" s="28"/>
      <c r="AI98" s="28"/>
      <c r="AJ98" s="28"/>
      <c r="AK98" s="29">
        <f t="shared" si="133"/>
        <v>830900</v>
      </c>
      <c r="AL98" s="47">
        <v>0</v>
      </c>
      <c r="AM98" s="28"/>
      <c r="AN98" s="28"/>
      <c r="AO98" s="28"/>
      <c r="AP98" s="29">
        <f t="shared" si="134"/>
        <v>0</v>
      </c>
      <c r="AQ98" s="47"/>
      <c r="AR98" s="28"/>
      <c r="AS98" s="28"/>
      <c r="AT98" s="28"/>
      <c r="AU98" s="29">
        <f t="shared" si="135"/>
        <v>0</v>
      </c>
      <c r="AV98" s="47"/>
      <c r="AW98" s="47"/>
      <c r="AX98" s="47"/>
      <c r="AY98" s="47"/>
      <c r="AZ98" s="28"/>
      <c r="BA98" s="28"/>
      <c r="BB98" s="28"/>
      <c r="BC98" s="29">
        <f t="shared" si="136"/>
        <v>0</v>
      </c>
      <c r="BD98" s="24">
        <f t="shared" si="137"/>
        <v>0</v>
      </c>
      <c r="BE98" s="24">
        <f t="shared" si="137"/>
        <v>0</v>
      </c>
      <c r="BF98" s="24">
        <f t="shared" si="137"/>
        <v>680900</v>
      </c>
      <c r="BG98" s="24">
        <f t="shared" si="138"/>
        <v>150000</v>
      </c>
      <c r="BH98" s="30">
        <f t="shared" si="138"/>
        <v>0</v>
      </c>
      <c r="BI98" s="30">
        <f t="shared" si="138"/>
        <v>0</v>
      </c>
      <c r="BJ98" s="30">
        <f t="shared" si="138"/>
        <v>0</v>
      </c>
      <c r="BK98" s="25">
        <f t="shared" si="139"/>
        <v>830900</v>
      </c>
    </row>
    <row r="99" spans="1:63">
      <c r="A99" s="32"/>
      <c r="B99" s="22">
        <v>15</v>
      </c>
      <c r="C99" s="23" t="s">
        <v>196</v>
      </c>
      <c r="D99" s="24" t="s">
        <v>197</v>
      </c>
      <c r="E99" s="24" t="s">
        <v>172</v>
      </c>
      <c r="F99" s="24"/>
      <c r="G99" s="24"/>
      <c r="H99" s="24">
        <f>155000+72000</f>
        <v>227000</v>
      </c>
      <c r="I99" s="24">
        <f>58000+42000</f>
        <v>100000</v>
      </c>
      <c r="J99" s="24"/>
      <c r="K99" s="24"/>
      <c r="L99" s="24"/>
      <c r="M99" s="25">
        <f t="shared" si="130"/>
        <v>327000</v>
      </c>
      <c r="N99" s="24"/>
      <c r="O99" s="24"/>
      <c r="P99" s="24"/>
      <c r="Q99" s="24"/>
      <c r="R99" s="24"/>
      <c r="S99" s="24"/>
      <c r="T99" s="24"/>
      <c r="U99" s="25">
        <f t="shared" si="131"/>
        <v>0</v>
      </c>
      <c r="V99" s="28"/>
      <c r="W99" s="28"/>
      <c r="X99" s="28"/>
      <c r="Y99" s="28"/>
      <c r="Z99" s="28"/>
      <c r="AA99" s="28"/>
      <c r="AB99" s="28"/>
      <c r="AC99" s="25">
        <f t="shared" si="132"/>
        <v>0</v>
      </c>
      <c r="AD99" s="28"/>
      <c r="AE99" s="28"/>
      <c r="AF99" s="47">
        <v>310500</v>
      </c>
      <c r="AG99" s="49"/>
      <c r="AH99" s="28"/>
      <c r="AI99" s="28"/>
      <c r="AJ99" s="28"/>
      <c r="AK99" s="29">
        <f t="shared" si="133"/>
        <v>310500</v>
      </c>
      <c r="AL99" s="47">
        <v>720000</v>
      </c>
      <c r="AM99" s="28">
        <f>90000+360000+270000+180000</f>
        <v>900000</v>
      </c>
      <c r="AN99" s="28">
        <f>1008000+252000+126000</f>
        <v>1386000</v>
      </c>
      <c r="AO99" s="28">
        <v>1512000</v>
      </c>
      <c r="AP99" s="29">
        <f t="shared" si="134"/>
        <v>4518000</v>
      </c>
      <c r="AQ99" s="47"/>
      <c r="AR99" s="28"/>
      <c r="AS99" s="28"/>
      <c r="AT99" s="28"/>
      <c r="AU99" s="29">
        <f t="shared" si="135"/>
        <v>0</v>
      </c>
      <c r="AV99" s="47"/>
      <c r="AW99" s="47"/>
      <c r="AX99" s="47"/>
      <c r="AY99" s="47"/>
      <c r="AZ99" s="28"/>
      <c r="BA99" s="28"/>
      <c r="BB99" s="28"/>
      <c r="BC99" s="29">
        <f t="shared" si="136"/>
        <v>0</v>
      </c>
      <c r="BD99" s="24">
        <f t="shared" si="137"/>
        <v>0</v>
      </c>
      <c r="BE99" s="24">
        <f t="shared" si="137"/>
        <v>0</v>
      </c>
      <c r="BF99" s="24">
        <f t="shared" si="137"/>
        <v>537500</v>
      </c>
      <c r="BG99" s="24">
        <f t="shared" si="138"/>
        <v>820000</v>
      </c>
      <c r="BH99" s="30">
        <f t="shared" si="138"/>
        <v>900000</v>
      </c>
      <c r="BI99" s="30">
        <f t="shared" si="138"/>
        <v>1386000</v>
      </c>
      <c r="BJ99" s="30">
        <f t="shared" si="138"/>
        <v>1512000</v>
      </c>
      <c r="BK99" s="25">
        <f t="shared" si="139"/>
        <v>5155500</v>
      </c>
    </row>
    <row r="100" spans="1:63">
      <c r="A100" s="32"/>
      <c r="B100" s="22">
        <v>16</v>
      </c>
      <c r="C100" s="23" t="s">
        <v>198</v>
      </c>
      <c r="D100" s="24" t="s">
        <v>199</v>
      </c>
      <c r="E100" s="24" t="s">
        <v>172</v>
      </c>
      <c r="F100" s="24">
        <v>155000</v>
      </c>
      <c r="G100" s="24">
        <v>699500</v>
      </c>
      <c r="H100" s="24">
        <f>198000+324500</f>
        <v>522500</v>
      </c>
      <c r="I100" s="24">
        <v>180000</v>
      </c>
      <c r="J100" s="24"/>
      <c r="K100" s="24"/>
      <c r="L100" s="24"/>
      <c r="M100" s="25">
        <f t="shared" si="130"/>
        <v>1557000</v>
      </c>
      <c r="N100" s="34"/>
      <c r="O100" s="34"/>
      <c r="P100" s="34">
        <v>290000</v>
      </c>
      <c r="Q100" s="34">
        <v>395000</v>
      </c>
      <c r="R100" s="24"/>
      <c r="S100" s="24"/>
      <c r="T100" s="24"/>
      <c r="U100" s="25">
        <f t="shared" si="131"/>
        <v>685000</v>
      </c>
      <c r="V100" s="28"/>
      <c r="W100" s="28"/>
      <c r="X100" s="28"/>
      <c r="Y100" s="28"/>
      <c r="Z100" s="28"/>
      <c r="AA100" s="28"/>
      <c r="AB100" s="28"/>
      <c r="AC100" s="25">
        <f t="shared" si="132"/>
        <v>0</v>
      </c>
      <c r="AD100" s="28"/>
      <c r="AE100" s="47">
        <v>1407050</v>
      </c>
      <c r="AF100" s="47">
        <v>582000</v>
      </c>
      <c r="AG100" s="49">
        <v>270000</v>
      </c>
      <c r="AH100" s="28"/>
      <c r="AI100" s="28"/>
      <c r="AJ100" s="28"/>
      <c r="AK100" s="29">
        <f t="shared" si="133"/>
        <v>2259050</v>
      </c>
      <c r="AL100" s="47">
        <v>945000</v>
      </c>
      <c r="AM100" s="28">
        <f>315000+315000+315000+315000+210000</f>
        <v>1470000</v>
      </c>
      <c r="AN100" s="28">
        <f>1388655+312000+156000</f>
        <v>1856655</v>
      </c>
      <c r="AO100" s="28">
        <v>1872000</v>
      </c>
      <c r="AP100" s="29">
        <f t="shared" si="134"/>
        <v>6143655</v>
      </c>
      <c r="AQ100" s="47"/>
      <c r="AR100" s="28"/>
      <c r="AS100" s="28"/>
      <c r="AT100" s="28"/>
      <c r="AU100" s="29">
        <f t="shared" si="135"/>
        <v>0</v>
      </c>
      <c r="AV100" s="47"/>
      <c r="AW100" s="49">
        <v>100000</v>
      </c>
      <c r="AX100" s="47"/>
      <c r="AY100" s="47">
        <v>208000</v>
      </c>
      <c r="AZ100" s="28"/>
      <c r="BA100" s="28"/>
      <c r="BB100" s="28"/>
      <c r="BC100" s="29">
        <f t="shared" si="136"/>
        <v>308000</v>
      </c>
      <c r="BD100" s="24">
        <f t="shared" si="137"/>
        <v>155000</v>
      </c>
      <c r="BE100" s="24">
        <f t="shared" si="137"/>
        <v>2206550</v>
      </c>
      <c r="BF100" s="24">
        <f t="shared" si="137"/>
        <v>1394500</v>
      </c>
      <c r="BG100" s="24">
        <f t="shared" si="138"/>
        <v>1998000</v>
      </c>
      <c r="BH100" s="30">
        <f t="shared" si="138"/>
        <v>1470000</v>
      </c>
      <c r="BI100" s="30">
        <f t="shared" si="138"/>
        <v>1856655</v>
      </c>
      <c r="BJ100" s="30">
        <f t="shared" si="138"/>
        <v>1872000</v>
      </c>
      <c r="BK100" s="25">
        <f t="shared" si="139"/>
        <v>10952705</v>
      </c>
    </row>
    <row r="101" spans="1:63">
      <c r="A101" s="32"/>
      <c r="B101" s="22">
        <v>17</v>
      </c>
      <c r="C101" s="23" t="s">
        <v>200</v>
      </c>
      <c r="D101" s="24" t="s">
        <v>201</v>
      </c>
      <c r="E101" s="24" t="s">
        <v>172</v>
      </c>
      <c r="F101" s="24"/>
      <c r="G101" s="24"/>
      <c r="H101" s="24">
        <v>155000</v>
      </c>
      <c r="I101" s="24"/>
      <c r="J101" s="24"/>
      <c r="K101" s="24"/>
      <c r="L101" s="24"/>
      <c r="M101" s="25">
        <f t="shared" si="130"/>
        <v>155000</v>
      </c>
      <c r="N101" s="34"/>
      <c r="O101" s="34"/>
      <c r="P101" s="34">
        <v>290000</v>
      </c>
      <c r="Q101" s="34"/>
      <c r="R101" s="24"/>
      <c r="S101" s="24"/>
      <c r="T101" s="24"/>
      <c r="U101" s="25">
        <f t="shared" si="131"/>
        <v>290000</v>
      </c>
      <c r="V101" s="28"/>
      <c r="W101" s="28"/>
      <c r="X101" s="28"/>
      <c r="Y101" s="28"/>
      <c r="Z101" s="28"/>
      <c r="AA101" s="28"/>
      <c r="AB101" s="28"/>
      <c r="AC101" s="25">
        <f t="shared" si="132"/>
        <v>0</v>
      </c>
      <c r="AD101" s="28"/>
      <c r="AE101" s="28">
        <v>195000</v>
      </c>
      <c r="AF101" s="47">
        <v>237650</v>
      </c>
      <c r="AG101" s="49"/>
      <c r="AH101" s="28"/>
      <c r="AI101" s="28"/>
      <c r="AJ101" s="28"/>
      <c r="AK101" s="29">
        <f t="shared" si="133"/>
        <v>432650</v>
      </c>
      <c r="AL101" s="47">
        <v>0</v>
      </c>
      <c r="AM101" s="28"/>
      <c r="AN101" s="28"/>
      <c r="AO101" s="28"/>
      <c r="AP101" s="29">
        <f t="shared" si="134"/>
        <v>0</v>
      </c>
      <c r="AQ101" s="47"/>
      <c r="AR101" s="28"/>
      <c r="AS101" s="28"/>
      <c r="AT101" s="28"/>
      <c r="AU101" s="29">
        <f t="shared" si="135"/>
        <v>0</v>
      </c>
      <c r="AV101" s="47"/>
      <c r="AW101" s="49"/>
      <c r="AX101" s="47"/>
      <c r="AY101" s="47"/>
      <c r="AZ101" s="28"/>
      <c r="BA101" s="28"/>
      <c r="BB101" s="28"/>
      <c r="BC101" s="29">
        <f t="shared" si="136"/>
        <v>0</v>
      </c>
      <c r="BD101" s="24">
        <f t="shared" si="137"/>
        <v>0</v>
      </c>
      <c r="BE101" s="24">
        <f t="shared" si="137"/>
        <v>195000</v>
      </c>
      <c r="BF101" s="24">
        <f t="shared" si="137"/>
        <v>682650</v>
      </c>
      <c r="BG101" s="24">
        <f t="shared" si="138"/>
        <v>0</v>
      </c>
      <c r="BH101" s="30">
        <f t="shared" si="138"/>
        <v>0</v>
      </c>
      <c r="BI101" s="30">
        <f t="shared" si="138"/>
        <v>0</v>
      </c>
      <c r="BJ101" s="30">
        <f t="shared" si="138"/>
        <v>0</v>
      </c>
      <c r="BK101" s="25">
        <f t="shared" si="139"/>
        <v>877650</v>
      </c>
    </row>
    <row r="102" spans="1:63">
      <c r="A102" s="32"/>
      <c r="B102" s="22">
        <v>18</v>
      </c>
      <c r="C102" s="23" t="s">
        <v>202</v>
      </c>
      <c r="D102" s="24" t="s">
        <v>203</v>
      </c>
      <c r="E102" s="24" t="s">
        <v>172</v>
      </c>
      <c r="F102" s="24">
        <v>155000</v>
      </c>
      <c r="G102" s="24">
        <v>925328</v>
      </c>
      <c r="H102" s="24">
        <f>104500+104500+330000+220000+110000</f>
        <v>869000</v>
      </c>
      <c r="I102" s="24">
        <f>100000+20000</f>
        <v>120000</v>
      </c>
      <c r="J102" s="24"/>
      <c r="K102" s="24"/>
      <c r="L102" s="24"/>
      <c r="M102" s="25">
        <f t="shared" si="130"/>
        <v>2069328</v>
      </c>
      <c r="N102" s="24"/>
      <c r="O102" s="24"/>
      <c r="P102" s="24"/>
      <c r="Q102" s="24"/>
      <c r="R102" s="24"/>
      <c r="S102" s="24"/>
      <c r="T102" s="24"/>
      <c r="U102" s="25">
        <f t="shared" si="131"/>
        <v>0</v>
      </c>
      <c r="V102" s="28"/>
      <c r="W102" s="28"/>
      <c r="X102" s="28"/>
      <c r="Y102" s="28"/>
      <c r="Z102" s="28"/>
      <c r="AA102" s="28"/>
      <c r="AB102" s="28"/>
      <c r="AC102" s="25">
        <f t="shared" si="132"/>
        <v>0</v>
      </c>
      <c r="AD102" s="28">
        <v>195000</v>
      </c>
      <c r="AE102" s="47">
        <v>1595650</v>
      </c>
      <c r="AF102" s="47">
        <v>1129700</v>
      </c>
      <c r="AG102" s="49">
        <v>30000</v>
      </c>
      <c r="AH102" s="28"/>
      <c r="AI102" s="28"/>
      <c r="AJ102" s="28"/>
      <c r="AK102" s="29">
        <f t="shared" si="133"/>
        <v>2950350</v>
      </c>
      <c r="AL102" s="47">
        <v>1155000</v>
      </c>
      <c r="AM102" s="28">
        <f>(105000+315000+262500)-140000+262500+175000</f>
        <v>980000</v>
      </c>
      <c r="AN102" s="28">
        <f>1282500+312000+156000</f>
        <v>1750500</v>
      </c>
      <c r="AO102" s="28">
        <v>1846000</v>
      </c>
      <c r="AP102" s="29">
        <f t="shared" si="134"/>
        <v>5731500</v>
      </c>
      <c r="AQ102" s="47"/>
      <c r="AR102" s="28"/>
      <c r="AS102" s="28"/>
      <c r="AT102" s="28"/>
      <c r="AU102" s="29">
        <f t="shared" si="135"/>
        <v>0</v>
      </c>
      <c r="AV102" s="47"/>
      <c r="AW102" s="49">
        <v>100000</v>
      </c>
      <c r="AX102" s="47">
        <f>276000+540000</f>
        <v>816000</v>
      </c>
      <c r="AY102" s="47"/>
      <c r="AZ102" s="28"/>
      <c r="BA102" s="28"/>
      <c r="BB102" s="28"/>
      <c r="BC102" s="29">
        <f t="shared" si="136"/>
        <v>916000</v>
      </c>
      <c r="BD102" s="24">
        <f t="shared" si="137"/>
        <v>350000</v>
      </c>
      <c r="BE102" s="24">
        <f t="shared" si="137"/>
        <v>2620978</v>
      </c>
      <c r="BF102" s="24">
        <f t="shared" si="137"/>
        <v>2814700</v>
      </c>
      <c r="BG102" s="24">
        <f t="shared" si="138"/>
        <v>1305000</v>
      </c>
      <c r="BH102" s="30">
        <f t="shared" si="138"/>
        <v>980000</v>
      </c>
      <c r="BI102" s="30">
        <f t="shared" si="138"/>
        <v>1750500</v>
      </c>
      <c r="BJ102" s="30">
        <f t="shared" si="138"/>
        <v>1846000</v>
      </c>
      <c r="BK102" s="25">
        <f t="shared" si="139"/>
        <v>11667178</v>
      </c>
    </row>
    <row r="103" spans="1:63" ht="31.5">
      <c r="A103" s="32"/>
      <c r="B103" s="22">
        <v>19</v>
      </c>
      <c r="C103" s="23" t="s">
        <v>204</v>
      </c>
      <c r="D103" s="24" t="s">
        <v>189</v>
      </c>
      <c r="E103" s="24" t="s">
        <v>172</v>
      </c>
      <c r="F103" s="24"/>
      <c r="G103" s="24">
        <v>821267</v>
      </c>
      <c r="H103" s="24">
        <f>99000+99000+297000</f>
        <v>495000</v>
      </c>
      <c r="I103" s="24">
        <f>160000+20000</f>
        <v>180000</v>
      </c>
      <c r="J103" s="24"/>
      <c r="K103" s="24"/>
      <c r="L103" s="24"/>
      <c r="M103" s="25">
        <f t="shared" si="130"/>
        <v>1496267</v>
      </c>
      <c r="N103" s="34"/>
      <c r="O103" s="34">
        <v>1870000</v>
      </c>
      <c r="P103" s="34">
        <v>1200000</v>
      </c>
      <c r="Q103" s="34">
        <v>350000</v>
      </c>
      <c r="R103" s="24"/>
      <c r="S103" s="24"/>
      <c r="T103" s="24"/>
      <c r="U103" s="25">
        <f t="shared" si="131"/>
        <v>3420000</v>
      </c>
      <c r="V103" s="28"/>
      <c r="W103" s="48">
        <v>920000</v>
      </c>
      <c r="X103" s="24">
        <v>434000</v>
      </c>
      <c r="Y103" s="48">
        <v>424000</v>
      </c>
      <c r="Z103" s="48"/>
      <c r="AA103" s="48"/>
      <c r="AB103" s="48"/>
      <c r="AC103" s="25">
        <f t="shared" si="132"/>
        <v>1778000</v>
      </c>
      <c r="AD103" s="28"/>
      <c r="AE103" s="47">
        <v>1203800</v>
      </c>
      <c r="AF103" s="47">
        <v>446200</v>
      </c>
      <c r="AG103" s="49">
        <v>270000</v>
      </c>
      <c r="AH103" s="28"/>
      <c r="AI103" s="28"/>
      <c r="AJ103" s="28"/>
      <c r="AK103" s="29">
        <f t="shared" si="133"/>
        <v>1920000</v>
      </c>
      <c r="AL103" s="47">
        <v>0</v>
      </c>
      <c r="AM103" s="28"/>
      <c r="AN103" s="28"/>
      <c r="AO103" s="28"/>
      <c r="AP103" s="29">
        <f t="shared" si="134"/>
        <v>0</v>
      </c>
      <c r="AQ103" s="49">
        <v>900000</v>
      </c>
      <c r="AR103" s="28">
        <f>300000+300000+300000+300000+200000</f>
        <v>1400000</v>
      </c>
      <c r="AS103" s="28">
        <f>1842500+731000</f>
        <v>2573500</v>
      </c>
      <c r="AT103" s="28">
        <f>246500+739500+493000+246500+246500+493000+246500</f>
        <v>2711500</v>
      </c>
      <c r="AU103" s="29">
        <f t="shared" si="135"/>
        <v>7585000</v>
      </c>
      <c r="AV103" s="47"/>
      <c r="AW103" s="47"/>
      <c r="AX103" s="47"/>
      <c r="AY103" s="47"/>
      <c r="AZ103" s="28"/>
      <c r="BA103" s="28"/>
      <c r="BB103" s="28"/>
      <c r="BC103" s="29">
        <f t="shared" si="136"/>
        <v>0</v>
      </c>
      <c r="BD103" s="24">
        <f t="shared" si="137"/>
        <v>0</v>
      </c>
      <c r="BE103" s="24">
        <f t="shared" si="137"/>
        <v>4815067</v>
      </c>
      <c r="BF103" s="24">
        <f t="shared" si="137"/>
        <v>2575200</v>
      </c>
      <c r="BG103" s="24">
        <f t="shared" si="138"/>
        <v>2124000</v>
      </c>
      <c r="BH103" s="30">
        <f t="shared" si="138"/>
        <v>1400000</v>
      </c>
      <c r="BI103" s="30">
        <f t="shared" si="138"/>
        <v>2573500</v>
      </c>
      <c r="BJ103" s="30">
        <f t="shared" si="138"/>
        <v>2711500</v>
      </c>
      <c r="BK103" s="25">
        <f t="shared" si="139"/>
        <v>16199267</v>
      </c>
    </row>
    <row r="104" spans="1:63" ht="31.5">
      <c r="A104" s="32"/>
      <c r="B104" s="22">
        <v>20</v>
      </c>
      <c r="C104" s="23" t="s">
        <v>205</v>
      </c>
      <c r="D104" s="36" t="s">
        <v>203</v>
      </c>
      <c r="E104" s="24" t="s">
        <v>172</v>
      </c>
      <c r="F104" s="24"/>
      <c r="G104" s="24"/>
      <c r="H104" s="24"/>
      <c r="I104" s="24"/>
      <c r="J104" s="24"/>
      <c r="K104" s="24"/>
      <c r="L104" s="24"/>
      <c r="M104" s="25">
        <f t="shared" si="130"/>
        <v>0</v>
      </c>
      <c r="N104" s="24"/>
      <c r="O104" s="24"/>
      <c r="P104" s="24"/>
      <c r="Q104" s="24"/>
      <c r="R104" s="24"/>
      <c r="S104" s="24"/>
      <c r="T104" s="24"/>
      <c r="U104" s="25">
        <f t="shared" si="131"/>
        <v>0</v>
      </c>
      <c r="V104" s="28"/>
      <c r="W104" s="28"/>
      <c r="X104" s="24"/>
      <c r="Y104" s="28"/>
      <c r="Z104" s="28"/>
      <c r="AA104" s="28"/>
      <c r="AB104" s="28"/>
      <c r="AC104" s="25">
        <f t="shared" si="132"/>
        <v>0</v>
      </c>
      <c r="AD104" s="28"/>
      <c r="AE104" s="47">
        <v>279700</v>
      </c>
      <c r="AF104" s="47">
        <v>140400</v>
      </c>
      <c r="AG104" s="49">
        <v>470000</v>
      </c>
      <c r="AH104" s="28">
        <f>72000+36000+111000+108000+72000</f>
        <v>399000</v>
      </c>
      <c r="AI104" s="28">
        <v>36000</v>
      </c>
      <c r="AJ104" s="28"/>
      <c r="AK104" s="29">
        <f t="shared" si="133"/>
        <v>1325100</v>
      </c>
      <c r="AL104" s="47">
        <v>0</v>
      </c>
      <c r="AM104" s="28"/>
      <c r="AN104" s="28"/>
      <c r="AO104" s="28"/>
      <c r="AP104" s="29">
        <f t="shared" si="134"/>
        <v>0</v>
      </c>
      <c r="AQ104" s="47"/>
      <c r="AR104" s="28"/>
      <c r="AS104" s="28"/>
      <c r="AT104" s="28"/>
      <c r="AU104" s="29">
        <f t="shared" si="135"/>
        <v>0</v>
      </c>
      <c r="AV104" s="47"/>
      <c r="AW104" s="47"/>
      <c r="AX104" s="47"/>
      <c r="AY104" s="47"/>
      <c r="AZ104" s="28"/>
      <c r="BA104" s="28"/>
      <c r="BB104" s="28"/>
      <c r="BC104" s="29">
        <f t="shared" si="136"/>
        <v>0</v>
      </c>
      <c r="BD104" s="24">
        <f t="shared" si="137"/>
        <v>0</v>
      </c>
      <c r="BE104" s="24">
        <f t="shared" si="137"/>
        <v>279700</v>
      </c>
      <c r="BF104" s="24">
        <f t="shared" si="137"/>
        <v>140400</v>
      </c>
      <c r="BG104" s="24">
        <f t="shared" si="138"/>
        <v>470000</v>
      </c>
      <c r="BH104" s="30">
        <f t="shared" si="138"/>
        <v>399000</v>
      </c>
      <c r="BI104" s="30">
        <f t="shared" si="138"/>
        <v>36000</v>
      </c>
      <c r="BJ104" s="30">
        <f t="shared" si="138"/>
        <v>0</v>
      </c>
      <c r="BK104" s="25">
        <f t="shared" si="139"/>
        <v>1325100</v>
      </c>
    </row>
    <row r="105" spans="1:63">
      <c r="A105" s="32"/>
      <c r="B105" s="22">
        <v>21</v>
      </c>
      <c r="C105" s="58" t="s">
        <v>206</v>
      </c>
      <c r="D105" s="59" t="s">
        <v>207</v>
      </c>
      <c r="E105" s="24" t="s">
        <v>172</v>
      </c>
      <c r="F105" s="24"/>
      <c r="G105" s="24"/>
      <c r="H105" s="24"/>
      <c r="I105" s="24"/>
      <c r="J105" s="24"/>
      <c r="K105" s="24"/>
      <c r="L105" s="24"/>
      <c r="M105" s="25">
        <f t="shared" si="130"/>
        <v>0</v>
      </c>
      <c r="N105" s="34"/>
      <c r="O105" s="34"/>
      <c r="P105" s="34">
        <v>530000</v>
      </c>
      <c r="Q105" s="34">
        <v>975000</v>
      </c>
      <c r="R105" s="24">
        <f>225000+225000+225000+225000+150000</f>
        <v>1050000</v>
      </c>
      <c r="S105" s="24">
        <f>1475000+480000</f>
        <v>1955000</v>
      </c>
      <c r="T105" s="24">
        <f>790000+600000+200000+400000+400000</f>
        <v>2390000</v>
      </c>
      <c r="U105" s="25">
        <f t="shared" si="131"/>
        <v>6900000</v>
      </c>
      <c r="V105" s="28"/>
      <c r="W105" s="28"/>
      <c r="X105" s="24"/>
      <c r="Y105" s="28"/>
      <c r="Z105" s="28"/>
      <c r="AA105" s="28"/>
      <c r="AB105" s="28"/>
      <c r="AC105" s="25">
        <f t="shared" si="132"/>
        <v>0</v>
      </c>
      <c r="AD105" s="28"/>
      <c r="AE105" s="47"/>
      <c r="AF105" s="47"/>
      <c r="AG105" s="47"/>
      <c r="AH105" s="28"/>
      <c r="AI105" s="28"/>
      <c r="AJ105" s="28"/>
      <c r="AK105" s="29">
        <f t="shared" si="133"/>
        <v>0</v>
      </c>
      <c r="AL105" s="47">
        <v>0</v>
      </c>
      <c r="AM105" s="28"/>
      <c r="AN105" s="28"/>
      <c r="AO105" s="28"/>
      <c r="AP105" s="29">
        <f t="shared" si="134"/>
        <v>0</v>
      </c>
      <c r="AQ105" s="47"/>
      <c r="AR105" s="28"/>
      <c r="AS105" s="28"/>
      <c r="AT105" s="28"/>
      <c r="AU105" s="29">
        <f t="shared" si="135"/>
        <v>0</v>
      </c>
      <c r="AV105" s="47"/>
      <c r="AW105" s="47"/>
      <c r="AX105" s="47"/>
      <c r="AY105" s="47"/>
      <c r="AZ105" s="28"/>
      <c r="BA105" s="28"/>
      <c r="BB105" s="28"/>
      <c r="BC105" s="29">
        <f t="shared" si="136"/>
        <v>0</v>
      </c>
      <c r="BD105" s="24">
        <f t="shared" si="137"/>
        <v>0</v>
      </c>
      <c r="BE105" s="24">
        <f t="shared" si="137"/>
        <v>0</v>
      </c>
      <c r="BF105" s="24">
        <f t="shared" si="137"/>
        <v>530000</v>
      </c>
      <c r="BG105" s="24">
        <f t="shared" si="138"/>
        <v>975000</v>
      </c>
      <c r="BH105" s="30">
        <f t="shared" si="138"/>
        <v>1050000</v>
      </c>
      <c r="BI105" s="30">
        <f t="shared" si="138"/>
        <v>1955000</v>
      </c>
      <c r="BJ105" s="30">
        <f t="shared" si="138"/>
        <v>2390000</v>
      </c>
      <c r="BK105" s="25">
        <f t="shared" si="139"/>
        <v>6900000</v>
      </c>
    </row>
    <row r="106" spans="1:63" ht="31.5">
      <c r="A106" s="32"/>
      <c r="B106" s="22">
        <v>22</v>
      </c>
      <c r="C106" s="23" t="s">
        <v>208</v>
      </c>
      <c r="D106" s="24" t="s">
        <v>209</v>
      </c>
      <c r="E106" s="24" t="s">
        <v>172</v>
      </c>
      <c r="F106" s="24">
        <v>155000</v>
      </c>
      <c r="G106" s="24">
        <v>501565</v>
      </c>
      <c r="H106" s="24">
        <f>544500+110000</f>
        <v>654500</v>
      </c>
      <c r="I106" s="24">
        <f>220000+20000</f>
        <v>240000</v>
      </c>
      <c r="J106" s="24"/>
      <c r="K106" s="24"/>
      <c r="L106" s="24"/>
      <c r="M106" s="25">
        <f t="shared" si="130"/>
        <v>1551065</v>
      </c>
      <c r="N106" s="34"/>
      <c r="O106" s="34">
        <v>290000</v>
      </c>
      <c r="P106" s="34">
        <v>870000</v>
      </c>
      <c r="Q106" s="34">
        <v>250000</v>
      </c>
      <c r="R106" s="24"/>
      <c r="S106" s="24"/>
      <c r="T106" s="24"/>
      <c r="U106" s="25">
        <f t="shared" si="131"/>
        <v>1410000</v>
      </c>
      <c r="V106" s="28"/>
      <c r="W106" s="28"/>
      <c r="X106" s="24"/>
      <c r="Y106" s="28"/>
      <c r="Z106" s="28"/>
      <c r="AA106" s="28"/>
      <c r="AB106" s="28"/>
      <c r="AC106" s="25">
        <f t="shared" si="132"/>
        <v>0</v>
      </c>
      <c r="AD106" s="28"/>
      <c r="AE106" s="47">
        <v>1475506</v>
      </c>
      <c r="AF106" s="47">
        <v>557750</v>
      </c>
      <c r="AG106" s="47">
        <v>270000</v>
      </c>
      <c r="AH106" s="28"/>
      <c r="AI106" s="28"/>
      <c r="AJ106" s="28"/>
      <c r="AK106" s="29">
        <f t="shared" si="133"/>
        <v>2303256</v>
      </c>
      <c r="AL106" s="47">
        <v>1155000</v>
      </c>
      <c r="AM106" s="28">
        <f>105000+304500+203000+399000+10500+210000</f>
        <v>1232000</v>
      </c>
      <c r="AN106" s="28">
        <f>1344000+282000+141000</f>
        <v>1767000</v>
      </c>
      <c r="AO106" s="28">
        <v>1765000</v>
      </c>
      <c r="AP106" s="29">
        <f t="shared" si="134"/>
        <v>5919000</v>
      </c>
      <c r="AQ106" s="47"/>
      <c r="AR106" s="28"/>
      <c r="AS106" s="28"/>
      <c r="AT106" s="28"/>
      <c r="AU106" s="29">
        <f t="shared" si="135"/>
        <v>0</v>
      </c>
      <c r="AV106" s="47"/>
      <c r="AW106" s="47">
        <v>100000</v>
      </c>
      <c r="AX106" s="47">
        <v>276000</v>
      </c>
      <c r="AY106" s="47"/>
      <c r="AZ106" s="28"/>
      <c r="BA106" s="28"/>
      <c r="BB106" s="28"/>
      <c r="BC106" s="29">
        <f t="shared" si="136"/>
        <v>376000</v>
      </c>
      <c r="BD106" s="24">
        <f t="shared" si="137"/>
        <v>155000</v>
      </c>
      <c r="BE106" s="24">
        <f t="shared" si="137"/>
        <v>2367071</v>
      </c>
      <c r="BF106" s="24">
        <f t="shared" si="137"/>
        <v>2358250</v>
      </c>
      <c r="BG106" s="24">
        <f t="shared" si="138"/>
        <v>1915000</v>
      </c>
      <c r="BH106" s="30">
        <f t="shared" si="138"/>
        <v>1232000</v>
      </c>
      <c r="BI106" s="30">
        <f t="shared" si="138"/>
        <v>1767000</v>
      </c>
      <c r="BJ106" s="30">
        <f t="shared" si="138"/>
        <v>1765000</v>
      </c>
      <c r="BK106" s="25">
        <f t="shared" si="139"/>
        <v>11559321</v>
      </c>
    </row>
    <row r="107" spans="1:63" ht="31.5">
      <c r="A107" s="32"/>
      <c r="B107" s="22">
        <v>23</v>
      </c>
      <c r="C107" s="23" t="s">
        <v>210</v>
      </c>
      <c r="D107" s="24" t="s">
        <v>211</v>
      </c>
      <c r="E107" s="24" t="s">
        <v>172</v>
      </c>
      <c r="F107" s="24"/>
      <c r="G107" s="24"/>
      <c r="H107" s="24">
        <v>155000</v>
      </c>
      <c r="I107" s="24"/>
      <c r="J107" s="24"/>
      <c r="K107" s="24"/>
      <c r="L107" s="24"/>
      <c r="M107" s="25">
        <f t="shared" si="130"/>
        <v>155000</v>
      </c>
      <c r="N107" s="34"/>
      <c r="O107" s="34">
        <v>890000</v>
      </c>
      <c r="P107" s="34">
        <v>580000</v>
      </c>
      <c r="Q107" s="34"/>
      <c r="R107" s="24"/>
      <c r="S107" s="24"/>
      <c r="T107" s="24"/>
      <c r="U107" s="25">
        <f t="shared" si="131"/>
        <v>1470000</v>
      </c>
      <c r="V107" s="28"/>
      <c r="W107" s="28"/>
      <c r="X107" s="24"/>
      <c r="Y107" s="28"/>
      <c r="Z107" s="28"/>
      <c r="AA107" s="28"/>
      <c r="AB107" s="28"/>
      <c r="AC107" s="25">
        <f t="shared" si="132"/>
        <v>0</v>
      </c>
      <c r="AD107" s="28"/>
      <c r="AE107" s="47">
        <v>413250</v>
      </c>
      <c r="AF107" s="47">
        <v>548050</v>
      </c>
      <c r="AG107" s="47"/>
      <c r="AH107" s="28"/>
      <c r="AI107" s="28"/>
      <c r="AJ107" s="28"/>
      <c r="AK107" s="29">
        <f t="shared" si="133"/>
        <v>961300</v>
      </c>
      <c r="AL107" s="47">
        <v>0</v>
      </c>
      <c r="AM107" s="28"/>
      <c r="AN107" s="28"/>
      <c r="AO107" s="28"/>
      <c r="AP107" s="29">
        <f t="shared" si="134"/>
        <v>0</v>
      </c>
      <c r="AQ107" s="47"/>
      <c r="AR107" s="28"/>
      <c r="AS107" s="28"/>
      <c r="AT107" s="28"/>
      <c r="AU107" s="29">
        <f t="shared" si="135"/>
        <v>0</v>
      </c>
      <c r="AV107" s="47"/>
      <c r="AW107" s="47"/>
      <c r="AX107" s="47"/>
      <c r="AY107" s="47"/>
      <c r="AZ107" s="28"/>
      <c r="BA107" s="28"/>
      <c r="BB107" s="28"/>
      <c r="BC107" s="29">
        <f t="shared" si="136"/>
        <v>0</v>
      </c>
      <c r="BD107" s="24">
        <f t="shared" si="137"/>
        <v>0</v>
      </c>
      <c r="BE107" s="24">
        <f t="shared" si="137"/>
        <v>1303250</v>
      </c>
      <c r="BF107" s="24">
        <f t="shared" si="137"/>
        <v>1283050</v>
      </c>
      <c r="BG107" s="24">
        <f t="shared" si="138"/>
        <v>0</v>
      </c>
      <c r="BH107" s="30">
        <f t="shared" si="138"/>
        <v>0</v>
      </c>
      <c r="BI107" s="30">
        <f t="shared" si="138"/>
        <v>0</v>
      </c>
      <c r="BJ107" s="30">
        <f t="shared" si="138"/>
        <v>0</v>
      </c>
      <c r="BK107" s="25">
        <f t="shared" si="139"/>
        <v>2586300</v>
      </c>
    </row>
    <row r="108" spans="1:63" ht="31.5">
      <c r="A108" s="32"/>
      <c r="B108" s="22">
        <v>24</v>
      </c>
      <c r="C108" s="23" t="s">
        <v>212</v>
      </c>
      <c r="D108" s="24" t="s">
        <v>182</v>
      </c>
      <c r="E108" s="24" t="s">
        <v>172</v>
      </c>
      <c r="F108" s="24"/>
      <c r="G108" s="24">
        <v>155000</v>
      </c>
      <c r="H108" s="24">
        <f>52983+660000</f>
        <v>712983</v>
      </c>
      <c r="I108" s="24"/>
      <c r="J108" s="24"/>
      <c r="K108" s="24"/>
      <c r="L108" s="24">
        <v>140000</v>
      </c>
      <c r="M108" s="25">
        <f t="shared" si="130"/>
        <v>1007983</v>
      </c>
      <c r="N108" s="34"/>
      <c r="O108" s="34">
        <v>1420000</v>
      </c>
      <c r="P108" s="34">
        <v>200000</v>
      </c>
      <c r="Q108" s="34"/>
      <c r="R108" s="24"/>
      <c r="S108" s="24"/>
      <c r="T108" s="24">
        <v>350000</v>
      </c>
      <c r="U108" s="25">
        <f t="shared" si="131"/>
        <v>1970000</v>
      </c>
      <c r="V108" s="28"/>
      <c r="W108" s="48">
        <v>1228000</v>
      </c>
      <c r="X108" s="24">
        <v>182000</v>
      </c>
      <c r="Y108" s="50">
        <v>720000</v>
      </c>
      <c r="Z108" s="50"/>
      <c r="AA108" s="50"/>
      <c r="AB108" s="50"/>
      <c r="AC108" s="25">
        <f t="shared" si="132"/>
        <v>2130000</v>
      </c>
      <c r="AD108" s="28"/>
      <c r="AE108" s="47">
        <v>592700</v>
      </c>
      <c r="AF108" s="47">
        <v>530500</v>
      </c>
      <c r="AG108" s="47">
        <v>900000</v>
      </c>
      <c r="AH108" s="28">
        <f>210000+210000+210000+350000</f>
        <v>980000</v>
      </c>
      <c r="AI108" s="28">
        <f>883000+180150+92000</f>
        <v>1155150</v>
      </c>
      <c r="AJ108" s="28">
        <v>1117250</v>
      </c>
      <c r="AK108" s="29">
        <f t="shared" si="133"/>
        <v>5275600</v>
      </c>
      <c r="AL108" s="47">
        <v>0</v>
      </c>
      <c r="AM108" s="28"/>
      <c r="AN108" s="28"/>
      <c r="AO108" s="28"/>
      <c r="AP108" s="29">
        <f t="shared" si="134"/>
        <v>0</v>
      </c>
      <c r="AQ108" s="47"/>
      <c r="AR108" s="28"/>
      <c r="AS108" s="28"/>
      <c r="AT108" s="28"/>
      <c r="AU108" s="29">
        <f t="shared" si="135"/>
        <v>0</v>
      </c>
      <c r="AV108" s="47"/>
      <c r="AW108" s="47">
        <v>100000</v>
      </c>
      <c r="AX108" s="47">
        <v>276000</v>
      </c>
      <c r="AY108" s="47"/>
      <c r="AZ108" s="28"/>
      <c r="BA108" s="28"/>
      <c r="BB108" s="28"/>
      <c r="BC108" s="29">
        <f t="shared" si="136"/>
        <v>376000</v>
      </c>
      <c r="BD108" s="24">
        <f t="shared" si="137"/>
        <v>0</v>
      </c>
      <c r="BE108" s="24">
        <f t="shared" si="137"/>
        <v>3495700</v>
      </c>
      <c r="BF108" s="24">
        <f t="shared" si="137"/>
        <v>1901483</v>
      </c>
      <c r="BG108" s="24">
        <f t="shared" si="138"/>
        <v>1620000</v>
      </c>
      <c r="BH108" s="30">
        <f t="shared" si="138"/>
        <v>980000</v>
      </c>
      <c r="BI108" s="30">
        <f t="shared" si="138"/>
        <v>1155150</v>
      </c>
      <c r="BJ108" s="30">
        <f t="shared" si="138"/>
        <v>1607250</v>
      </c>
      <c r="BK108" s="25">
        <f t="shared" si="139"/>
        <v>10759583</v>
      </c>
    </row>
    <row r="109" spans="1:63">
      <c r="A109" s="32"/>
      <c r="B109" s="22">
        <v>25</v>
      </c>
      <c r="C109" s="23" t="s">
        <v>213</v>
      </c>
      <c r="D109" s="24" t="s">
        <v>207</v>
      </c>
      <c r="E109" s="24" t="s">
        <v>172</v>
      </c>
      <c r="F109" s="24"/>
      <c r="G109" s="24"/>
      <c r="H109" s="24"/>
      <c r="I109" s="24"/>
      <c r="J109" s="24"/>
      <c r="K109" s="24"/>
      <c r="L109" s="24"/>
      <c r="M109" s="25">
        <f t="shared" si="130"/>
        <v>0</v>
      </c>
      <c r="N109" s="24"/>
      <c r="O109" s="24"/>
      <c r="P109" s="24"/>
      <c r="Q109" s="24"/>
      <c r="R109" s="24"/>
      <c r="S109" s="24"/>
      <c r="T109" s="24"/>
      <c r="U109" s="25">
        <f t="shared" si="131"/>
        <v>0</v>
      </c>
      <c r="V109" s="28"/>
      <c r="W109" s="48">
        <v>864000</v>
      </c>
      <c r="X109" s="24">
        <v>1078000</v>
      </c>
      <c r="Y109" s="48">
        <v>1045000</v>
      </c>
      <c r="Z109" s="48">
        <f>150000+225000+225000+225000+150000</f>
        <v>975000</v>
      </c>
      <c r="AA109" s="48">
        <f>1020000+315000</f>
        <v>1335000</v>
      </c>
      <c r="AB109" s="48">
        <f>105000+315000+210000+105000+105000+105000</f>
        <v>945000</v>
      </c>
      <c r="AC109" s="25">
        <f t="shared" si="132"/>
        <v>6242000</v>
      </c>
      <c r="AD109" s="28"/>
      <c r="AE109" s="47"/>
      <c r="AF109" s="47">
        <v>453700</v>
      </c>
      <c r="AG109" s="47">
        <v>180000</v>
      </c>
      <c r="AH109" s="28"/>
      <c r="AI109" s="28"/>
      <c r="AJ109" s="28"/>
      <c r="AK109" s="29">
        <f t="shared" si="133"/>
        <v>633700</v>
      </c>
      <c r="AL109" s="47">
        <v>0</v>
      </c>
      <c r="AM109" s="28"/>
      <c r="AN109" s="28"/>
      <c r="AO109" s="28"/>
      <c r="AP109" s="29">
        <f t="shared" si="134"/>
        <v>0</v>
      </c>
      <c r="AQ109" s="47"/>
      <c r="AR109" s="28"/>
      <c r="AS109" s="28"/>
      <c r="AT109" s="28"/>
      <c r="AU109" s="29">
        <f t="shared" si="135"/>
        <v>0</v>
      </c>
      <c r="AV109" s="47"/>
      <c r="AW109" s="47"/>
      <c r="AX109" s="47"/>
      <c r="AY109" s="47"/>
      <c r="AZ109" s="28"/>
      <c r="BA109" s="28"/>
      <c r="BB109" s="28"/>
      <c r="BC109" s="29">
        <f t="shared" si="136"/>
        <v>0</v>
      </c>
      <c r="BD109" s="24">
        <f t="shared" si="137"/>
        <v>0</v>
      </c>
      <c r="BE109" s="24">
        <f t="shared" si="137"/>
        <v>864000</v>
      </c>
      <c r="BF109" s="24">
        <f t="shared" si="137"/>
        <v>1531700</v>
      </c>
      <c r="BG109" s="24">
        <f t="shared" si="138"/>
        <v>1225000</v>
      </c>
      <c r="BH109" s="30">
        <f t="shared" si="138"/>
        <v>975000</v>
      </c>
      <c r="BI109" s="30">
        <f t="shared" si="138"/>
        <v>1335000</v>
      </c>
      <c r="BJ109" s="30">
        <f t="shared" si="138"/>
        <v>945000</v>
      </c>
      <c r="BK109" s="25">
        <f t="shared" si="139"/>
        <v>6875700</v>
      </c>
    </row>
    <row r="110" spans="1:63" ht="47.25">
      <c r="A110" s="32"/>
      <c r="B110" s="22">
        <v>26</v>
      </c>
      <c r="C110" s="23" t="s">
        <v>214</v>
      </c>
      <c r="D110" s="24" t="s">
        <v>209</v>
      </c>
      <c r="E110" s="24" t="s">
        <v>172</v>
      </c>
      <c r="F110" s="24"/>
      <c r="G110" s="24"/>
      <c r="H110" s="24">
        <f>155000+52903</f>
        <v>207903</v>
      </c>
      <c r="I110" s="24">
        <v>270000</v>
      </c>
      <c r="J110" s="24">
        <f>101500+86500+151500+31000+62000</f>
        <v>432500</v>
      </c>
      <c r="K110" s="24">
        <f>412685+76200+38000</f>
        <v>526885</v>
      </c>
      <c r="L110" s="24">
        <v>584030</v>
      </c>
      <c r="M110" s="25">
        <f t="shared" si="130"/>
        <v>2021318</v>
      </c>
      <c r="N110" s="24"/>
      <c r="O110" s="24"/>
      <c r="P110" s="24"/>
      <c r="Q110" s="24"/>
      <c r="R110" s="24"/>
      <c r="S110" s="24"/>
      <c r="T110" s="24"/>
      <c r="U110" s="25">
        <f t="shared" si="131"/>
        <v>0</v>
      </c>
      <c r="V110" s="28"/>
      <c r="W110" s="28"/>
      <c r="X110" s="28"/>
      <c r="Y110" s="28"/>
      <c r="Z110" s="28"/>
      <c r="AA110" s="28"/>
      <c r="AB110" s="28"/>
      <c r="AC110" s="25">
        <f t="shared" si="132"/>
        <v>0</v>
      </c>
      <c r="AD110" s="28"/>
      <c r="AE110" s="28"/>
      <c r="AF110" s="28"/>
      <c r="AG110" s="28"/>
      <c r="AH110" s="28"/>
      <c r="AI110" s="28"/>
      <c r="AJ110" s="28"/>
      <c r="AK110" s="29">
        <f t="shared" si="133"/>
        <v>0</v>
      </c>
      <c r="AL110" s="47">
        <v>0</v>
      </c>
      <c r="AM110" s="28"/>
      <c r="AN110" s="28"/>
      <c r="AO110" s="28"/>
      <c r="AP110" s="29">
        <f t="shared" si="134"/>
        <v>0</v>
      </c>
      <c r="AQ110" s="47"/>
      <c r="AR110" s="28"/>
      <c r="AS110" s="28"/>
      <c r="AT110" s="28"/>
      <c r="AU110" s="29">
        <f t="shared" si="135"/>
        <v>0</v>
      </c>
      <c r="AV110" s="47"/>
      <c r="AW110" s="47"/>
      <c r="AX110" s="47"/>
      <c r="AY110" s="47"/>
      <c r="AZ110" s="28"/>
      <c r="BA110" s="28"/>
      <c r="BB110" s="28"/>
      <c r="BC110" s="29">
        <f t="shared" si="136"/>
        <v>0</v>
      </c>
      <c r="BD110" s="24">
        <f t="shared" si="137"/>
        <v>0</v>
      </c>
      <c r="BE110" s="24">
        <f t="shared" si="137"/>
        <v>0</v>
      </c>
      <c r="BF110" s="24">
        <f t="shared" si="137"/>
        <v>207903</v>
      </c>
      <c r="BG110" s="24">
        <f t="shared" si="138"/>
        <v>270000</v>
      </c>
      <c r="BH110" s="30">
        <f t="shared" si="138"/>
        <v>432500</v>
      </c>
      <c r="BI110" s="30">
        <f t="shared" si="138"/>
        <v>526885</v>
      </c>
      <c r="BJ110" s="30">
        <f t="shared" si="138"/>
        <v>584030</v>
      </c>
      <c r="BK110" s="25">
        <f t="shared" si="139"/>
        <v>2021318</v>
      </c>
    </row>
    <row r="111" spans="1:63">
      <c r="A111" s="32"/>
      <c r="B111" s="22">
        <v>27</v>
      </c>
      <c r="C111" s="23" t="s">
        <v>215</v>
      </c>
      <c r="D111" s="24" t="s">
        <v>189</v>
      </c>
      <c r="E111" s="24" t="s">
        <v>172</v>
      </c>
      <c r="F111" s="24"/>
      <c r="G111" s="24"/>
      <c r="H111" s="24"/>
      <c r="I111" s="24"/>
      <c r="J111" s="24"/>
      <c r="K111" s="24"/>
      <c r="L111" s="24"/>
      <c r="M111" s="25">
        <f t="shared" si="130"/>
        <v>0</v>
      </c>
      <c r="N111" s="24"/>
      <c r="O111" s="24"/>
      <c r="P111" s="24"/>
      <c r="Q111" s="24"/>
      <c r="R111" s="24"/>
      <c r="S111" s="24"/>
      <c r="T111" s="24"/>
      <c r="U111" s="25">
        <f t="shared" si="131"/>
        <v>0</v>
      </c>
      <c r="V111" s="28"/>
      <c r="W111" s="28"/>
      <c r="X111" s="28"/>
      <c r="Y111" s="28"/>
      <c r="Z111" s="28"/>
      <c r="AA111" s="28"/>
      <c r="AB111" s="28"/>
      <c r="AC111" s="25">
        <f t="shared" si="132"/>
        <v>0</v>
      </c>
      <c r="AD111" s="28"/>
      <c r="AE111" s="47">
        <v>340500</v>
      </c>
      <c r="AF111" s="47">
        <v>455900</v>
      </c>
      <c r="AG111" s="47">
        <v>-230000</v>
      </c>
      <c r="AH111" s="28"/>
      <c r="AI111" s="28"/>
      <c r="AJ111" s="28"/>
      <c r="AK111" s="29">
        <f t="shared" si="133"/>
        <v>566400</v>
      </c>
      <c r="AL111" s="47">
        <v>0</v>
      </c>
      <c r="AM111" s="28"/>
      <c r="AN111" s="28"/>
      <c r="AO111" s="28"/>
      <c r="AP111" s="29">
        <f t="shared" si="134"/>
        <v>0</v>
      </c>
      <c r="AQ111" s="47"/>
      <c r="AR111" s="28"/>
      <c r="AS111" s="28"/>
      <c r="AT111" s="28"/>
      <c r="AU111" s="29">
        <f t="shared" si="135"/>
        <v>0</v>
      </c>
      <c r="AV111" s="47"/>
      <c r="AW111" s="47"/>
      <c r="AX111" s="47"/>
      <c r="AY111" s="47"/>
      <c r="AZ111" s="28"/>
      <c r="BA111" s="28"/>
      <c r="BB111" s="28"/>
      <c r="BC111" s="29">
        <f t="shared" si="136"/>
        <v>0</v>
      </c>
      <c r="BD111" s="24">
        <f t="shared" si="137"/>
        <v>0</v>
      </c>
      <c r="BE111" s="24">
        <f t="shared" si="137"/>
        <v>340500</v>
      </c>
      <c r="BF111" s="24">
        <f t="shared" si="137"/>
        <v>455900</v>
      </c>
      <c r="BG111" s="24">
        <f t="shared" si="138"/>
        <v>-230000</v>
      </c>
      <c r="BH111" s="30">
        <f t="shared" si="138"/>
        <v>0</v>
      </c>
      <c r="BI111" s="30">
        <f t="shared" si="138"/>
        <v>0</v>
      </c>
      <c r="BJ111" s="30">
        <f t="shared" si="138"/>
        <v>0</v>
      </c>
      <c r="BK111" s="25">
        <f t="shared" si="139"/>
        <v>566400</v>
      </c>
    </row>
    <row r="112" spans="1:63">
      <c r="A112" s="32"/>
      <c r="B112" s="22">
        <v>28</v>
      </c>
      <c r="C112" s="23" t="s">
        <v>216</v>
      </c>
      <c r="D112" s="24" t="s">
        <v>180</v>
      </c>
      <c r="E112" s="24" t="s">
        <v>172</v>
      </c>
      <c r="F112" s="24"/>
      <c r="G112" s="24">
        <v>155000</v>
      </c>
      <c r="H112" s="24">
        <v>108928</v>
      </c>
      <c r="I112" s="24"/>
      <c r="J112" s="24"/>
      <c r="K112" s="24"/>
      <c r="L112" s="24">
        <v>412500</v>
      </c>
      <c r="M112" s="25">
        <f t="shared" si="130"/>
        <v>676428</v>
      </c>
      <c r="N112" s="34"/>
      <c r="O112" s="34">
        <v>450000</v>
      </c>
      <c r="P112" s="34">
        <v>720000</v>
      </c>
      <c r="Q112" s="34"/>
      <c r="R112" s="24"/>
      <c r="S112" s="24"/>
      <c r="T112" s="24">
        <v>200000</v>
      </c>
      <c r="U112" s="25">
        <f t="shared" si="131"/>
        <v>1370000</v>
      </c>
      <c r="V112" s="28"/>
      <c r="W112" s="28"/>
      <c r="X112" s="28"/>
      <c r="Y112" s="28"/>
      <c r="Z112" s="28"/>
      <c r="AA112" s="28"/>
      <c r="AB112" s="28"/>
      <c r="AC112" s="25">
        <f t="shared" si="132"/>
        <v>0</v>
      </c>
      <c r="AD112" s="28"/>
      <c r="AE112" s="47">
        <v>519950</v>
      </c>
      <c r="AF112" s="47">
        <v>349200</v>
      </c>
      <c r="AG112" s="47"/>
      <c r="AH112" s="28"/>
      <c r="AI112" s="28"/>
      <c r="AJ112" s="28">
        <v>116400</v>
      </c>
      <c r="AK112" s="29">
        <f t="shared" si="133"/>
        <v>985550</v>
      </c>
      <c r="AL112" s="47">
        <v>0</v>
      </c>
      <c r="AM112" s="28"/>
      <c r="AN112" s="28"/>
      <c r="AO112" s="28"/>
      <c r="AP112" s="29">
        <f t="shared" si="134"/>
        <v>0</v>
      </c>
      <c r="AQ112" s="47"/>
      <c r="AR112" s="28"/>
      <c r="AS112" s="28"/>
      <c r="AT112" s="28"/>
      <c r="AU112" s="29">
        <f t="shared" si="135"/>
        <v>0</v>
      </c>
      <c r="AV112" s="47"/>
      <c r="AW112" s="47"/>
      <c r="AX112" s="47"/>
      <c r="AY112" s="47"/>
      <c r="AZ112" s="28"/>
      <c r="BA112" s="28"/>
      <c r="BB112" s="28"/>
      <c r="BC112" s="29">
        <f t="shared" si="136"/>
        <v>0</v>
      </c>
      <c r="BD112" s="24">
        <f t="shared" si="137"/>
        <v>0</v>
      </c>
      <c r="BE112" s="24">
        <f t="shared" si="137"/>
        <v>1124950</v>
      </c>
      <c r="BF112" s="24">
        <f t="shared" si="137"/>
        <v>1178128</v>
      </c>
      <c r="BG112" s="24">
        <f t="shared" si="138"/>
        <v>0</v>
      </c>
      <c r="BH112" s="30">
        <f t="shared" si="138"/>
        <v>0</v>
      </c>
      <c r="BI112" s="30">
        <f t="shared" si="138"/>
        <v>0</v>
      </c>
      <c r="BJ112" s="30">
        <f t="shared" si="138"/>
        <v>728900</v>
      </c>
      <c r="BK112" s="25">
        <f t="shared" si="139"/>
        <v>3031978</v>
      </c>
    </row>
    <row r="113" spans="1:63">
      <c r="A113" s="32"/>
      <c r="B113" s="22">
        <v>29</v>
      </c>
      <c r="C113" s="23" t="s">
        <v>217</v>
      </c>
      <c r="D113" s="24" t="s">
        <v>182</v>
      </c>
      <c r="E113" s="24" t="s">
        <v>172</v>
      </c>
      <c r="F113" s="24"/>
      <c r="G113" s="24"/>
      <c r="H113" s="24">
        <v>155000</v>
      </c>
      <c r="I113" s="24">
        <f>60000+120000</f>
        <v>180000</v>
      </c>
      <c r="J113" s="24"/>
      <c r="K113" s="24"/>
      <c r="L113" s="24"/>
      <c r="M113" s="25">
        <f t="shared" si="130"/>
        <v>335000</v>
      </c>
      <c r="N113" s="24"/>
      <c r="O113" s="24"/>
      <c r="P113" s="24"/>
      <c r="Q113" s="24"/>
      <c r="R113" s="24"/>
      <c r="S113" s="24"/>
      <c r="T113" s="24"/>
      <c r="U113" s="25">
        <f t="shared" si="131"/>
        <v>0</v>
      </c>
      <c r="V113" s="28"/>
      <c r="W113" s="28"/>
      <c r="X113" s="28"/>
      <c r="Y113" s="28"/>
      <c r="Z113" s="28"/>
      <c r="AA113" s="28"/>
      <c r="AB113" s="28"/>
      <c r="AC113" s="25">
        <f t="shared" si="132"/>
        <v>0</v>
      </c>
      <c r="AD113" s="28"/>
      <c r="AE113" s="28">
        <v>195000</v>
      </c>
      <c r="AF113" s="47">
        <v>446200</v>
      </c>
      <c r="AG113" s="47">
        <v>240000</v>
      </c>
      <c r="AH113" s="28"/>
      <c r="AI113" s="28"/>
      <c r="AJ113" s="28"/>
      <c r="AK113" s="29">
        <f t="shared" si="133"/>
        <v>881200</v>
      </c>
      <c r="AL113" s="47">
        <v>945000</v>
      </c>
      <c r="AM113" s="28">
        <f>630000+315000+525000</f>
        <v>1470000</v>
      </c>
      <c r="AN113" s="28">
        <f>1359000+282000+141000</f>
        <v>1782000</v>
      </c>
      <c r="AO113" s="28">
        <v>1269000</v>
      </c>
      <c r="AP113" s="29">
        <f t="shared" si="134"/>
        <v>5466000</v>
      </c>
      <c r="AQ113" s="47"/>
      <c r="AR113" s="28"/>
      <c r="AS113" s="28"/>
      <c r="AT113" s="28"/>
      <c r="AU113" s="29">
        <f t="shared" si="135"/>
        <v>0</v>
      </c>
      <c r="AV113" s="47"/>
      <c r="AW113" s="47"/>
      <c r="AX113" s="47"/>
      <c r="AY113" s="47"/>
      <c r="AZ113" s="28"/>
      <c r="BA113" s="28"/>
      <c r="BB113" s="28"/>
      <c r="BC113" s="29">
        <f t="shared" si="136"/>
        <v>0</v>
      </c>
      <c r="BD113" s="24">
        <f t="shared" si="137"/>
        <v>0</v>
      </c>
      <c r="BE113" s="24">
        <f t="shared" si="137"/>
        <v>195000</v>
      </c>
      <c r="BF113" s="24">
        <f t="shared" si="137"/>
        <v>601200</v>
      </c>
      <c r="BG113" s="24">
        <f t="shared" si="138"/>
        <v>1365000</v>
      </c>
      <c r="BH113" s="30">
        <f t="shared" si="138"/>
        <v>1470000</v>
      </c>
      <c r="BI113" s="30">
        <f t="shared" si="138"/>
        <v>1782000</v>
      </c>
      <c r="BJ113" s="30">
        <f t="shared" si="138"/>
        <v>1269000</v>
      </c>
      <c r="BK113" s="25">
        <f t="shared" si="139"/>
        <v>6682200</v>
      </c>
    </row>
    <row r="114" spans="1:63">
      <c r="A114" s="32"/>
      <c r="B114" s="22">
        <v>30</v>
      </c>
      <c r="C114" s="23" t="s">
        <v>218</v>
      </c>
      <c r="D114" s="24" t="s">
        <v>219</v>
      </c>
      <c r="E114" s="24" t="s">
        <v>172</v>
      </c>
      <c r="F114" s="24"/>
      <c r="G114" s="24"/>
      <c r="H114" s="24">
        <v>155000</v>
      </c>
      <c r="I114" s="24">
        <f>40000+96000</f>
        <v>136000</v>
      </c>
      <c r="J114" s="24"/>
      <c r="K114" s="24"/>
      <c r="L114" s="24"/>
      <c r="M114" s="25">
        <f t="shared" si="130"/>
        <v>291000</v>
      </c>
      <c r="N114" s="24"/>
      <c r="O114" s="24"/>
      <c r="P114" s="24"/>
      <c r="Q114" s="24"/>
      <c r="R114" s="24"/>
      <c r="S114" s="24"/>
      <c r="T114" s="24"/>
      <c r="U114" s="25">
        <f t="shared" si="131"/>
        <v>0</v>
      </c>
      <c r="V114" s="28"/>
      <c r="W114" s="28"/>
      <c r="X114" s="28"/>
      <c r="Y114" s="28"/>
      <c r="Z114" s="28"/>
      <c r="AA114" s="28"/>
      <c r="AB114" s="28"/>
      <c r="AC114" s="25">
        <f t="shared" si="132"/>
        <v>0</v>
      </c>
      <c r="AD114" s="28"/>
      <c r="AE114" s="28"/>
      <c r="AF114" s="47">
        <v>195000</v>
      </c>
      <c r="AG114" s="47">
        <v>182000</v>
      </c>
      <c r="AH114" s="28"/>
      <c r="AI114" s="28"/>
      <c r="AJ114" s="28"/>
      <c r="AK114" s="29">
        <f t="shared" si="133"/>
        <v>377000</v>
      </c>
      <c r="AL114" s="47">
        <v>945000</v>
      </c>
      <c r="AM114" s="28">
        <f>315000+234500+280000+283500+196000</f>
        <v>1309000</v>
      </c>
      <c r="AN114" s="28">
        <f>1294400+312000+156000</f>
        <v>1762400</v>
      </c>
      <c r="AO114" s="28">
        <v>1862000</v>
      </c>
      <c r="AP114" s="29">
        <f t="shared" si="134"/>
        <v>5878400</v>
      </c>
      <c r="AQ114" s="47"/>
      <c r="AR114" s="28"/>
      <c r="AS114" s="28"/>
      <c r="AT114" s="28"/>
      <c r="AU114" s="29">
        <f t="shared" si="135"/>
        <v>0</v>
      </c>
      <c r="AV114" s="47"/>
      <c r="AW114" s="47"/>
      <c r="AX114" s="47"/>
      <c r="AY114" s="47"/>
      <c r="AZ114" s="28"/>
      <c r="BA114" s="28"/>
      <c r="BB114" s="28"/>
      <c r="BC114" s="29">
        <f t="shared" si="136"/>
        <v>0</v>
      </c>
      <c r="BD114" s="24">
        <f t="shared" si="137"/>
        <v>0</v>
      </c>
      <c r="BE114" s="24">
        <f t="shared" si="137"/>
        <v>0</v>
      </c>
      <c r="BF114" s="24">
        <f t="shared" si="137"/>
        <v>350000</v>
      </c>
      <c r="BG114" s="24">
        <f t="shared" si="138"/>
        <v>1263000</v>
      </c>
      <c r="BH114" s="30">
        <f t="shared" si="138"/>
        <v>1309000</v>
      </c>
      <c r="BI114" s="30">
        <f t="shared" si="138"/>
        <v>1762400</v>
      </c>
      <c r="BJ114" s="30">
        <f t="shared" si="138"/>
        <v>1862000</v>
      </c>
      <c r="BK114" s="25">
        <f t="shared" si="139"/>
        <v>6546400</v>
      </c>
    </row>
    <row r="115" spans="1:63" ht="31.5">
      <c r="A115" s="14"/>
      <c r="B115" s="22">
        <v>31</v>
      </c>
      <c r="C115" s="23" t="s">
        <v>220</v>
      </c>
      <c r="D115" s="24" t="s">
        <v>221</v>
      </c>
      <c r="E115" s="24" t="s">
        <v>172</v>
      </c>
      <c r="F115" s="24"/>
      <c r="G115" s="24"/>
      <c r="H115" s="24">
        <v>155000</v>
      </c>
      <c r="I115" s="24"/>
      <c r="J115" s="24"/>
      <c r="K115" s="24"/>
      <c r="L115" s="24"/>
      <c r="M115" s="25">
        <f t="shared" si="130"/>
        <v>155000</v>
      </c>
      <c r="N115" s="24"/>
      <c r="O115" s="24"/>
      <c r="P115" s="24"/>
      <c r="Q115" s="24"/>
      <c r="R115" s="24"/>
      <c r="S115" s="24"/>
      <c r="T115" s="24"/>
      <c r="U115" s="25">
        <f t="shared" si="131"/>
        <v>0</v>
      </c>
      <c r="V115" s="28"/>
      <c r="W115" s="28"/>
      <c r="X115" s="24">
        <v>290000</v>
      </c>
      <c r="Y115" s="28"/>
      <c r="Z115" s="28"/>
      <c r="AA115" s="28"/>
      <c r="AB115" s="28"/>
      <c r="AC115" s="25">
        <f t="shared" si="132"/>
        <v>290000</v>
      </c>
      <c r="AD115" s="28"/>
      <c r="AE115" s="28"/>
      <c r="AF115" s="47">
        <v>195000</v>
      </c>
      <c r="AG115" s="47"/>
      <c r="AH115" s="28"/>
      <c r="AI115" s="28"/>
      <c r="AJ115" s="28"/>
      <c r="AK115" s="29">
        <f t="shared" si="133"/>
        <v>195000</v>
      </c>
      <c r="AL115" s="47">
        <v>0</v>
      </c>
      <c r="AM115" s="28"/>
      <c r="AN115" s="28"/>
      <c r="AO115" s="28"/>
      <c r="AP115" s="29">
        <f t="shared" si="134"/>
        <v>0</v>
      </c>
      <c r="AQ115" s="47"/>
      <c r="AR115" s="28"/>
      <c r="AS115" s="28"/>
      <c r="AT115" s="28"/>
      <c r="AU115" s="29">
        <f t="shared" si="135"/>
        <v>0</v>
      </c>
      <c r="AV115" s="47"/>
      <c r="AW115" s="47"/>
      <c r="AX115" s="47"/>
      <c r="AY115" s="47"/>
      <c r="AZ115" s="28"/>
      <c r="BA115" s="28"/>
      <c r="BB115" s="28"/>
      <c r="BC115" s="29">
        <f t="shared" si="136"/>
        <v>0</v>
      </c>
      <c r="BD115" s="24">
        <f t="shared" si="137"/>
        <v>0</v>
      </c>
      <c r="BE115" s="24">
        <f t="shared" si="137"/>
        <v>0</v>
      </c>
      <c r="BF115" s="24">
        <f t="shared" si="137"/>
        <v>640000</v>
      </c>
      <c r="BG115" s="24">
        <f t="shared" si="138"/>
        <v>0</v>
      </c>
      <c r="BH115" s="30">
        <f t="shared" si="138"/>
        <v>0</v>
      </c>
      <c r="BI115" s="30">
        <f t="shared" si="138"/>
        <v>0</v>
      </c>
      <c r="BJ115" s="30">
        <f t="shared" si="138"/>
        <v>0</v>
      </c>
      <c r="BK115" s="25">
        <f t="shared" si="139"/>
        <v>640000</v>
      </c>
    </row>
    <row r="116" spans="1:63" s="42" customFormat="1">
      <c r="A116" s="37"/>
      <c r="B116" s="37"/>
      <c r="C116" s="38" t="s">
        <v>222</v>
      </c>
      <c r="D116" s="40"/>
      <c r="E116" s="40"/>
      <c r="F116" s="40">
        <f>SUM(F85:F115)</f>
        <v>775000</v>
      </c>
      <c r="G116" s="40">
        <f t="shared" ref="G116:BK116" si="140">SUM(G85:G115)</f>
        <v>7149160</v>
      </c>
      <c r="H116" s="40">
        <f t="shared" si="140"/>
        <v>8450814</v>
      </c>
      <c r="I116" s="40">
        <f t="shared" si="140"/>
        <v>2787000</v>
      </c>
      <c r="J116" s="40">
        <f t="shared" si="140"/>
        <v>950500</v>
      </c>
      <c r="K116" s="40">
        <f t="shared" si="140"/>
        <v>1577885</v>
      </c>
      <c r="L116" s="40">
        <f t="shared" si="140"/>
        <v>1974530</v>
      </c>
      <c r="M116" s="40">
        <f t="shared" si="140"/>
        <v>23664889</v>
      </c>
      <c r="N116" s="40">
        <f t="shared" si="140"/>
        <v>290000</v>
      </c>
      <c r="O116" s="40">
        <f t="shared" si="140"/>
        <v>12120000</v>
      </c>
      <c r="P116" s="40">
        <f t="shared" si="140"/>
        <v>14070000</v>
      </c>
      <c r="Q116" s="40">
        <f t="shared" si="140"/>
        <v>5605000</v>
      </c>
      <c r="R116" s="40">
        <f t="shared" si="140"/>
        <v>4040000</v>
      </c>
      <c r="S116" s="40">
        <f t="shared" si="140"/>
        <v>8600000</v>
      </c>
      <c r="T116" s="40">
        <f t="shared" si="140"/>
        <v>9760000</v>
      </c>
      <c r="U116" s="40">
        <f t="shared" si="140"/>
        <v>54485000</v>
      </c>
      <c r="V116" s="40">
        <f t="shared" si="140"/>
        <v>0</v>
      </c>
      <c r="W116" s="40">
        <f t="shared" si="140"/>
        <v>3302000</v>
      </c>
      <c r="X116" s="40">
        <f t="shared" si="140"/>
        <v>2864000</v>
      </c>
      <c r="Y116" s="40">
        <f t="shared" si="140"/>
        <v>3261000</v>
      </c>
      <c r="Z116" s="40">
        <f t="shared" si="140"/>
        <v>975000</v>
      </c>
      <c r="AA116" s="40">
        <f t="shared" si="140"/>
        <v>1335000</v>
      </c>
      <c r="AB116" s="40">
        <f t="shared" si="140"/>
        <v>1177000</v>
      </c>
      <c r="AC116" s="40">
        <f t="shared" si="140"/>
        <v>12914000</v>
      </c>
      <c r="AD116" s="40">
        <f t="shared" si="140"/>
        <v>585000</v>
      </c>
      <c r="AE116" s="40">
        <f t="shared" si="140"/>
        <v>14900906</v>
      </c>
      <c r="AF116" s="40">
        <f t="shared" si="140"/>
        <v>12709450</v>
      </c>
      <c r="AG116" s="40">
        <f t="shared" si="140"/>
        <v>6797000</v>
      </c>
      <c r="AH116" s="40">
        <f t="shared" si="140"/>
        <v>3969000</v>
      </c>
      <c r="AI116" s="40">
        <f t="shared" si="140"/>
        <v>5052550</v>
      </c>
      <c r="AJ116" s="40">
        <f t="shared" si="140"/>
        <v>5114900</v>
      </c>
      <c r="AK116" s="40">
        <f t="shared" si="140"/>
        <v>49128806</v>
      </c>
      <c r="AL116" s="40">
        <f t="shared" si="140"/>
        <v>7591000</v>
      </c>
      <c r="AM116" s="40">
        <f t="shared" si="140"/>
        <v>9078500</v>
      </c>
      <c r="AN116" s="40">
        <f t="shared" si="140"/>
        <v>11490455</v>
      </c>
      <c r="AO116" s="40">
        <f t="shared" si="140"/>
        <v>11118120</v>
      </c>
      <c r="AP116" s="40">
        <f t="shared" si="140"/>
        <v>39278075</v>
      </c>
      <c r="AQ116" s="40">
        <f t="shared" si="140"/>
        <v>2700000</v>
      </c>
      <c r="AR116" s="40">
        <f t="shared" si="140"/>
        <v>4200000</v>
      </c>
      <c r="AS116" s="40">
        <f t="shared" si="140"/>
        <v>8077500</v>
      </c>
      <c r="AT116" s="40">
        <f t="shared" si="140"/>
        <v>8304500</v>
      </c>
      <c r="AU116" s="40">
        <f t="shared" si="140"/>
        <v>23282000</v>
      </c>
      <c r="AV116" s="40">
        <f t="shared" si="140"/>
        <v>0</v>
      </c>
      <c r="AW116" s="40">
        <f t="shared" si="140"/>
        <v>848400</v>
      </c>
      <c r="AX116" s="40">
        <f t="shared" si="140"/>
        <v>2010800</v>
      </c>
      <c r="AY116" s="40">
        <f t="shared" si="140"/>
        <v>208000</v>
      </c>
      <c r="AZ116" s="40">
        <f t="shared" si="140"/>
        <v>0</v>
      </c>
      <c r="BA116" s="40">
        <f t="shared" si="140"/>
        <v>0</v>
      </c>
      <c r="BB116" s="40">
        <f t="shared" si="140"/>
        <v>0</v>
      </c>
      <c r="BC116" s="40">
        <f t="shared" si="140"/>
        <v>3067200</v>
      </c>
      <c r="BD116" s="40">
        <f t="shared" si="140"/>
        <v>1650000</v>
      </c>
      <c r="BE116" s="40">
        <f t="shared" si="140"/>
        <v>38320466</v>
      </c>
      <c r="BF116" s="40">
        <f t="shared" si="140"/>
        <v>40105064</v>
      </c>
      <c r="BG116" s="40">
        <f t="shared" si="140"/>
        <v>28949000</v>
      </c>
      <c r="BH116" s="40">
        <f t="shared" si="140"/>
        <v>23213000</v>
      </c>
      <c r="BI116" s="41">
        <f>SUM(BI85:BI115)</f>
        <v>36133390</v>
      </c>
      <c r="BJ116" s="40">
        <f t="shared" ref="BJ116" si="141">SUM(BJ85:BJ115)</f>
        <v>37449050</v>
      </c>
      <c r="BK116" s="40">
        <f t="shared" si="140"/>
        <v>205819970</v>
      </c>
    </row>
    <row r="117" spans="1:63" ht="31.5">
      <c r="A117" s="6" t="s">
        <v>223</v>
      </c>
      <c r="B117" s="22">
        <v>1</v>
      </c>
      <c r="C117" s="23" t="s">
        <v>224</v>
      </c>
      <c r="D117" s="36" t="s">
        <v>225</v>
      </c>
      <c r="E117" s="24" t="s">
        <v>223</v>
      </c>
      <c r="F117" s="24"/>
      <c r="G117" s="24"/>
      <c r="H117" s="36"/>
      <c r="I117" s="24"/>
      <c r="J117" s="24"/>
      <c r="K117" s="24"/>
      <c r="L117" s="24"/>
      <c r="M117" s="25">
        <f t="shared" ref="M117:M120" si="142">SUM(F117:L117)</f>
        <v>0</v>
      </c>
      <c r="N117" s="24"/>
      <c r="O117" s="24"/>
      <c r="P117" s="24"/>
      <c r="Q117" s="24"/>
      <c r="R117" s="24"/>
      <c r="S117" s="24"/>
      <c r="T117" s="24"/>
      <c r="U117" s="25">
        <f t="shared" ref="U117:U120" si="143">SUM(N117:T117)</f>
        <v>0</v>
      </c>
      <c r="V117" s="28">
        <v>290000</v>
      </c>
      <c r="W117" s="28"/>
      <c r="X117" s="24">
        <v>273000</v>
      </c>
      <c r="Y117" s="48">
        <v>252000</v>
      </c>
      <c r="Z117" s="48"/>
      <c r="AA117" s="48"/>
      <c r="AB117" s="48"/>
      <c r="AC117" s="25">
        <f t="shared" ref="AC117:AC120" si="144">SUM(V117:AB117)</f>
        <v>815000</v>
      </c>
      <c r="AD117" s="28"/>
      <c r="AE117" s="28"/>
      <c r="AF117" s="47"/>
      <c r="AG117" s="47"/>
      <c r="AH117" s="28"/>
      <c r="AI117" s="28"/>
      <c r="AJ117" s="28"/>
      <c r="AK117" s="29">
        <f t="shared" ref="AK117:AK120" si="145">SUM(AD117:AJ117)</f>
        <v>0</v>
      </c>
      <c r="AL117" s="47"/>
      <c r="AM117" s="28"/>
      <c r="AN117" s="28"/>
      <c r="AO117" s="28"/>
      <c r="AP117" s="29">
        <f t="shared" ref="AP117:AP120" si="146">SUM(AL117:AO117)</f>
        <v>0</v>
      </c>
      <c r="AQ117" s="47"/>
      <c r="AR117" s="28"/>
      <c r="AS117" s="28"/>
      <c r="AT117" s="28"/>
      <c r="AU117" s="29">
        <f t="shared" ref="AU117:AU120" si="147">SUM(AQ117:AT117)</f>
        <v>0</v>
      </c>
      <c r="AV117" s="47"/>
      <c r="AW117" s="47"/>
      <c r="AX117" s="47"/>
      <c r="AY117" s="47"/>
      <c r="AZ117" s="28"/>
      <c r="BA117" s="28"/>
      <c r="BB117" s="28"/>
      <c r="BC117" s="29">
        <f t="shared" ref="BC117:BC120" si="148">SUM(AV117:BB117)</f>
        <v>0</v>
      </c>
      <c r="BD117" s="24">
        <f t="shared" ref="BD117:BF120" si="149">F117+N117+V117+AD117+AV117</f>
        <v>290000</v>
      </c>
      <c r="BE117" s="24">
        <f t="shared" si="149"/>
        <v>0</v>
      </c>
      <c r="BF117" s="24">
        <f t="shared" si="149"/>
        <v>273000</v>
      </c>
      <c r="BG117" s="24">
        <f t="shared" ref="BG117:BJ120" si="150">I117+Q117+Y117+AG117+AL117+AQ117+AY117</f>
        <v>252000</v>
      </c>
      <c r="BH117" s="30">
        <f t="shared" si="150"/>
        <v>0</v>
      </c>
      <c r="BI117" s="30">
        <f t="shared" si="150"/>
        <v>0</v>
      </c>
      <c r="BJ117" s="30">
        <f t="shared" si="150"/>
        <v>0</v>
      </c>
      <c r="BK117" s="25">
        <f t="shared" ref="BK117:BK120" si="151">SUM(BD117:BJ117)</f>
        <v>815000</v>
      </c>
    </row>
    <row r="118" spans="1:63" ht="47.25">
      <c r="A118" s="32"/>
      <c r="B118" s="22">
        <v>2</v>
      </c>
      <c r="C118" s="23" t="s">
        <v>226</v>
      </c>
      <c r="D118" s="24" t="s">
        <v>227</v>
      </c>
      <c r="E118" s="24" t="s">
        <v>223</v>
      </c>
      <c r="F118" s="24"/>
      <c r="G118" s="24"/>
      <c r="H118" s="36"/>
      <c r="I118" s="24"/>
      <c r="J118" s="24"/>
      <c r="K118" s="24"/>
      <c r="L118" s="24"/>
      <c r="M118" s="25">
        <f t="shared" si="142"/>
        <v>0</v>
      </c>
      <c r="N118" s="34"/>
      <c r="O118" s="34">
        <v>310000</v>
      </c>
      <c r="P118" s="34">
        <v>480000</v>
      </c>
      <c r="Q118" s="34">
        <v>330000</v>
      </c>
      <c r="R118" s="24">
        <f>340000+60000+60000</f>
        <v>460000</v>
      </c>
      <c r="S118" s="24">
        <v>1450000</v>
      </c>
      <c r="T118" s="24">
        <f>200000+300000+200000+100000+330000</f>
        <v>1130000</v>
      </c>
      <c r="U118" s="25">
        <f t="shared" si="143"/>
        <v>4160000</v>
      </c>
      <c r="V118" s="28"/>
      <c r="W118" s="28"/>
      <c r="X118" s="24"/>
      <c r="Y118" s="28"/>
      <c r="Z118" s="28"/>
      <c r="AA118" s="28"/>
      <c r="AB118" s="28"/>
      <c r="AC118" s="25">
        <f t="shared" si="144"/>
        <v>0</v>
      </c>
      <c r="AD118" s="28"/>
      <c r="AE118" s="28"/>
      <c r="AF118" s="47"/>
      <c r="AG118" s="47"/>
      <c r="AH118" s="28"/>
      <c r="AI118" s="28"/>
      <c r="AJ118" s="28"/>
      <c r="AK118" s="29">
        <f t="shared" si="145"/>
        <v>0</v>
      </c>
      <c r="AL118" s="47"/>
      <c r="AM118" s="28"/>
      <c r="AN118" s="28"/>
      <c r="AO118" s="28"/>
      <c r="AP118" s="29">
        <f t="shared" si="146"/>
        <v>0</v>
      </c>
      <c r="AQ118" s="47"/>
      <c r="AR118" s="28"/>
      <c r="AS118" s="28"/>
      <c r="AT118" s="28"/>
      <c r="AU118" s="29">
        <f t="shared" si="147"/>
        <v>0</v>
      </c>
      <c r="AV118" s="47"/>
      <c r="AW118" s="47"/>
      <c r="AX118" s="47"/>
      <c r="AY118" s="47"/>
      <c r="AZ118" s="28"/>
      <c r="BA118" s="28"/>
      <c r="BB118" s="28"/>
      <c r="BC118" s="29">
        <f t="shared" si="148"/>
        <v>0</v>
      </c>
      <c r="BD118" s="24">
        <f t="shared" si="149"/>
        <v>0</v>
      </c>
      <c r="BE118" s="24">
        <f t="shared" si="149"/>
        <v>310000</v>
      </c>
      <c r="BF118" s="24">
        <f t="shared" si="149"/>
        <v>480000</v>
      </c>
      <c r="BG118" s="24">
        <f t="shared" si="150"/>
        <v>330000</v>
      </c>
      <c r="BH118" s="30">
        <f t="shared" si="150"/>
        <v>460000</v>
      </c>
      <c r="BI118" s="30">
        <f t="shared" si="150"/>
        <v>1450000</v>
      </c>
      <c r="BJ118" s="30">
        <f t="shared" si="150"/>
        <v>1130000</v>
      </c>
      <c r="BK118" s="25">
        <f t="shared" si="151"/>
        <v>4160000</v>
      </c>
    </row>
    <row r="119" spans="1:63" ht="31.5">
      <c r="A119" s="32"/>
      <c r="B119" s="22">
        <v>3</v>
      </c>
      <c r="C119" s="23" t="s">
        <v>228</v>
      </c>
      <c r="D119" s="36" t="s">
        <v>229</v>
      </c>
      <c r="E119" s="24" t="s">
        <v>223</v>
      </c>
      <c r="F119" s="24"/>
      <c r="G119" s="24"/>
      <c r="H119" s="36"/>
      <c r="I119" s="24"/>
      <c r="J119" s="24"/>
      <c r="K119" s="24"/>
      <c r="L119" s="24"/>
      <c r="M119" s="25">
        <f t="shared" si="142"/>
        <v>0</v>
      </c>
      <c r="N119" s="24"/>
      <c r="O119" s="24"/>
      <c r="P119" s="24"/>
      <c r="Q119" s="24"/>
      <c r="R119" s="24"/>
      <c r="S119" s="24"/>
      <c r="T119" s="24"/>
      <c r="U119" s="25">
        <f t="shared" si="143"/>
        <v>0</v>
      </c>
      <c r="V119" s="28"/>
      <c r="W119" s="28"/>
      <c r="X119" s="24"/>
      <c r="Y119" s="28"/>
      <c r="Z119" s="28"/>
      <c r="AA119" s="28"/>
      <c r="AB119" s="28"/>
      <c r="AC119" s="25">
        <f t="shared" si="144"/>
        <v>0</v>
      </c>
      <c r="AD119" s="28"/>
      <c r="AE119" s="47">
        <v>330800</v>
      </c>
      <c r="AF119" s="47">
        <f>106700+198000</f>
        <v>304700</v>
      </c>
      <c r="AG119" s="47">
        <v>446500</v>
      </c>
      <c r="AH119" s="28">
        <f>91000+234500+262500</f>
        <v>588000</v>
      </c>
      <c r="AI119" s="28">
        <v>341250</v>
      </c>
      <c r="AJ119" s="28">
        <v>788100</v>
      </c>
      <c r="AK119" s="29">
        <f t="shared" si="145"/>
        <v>2799350</v>
      </c>
      <c r="AL119" s="47"/>
      <c r="AM119" s="28"/>
      <c r="AN119" s="28"/>
      <c r="AO119" s="28"/>
      <c r="AP119" s="29">
        <f t="shared" si="146"/>
        <v>0</v>
      </c>
      <c r="AQ119" s="47"/>
      <c r="AR119" s="28"/>
      <c r="AS119" s="28"/>
      <c r="AT119" s="28"/>
      <c r="AU119" s="29">
        <f t="shared" si="147"/>
        <v>0</v>
      </c>
      <c r="AV119" s="47"/>
      <c r="AW119" s="47"/>
      <c r="AX119" s="47"/>
      <c r="AY119" s="47"/>
      <c r="AZ119" s="28"/>
      <c r="BA119" s="28"/>
      <c r="BB119" s="28"/>
      <c r="BC119" s="29">
        <f t="shared" si="148"/>
        <v>0</v>
      </c>
      <c r="BD119" s="24">
        <f t="shared" si="149"/>
        <v>0</v>
      </c>
      <c r="BE119" s="24">
        <f t="shared" si="149"/>
        <v>330800</v>
      </c>
      <c r="BF119" s="24">
        <f t="shared" si="149"/>
        <v>304700</v>
      </c>
      <c r="BG119" s="24">
        <f t="shared" si="150"/>
        <v>446500</v>
      </c>
      <c r="BH119" s="30">
        <f t="shared" si="150"/>
        <v>588000</v>
      </c>
      <c r="BI119" s="30">
        <f t="shared" si="150"/>
        <v>341250</v>
      </c>
      <c r="BJ119" s="30">
        <f t="shared" si="150"/>
        <v>788100</v>
      </c>
      <c r="BK119" s="25">
        <f t="shared" si="151"/>
        <v>2799350</v>
      </c>
    </row>
    <row r="120" spans="1:63" ht="31.5">
      <c r="A120" s="14"/>
      <c r="B120" s="22">
        <v>4</v>
      </c>
      <c r="C120" s="23" t="s">
        <v>230</v>
      </c>
      <c r="D120" s="24" t="s">
        <v>231</v>
      </c>
      <c r="E120" s="24" t="s">
        <v>223</v>
      </c>
      <c r="F120" s="24">
        <v>155000</v>
      </c>
      <c r="G120" s="24"/>
      <c r="H120" s="36"/>
      <c r="I120" s="24"/>
      <c r="J120" s="24"/>
      <c r="K120" s="24"/>
      <c r="L120" s="24"/>
      <c r="M120" s="25">
        <f t="shared" si="142"/>
        <v>155000</v>
      </c>
      <c r="N120" s="24"/>
      <c r="O120" s="24"/>
      <c r="P120" s="24"/>
      <c r="Q120" s="24"/>
      <c r="R120" s="24"/>
      <c r="S120" s="24"/>
      <c r="T120" s="24"/>
      <c r="U120" s="25">
        <f t="shared" si="143"/>
        <v>0</v>
      </c>
      <c r="V120" s="28"/>
      <c r="W120" s="28"/>
      <c r="X120" s="28"/>
      <c r="Y120" s="28"/>
      <c r="Z120" s="28"/>
      <c r="AA120" s="28"/>
      <c r="AB120" s="28"/>
      <c r="AC120" s="25">
        <f t="shared" si="144"/>
        <v>0</v>
      </c>
      <c r="AD120" s="28">
        <v>195000</v>
      </c>
      <c r="AE120" s="28"/>
      <c r="AF120" s="28"/>
      <c r="AG120" s="28"/>
      <c r="AH120" s="28"/>
      <c r="AI120" s="28"/>
      <c r="AJ120" s="28"/>
      <c r="AK120" s="29">
        <f t="shared" si="145"/>
        <v>195000</v>
      </c>
      <c r="AL120" s="47"/>
      <c r="AM120" s="28"/>
      <c r="AN120" s="28"/>
      <c r="AO120" s="28"/>
      <c r="AP120" s="29">
        <f t="shared" si="146"/>
        <v>0</v>
      </c>
      <c r="AQ120" s="47"/>
      <c r="AR120" s="28"/>
      <c r="AS120" s="28"/>
      <c r="AT120" s="28"/>
      <c r="AU120" s="29">
        <f t="shared" si="147"/>
        <v>0</v>
      </c>
      <c r="AV120" s="47"/>
      <c r="AW120" s="47"/>
      <c r="AX120" s="47"/>
      <c r="AY120" s="47"/>
      <c r="AZ120" s="28"/>
      <c r="BA120" s="28"/>
      <c r="BB120" s="28"/>
      <c r="BC120" s="29">
        <f t="shared" si="148"/>
        <v>0</v>
      </c>
      <c r="BD120" s="24">
        <f t="shared" si="149"/>
        <v>350000</v>
      </c>
      <c r="BE120" s="24">
        <f t="shared" si="149"/>
        <v>0</v>
      </c>
      <c r="BF120" s="24">
        <f t="shared" si="149"/>
        <v>0</v>
      </c>
      <c r="BG120" s="24">
        <f t="shared" si="150"/>
        <v>0</v>
      </c>
      <c r="BH120" s="30">
        <f t="shared" si="150"/>
        <v>0</v>
      </c>
      <c r="BI120" s="30">
        <f t="shared" si="150"/>
        <v>0</v>
      </c>
      <c r="BJ120" s="30">
        <f t="shared" si="150"/>
        <v>0</v>
      </c>
      <c r="BK120" s="25">
        <f t="shared" si="151"/>
        <v>350000</v>
      </c>
    </row>
    <row r="121" spans="1:63" s="42" customFormat="1">
      <c r="A121" s="37"/>
      <c r="B121" s="37"/>
      <c r="C121" s="38" t="s">
        <v>232</v>
      </c>
      <c r="D121" s="40"/>
      <c r="E121" s="40"/>
      <c r="F121" s="40">
        <f>SUM(F117:F120)</f>
        <v>155000</v>
      </c>
      <c r="G121" s="40">
        <f t="shared" ref="G121:BK121" si="152">SUM(G117:G120)</f>
        <v>0</v>
      </c>
      <c r="H121" s="40">
        <f t="shared" si="152"/>
        <v>0</v>
      </c>
      <c r="I121" s="40">
        <f t="shared" si="152"/>
        <v>0</v>
      </c>
      <c r="J121" s="40">
        <f t="shared" si="152"/>
        <v>0</v>
      </c>
      <c r="K121" s="40">
        <f t="shared" si="152"/>
        <v>0</v>
      </c>
      <c r="L121" s="40">
        <f t="shared" si="152"/>
        <v>0</v>
      </c>
      <c r="M121" s="40">
        <f t="shared" si="152"/>
        <v>155000</v>
      </c>
      <c r="N121" s="40">
        <f t="shared" si="152"/>
        <v>0</v>
      </c>
      <c r="O121" s="40">
        <f t="shared" si="152"/>
        <v>310000</v>
      </c>
      <c r="P121" s="40">
        <f t="shared" si="152"/>
        <v>480000</v>
      </c>
      <c r="Q121" s="40">
        <f t="shared" si="152"/>
        <v>330000</v>
      </c>
      <c r="R121" s="40">
        <f t="shared" si="152"/>
        <v>460000</v>
      </c>
      <c r="S121" s="40">
        <f t="shared" si="152"/>
        <v>1450000</v>
      </c>
      <c r="T121" s="40">
        <f t="shared" si="152"/>
        <v>1130000</v>
      </c>
      <c r="U121" s="40">
        <f t="shared" si="152"/>
        <v>4160000</v>
      </c>
      <c r="V121" s="40">
        <f t="shared" si="152"/>
        <v>290000</v>
      </c>
      <c r="W121" s="40">
        <f t="shared" si="152"/>
        <v>0</v>
      </c>
      <c r="X121" s="40">
        <f t="shared" si="152"/>
        <v>273000</v>
      </c>
      <c r="Y121" s="40">
        <f t="shared" si="152"/>
        <v>252000</v>
      </c>
      <c r="Z121" s="40">
        <f t="shared" si="152"/>
        <v>0</v>
      </c>
      <c r="AA121" s="40">
        <f t="shared" si="152"/>
        <v>0</v>
      </c>
      <c r="AB121" s="40">
        <f t="shared" si="152"/>
        <v>0</v>
      </c>
      <c r="AC121" s="40">
        <f t="shared" si="152"/>
        <v>815000</v>
      </c>
      <c r="AD121" s="40">
        <f t="shared" si="152"/>
        <v>195000</v>
      </c>
      <c r="AE121" s="40">
        <f t="shared" si="152"/>
        <v>330800</v>
      </c>
      <c r="AF121" s="40">
        <f t="shared" si="152"/>
        <v>304700</v>
      </c>
      <c r="AG121" s="40">
        <f t="shared" si="152"/>
        <v>446500</v>
      </c>
      <c r="AH121" s="40">
        <f t="shared" si="152"/>
        <v>588000</v>
      </c>
      <c r="AI121" s="40">
        <f t="shared" si="152"/>
        <v>341250</v>
      </c>
      <c r="AJ121" s="40">
        <f t="shared" si="152"/>
        <v>788100</v>
      </c>
      <c r="AK121" s="40">
        <f t="shared" si="152"/>
        <v>2994350</v>
      </c>
      <c r="AL121" s="40">
        <f t="shared" si="152"/>
        <v>0</v>
      </c>
      <c r="AM121" s="40">
        <f t="shared" si="152"/>
        <v>0</v>
      </c>
      <c r="AN121" s="40">
        <f t="shared" si="152"/>
        <v>0</v>
      </c>
      <c r="AO121" s="40">
        <f t="shared" si="152"/>
        <v>0</v>
      </c>
      <c r="AP121" s="40">
        <f t="shared" si="152"/>
        <v>0</v>
      </c>
      <c r="AQ121" s="40">
        <f t="shared" si="152"/>
        <v>0</v>
      </c>
      <c r="AR121" s="40">
        <f t="shared" si="152"/>
        <v>0</v>
      </c>
      <c r="AS121" s="40">
        <f t="shared" si="152"/>
        <v>0</v>
      </c>
      <c r="AT121" s="40">
        <f t="shared" si="152"/>
        <v>0</v>
      </c>
      <c r="AU121" s="40">
        <f t="shared" si="152"/>
        <v>0</v>
      </c>
      <c r="AV121" s="40">
        <f t="shared" si="152"/>
        <v>0</v>
      </c>
      <c r="AW121" s="40">
        <f t="shared" si="152"/>
        <v>0</v>
      </c>
      <c r="AX121" s="40">
        <f t="shared" si="152"/>
        <v>0</v>
      </c>
      <c r="AY121" s="40">
        <f t="shared" si="152"/>
        <v>0</v>
      </c>
      <c r="AZ121" s="40">
        <f t="shared" si="152"/>
        <v>0</v>
      </c>
      <c r="BA121" s="40">
        <f t="shared" si="152"/>
        <v>0</v>
      </c>
      <c r="BB121" s="40">
        <f t="shared" si="152"/>
        <v>0</v>
      </c>
      <c r="BC121" s="40">
        <f t="shared" si="152"/>
        <v>0</v>
      </c>
      <c r="BD121" s="40">
        <f t="shared" si="152"/>
        <v>640000</v>
      </c>
      <c r="BE121" s="40">
        <f t="shared" si="152"/>
        <v>640800</v>
      </c>
      <c r="BF121" s="40">
        <f t="shared" si="152"/>
        <v>1057700</v>
      </c>
      <c r="BG121" s="40">
        <f t="shared" si="152"/>
        <v>1028500</v>
      </c>
      <c r="BH121" s="40">
        <f t="shared" si="152"/>
        <v>1048000</v>
      </c>
      <c r="BI121" s="41">
        <f>SUM(BI117:BI120)</f>
        <v>1791250</v>
      </c>
      <c r="BJ121" s="40">
        <f t="shared" ref="BJ121" si="153">SUM(BJ117:BJ120)</f>
        <v>1918100</v>
      </c>
      <c r="BK121" s="40">
        <f t="shared" si="152"/>
        <v>8124350</v>
      </c>
    </row>
    <row r="122" spans="1:63">
      <c r="A122" s="6" t="s">
        <v>233</v>
      </c>
      <c r="B122" s="22">
        <v>1</v>
      </c>
      <c r="C122" s="23" t="s">
        <v>234</v>
      </c>
      <c r="D122" s="24" t="s">
        <v>235</v>
      </c>
      <c r="E122" s="24" t="s">
        <v>233</v>
      </c>
      <c r="F122" s="24"/>
      <c r="G122" s="24">
        <v>155000</v>
      </c>
      <c r="H122" s="24"/>
      <c r="I122" s="24"/>
      <c r="J122" s="24"/>
      <c r="K122" s="24"/>
      <c r="L122" s="24"/>
      <c r="M122" s="25">
        <f t="shared" ref="M122:M124" si="154">SUM(F122:L122)</f>
        <v>155000</v>
      </c>
      <c r="N122" s="34"/>
      <c r="O122" s="34">
        <v>290000</v>
      </c>
      <c r="P122" s="34"/>
      <c r="Q122" s="34"/>
      <c r="R122" s="24"/>
      <c r="S122" s="24"/>
      <c r="T122" s="24"/>
      <c r="U122" s="25">
        <f t="shared" ref="U122:U124" si="155">SUM(N122:T122)</f>
        <v>290000</v>
      </c>
      <c r="V122" s="28"/>
      <c r="W122" s="28">
        <v>290000</v>
      </c>
      <c r="X122" s="24">
        <v>175000</v>
      </c>
      <c r="Y122" s="28"/>
      <c r="Z122" s="28"/>
      <c r="AA122" s="28"/>
      <c r="AB122" s="28"/>
      <c r="AC122" s="25">
        <f t="shared" ref="AC122:AC124" si="156">SUM(V122:AB122)</f>
        <v>465000</v>
      </c>
      <c r="AD122" s="28"/>
      <c r="AE122" s="28"/>
      <c r="AF122" s="28"/>
      <c r="AG122" s="28"/>
      <c r="AH122" s="28"/>
      <c r="AI122" s="28"/>
      <c r="AJ122" s="28"/>
      <c r="AK122" s="29">
        <f t="shared" ref="AK122:AK124" si="157">SUM(AD122:AJ122)</f>
        <v>0</v>
      </c>
      <c r="AL122" s="47"/>
      <c r="AM122" s="28"/>
      <c r="AN122" s="28"/>
      <c r="AO122" s="28"/>
      <c r="AP122" s="29">
        <f t="shared" ref="AP122:AP124" si="158">SUM(AL122:AO122)</f>
        <v>0</v>
      </c>
      <c r="AQ122" s="47"/>
      <c r="AR122" s="28"/>
      <c r="AS122" s="28"/>
      <c r="AT122" s="28"/>
      <c r="AU122" s="29">
        <f t="shared" ref="AU122:AU124" si="159">SUM(AQ122:AT122)</f>
        <v>0</v>
      </c>
      <c r="AV122" s="47"/>
      <c r="AW122" s="47"/>
      <c r="AX122" s="47"/>
      <c r="AY122" s="47"/>
      <c r="AZ122" s="28"/>
      <c r="BA122" s="28"/>
      <c r="BB122" s="28"/>
      <c r="BC122" s="29">
        <f t="shared" ref="BC122:BC124" si="160">SUM(AV122:BB122)</f>
        <v>0</v>
      </c>
      <c r="BD122" s="24">
        <f t="shared" ref="BD122:BF124" si="161">F122+N122+V122+AD122+AV122</f>
        <v>0</v>
      </c>
      <c r="BE122" s="24">
        <f t="shared" si="161"/>
        <v>735000</v>
      </c>
      <c r="BF122" s="24">
        <f t="shared" si="161"/>
        <v>175000</v>
      </c>
      <c r="BG122" s="24">
        <f t="shared" ref="BG122:BJ124" si="162">I122+Q122+Y122+AG122+AL122+AQ122+AY122</f>
        <v>0</v>
      </c>
      <c r="BH122" s="30">
        <f t="shared" si="162"/>
        <v>0</v>
      </c>
      <c r="BI122" s="30">
        <f t="shared" si="162"/>
        <v>0</v>
      </c>
      <c r="BJ122" s="30">
        <f t="shared" si="162"/>
        <v>0</v>
      </c>
      <c r="BK122" s="25">
        <f t="shared" ref="BK122:BK124" si="163">SUM(BD122:BJ122)</f>
        <v>910000</v>
      </c>
    </row>
    <row r="123" spans="1:63">
      <c r="A123" s="32"/>
      <c r="B123" s="22">
        <v>2</v>
      </c>
      <c r="C123" s="23" t="s">
        <v>236</v>
      </c>
      <c r="D123" s="24" t="s">
        <v>237</v>
      </c>
      <c r="E123" s="24" t="s">
        <v>233</v>
      </c>
      <c r="F123" s="24"/>
      <c r="G123" s="24"/>
      <c r="H123" s="24">
        <f>155000+31667+20000</f>
        <v>206667</v>
      </c>
      <c r="I123" s="24">
        <v>777500</v>
      </c>
      <c r="J123" s="24">
        <v>52500</v>
      </c>
      <c r="K123" s="24">
        <f>135000+135000+67500</f>
        <v>337500</v>
      </c>
      <c r="L123" s="24">
        <v>769500</v>
      </c>
      <c r="M123" s="25">
        <f t="shared" si="154"/>
        <v>2143667</v>
      </c>
      <c r="N123" s="24"/>
      <c r="O123" s="24"/>
      <c r="P123" s="24"/>
      <c r="Q123" s="24"/>
      <c r="R123" s="24"/>
      <c r="S123" s="24"/>
      <c r="T123" s="24"/>
      <c r="U123" s="25">
        <f t="shared" si="155"/>
        <v>0</v>
      </c>
      <c r="V123" s="28"/>
      <c r="W123" s="28"/>
      <c r="X123" s="28"/>
      <c r="Y123" s="28"/>
      <c r="Z123" s="28"/>
      <c r="AA123" s="28"/>
      <c r="AB123" s="28"/>
      <c r="AC123" s="25">
        <f t="shared" si="156"/>
        <v>0</v>
      </c>
      <c r="AD123" s="28"/>
      <c r="AE123" s="28"/>
      <c r="AF123" s="28"/>
      <c r="AG123" s="28"/>
      <c r="AH123" s="28"/>
      <c r="AI123" s="28"/>
      <c r="AJ123" s="28"/>
      <c r="AK123" s="29">
        <f t="shared" si="157"/>
        <v>0</v>
      </c>
      <c r="AL123" s="47"/>
      <c r="AM123" s="28"/>
      <c r="AN123" s="28"/>
      <c r="AO123" s="28"/>
      <c r="AP123" s="29">
        <f t="shared" si="158"/>
        <v>0</v>
      </c>
      <c r="AQ123" s="47"/>
      <c r="AR123" s="28"/>
      <c r="AS123" s="28"/>
      <c r="AT123" s="28"/>
      <c r="AU123" s="29">
        <f t="shared" si="159"/>
        <v>0</v>
      </c>
      <c r="AV123" s="47"/>
      <c r="AW123" s="47"/>
      <c r="AX123" s="47"/>
      <c r="AY123" s="47"/>
      <c r="AZ123" s="28"/>
      <c r="BA123" s="28"/>
      <c r="BB123" s="28"/>
      <c r="BC123" s="29">
        <f t="shared" si="160"/>
        <v>0</v>
      </c>
      <c r="BD123" s="24">
        <f t="shared" si="161"/>
        <v>0</v>
      </c>
      <c r="BE123" s="24">
        <f t="shared" si="161"/>
        <v>0</v>
      </c>
      <c r="BF123" s="24">
        <f t="shared" si="161"/>
        <v>206667</v>
      </c>
      <c r="BG123" s="24">
        <f t="shared" si="162"/>
        <v>777500</v>
      </c>
      <c r="BH123" s="30">
        <f t="shared" si="162"/>
        <v>52500</v>
      </c>
      <c r="BI123" s="30">
        <f t="shared" si="162"/>
        <v>337500</v>
      </c>
      <c r="BJ123" s="30">
        <f t="shared" si="162"/>
        <v>769500</v>
      </c>
      <c r="BK123" s="25">
        <f t="shared" si="163"/>
        <v>2143667</v>
      </c>
    </row>
    <row r="124" spans="1:63" ht="31.5">
      <c r="A124" s="14"/>
      <c r="B124" s="22">
        <v>2</v>
      </c>
      <c r="C124" s="51" t="s">
        <v>238</v>
      </c>
      <c r="D124" s="51" t="s">
        <v>239</v>
      </c>
      <c r="E124" s="60" t="s">
        <v>233</v>
      </c>
      <c r="F124" s="24"/>
      <c r="G124" s="24"/>
      <c r="H124" s="24"/>
      <c r="I124" s="24"/>
      <c r="J124" s="24"/>
      <c r="K124" s="24">
        <v>442000</v>
      </c>
      <c r="L124" s="24">
        <v>1024000</v>
      </c>
      <c r="M124" s="25">
        <f t="shared" si="154"/>
        <v>1466000</v>
      </c>
      <c r="N124" s="24"/>
      <c r="O124" s="24"/>
      <c r="P124" s="24"/>
      <c r="Q124" s="24"/>
      <c r="R124" s="24"/>
      <c r="S124" s="24"/>
      <c r="T124" s="24"/>
      <c r="U124" s="25">
        <f t="shared" si="155"/>
        <v>0</v>
      </c>
      <c r="V124" s="28"/>
      <c r="W124" s="28"/>
      <c r="X124" s="28"/>
      <c r="Y124" s="28"/>
      <c r="Z124" s="28"/>
      <c r="AA124" s="28"/>
      <c r="AB124" s="28"/>
      <c r="AC124" s="25">
        <f t="shared" si="156"/>
        <v>0</v>
      </c>
      <c r="AD124" s="28"/>
      <c r="AE124" s="28"/>
      <c r="AF124" s="28"/>
      <c r="AG124" s="28"/>
      <c r="AH124" s="28"/>
      <c r="AI124" s="28"/>
      <c r="AJ124" s="28"/>
      <c r="AK124" s="29">
        <f t="shared" si="157"/>
        <v>0</v>
      </c>
      <c r="AL124" s="47"/>
      <c r="AM124" s="28"/>
      <c r="AN124" s="28"/>
      <c r="AO124" s="28"/>
      <c r="AP124" s="29">
        <f t="shared" si="158"/>
        <v>0</v>
      </c>
      <c r="AQ124" s="47"/>
      <c r="AR124" s="28"/>
      <c r="AS124" s="28"/>
      <c r="AT124" s="28"/>
      <c r="AU124" s="29">
        <f t="shared" si="159"/>
        <v>0</v>
      </c>
      <c r="AV124" s="47"/>
      <c r="AW124" s="47"/>
      <c r="AX124" s="47"/>
      <c r="AY124" s="47"/>
      <c r="AZ124" s="28"/>
      <c r="BA124" s="28"/>
      <c r="BB124" s="28"/>
      <c r="BC124" s="29">
        <f t="shared" si="160"/>
        <v>0</v>
      </c>
      <c r="BD124" s="24">
        <f t="shared" si="161"/>
        <v>0</v>
      </c>
      <c r="BE124" s="24">
        <f t="shared" si="161"/>
        <v>0</v>
      </c>
      <c r="BF124" s="24">
        <f t="shared" si="161"/>
        <v>0</v>
      </c>
      <c r="BG124" s="24">
        <f t="shared" si="162"/>
        <v>0</v>
      </c>
      <c r="BH124" s="30">
        <f t="shared" si="162"/>
        <v>0</v>
      </c>
      <c r="BI124" s="30">
        <f t="shared" si="162"/>
        <v>442000</v>
      </c>
      <c r="BJ124" s="30">
        <f t="shared" si="162"/>
        <v>1024000</v>
      </c>
      <c r="BK124" s="25">
        <f t="shared" si="163"/>
        <v>1466000</v>
      </c>
    </row>
    <row r="125" spans="1:63" s="42" customFormat="1">
      <c r="A125" s="37"/>
      <c r="B125" s="37"/>
      <c r="C125" s="38" t="s">
        <v>240</v>
      </c>
      <c r="D125" s="40"/>
      <c r="E125" s="40"/>
      <c r="F125" s="40">
        <f>SUM(F122:F124)</f>
        <v>0</v>
      </c>
      <c r="G125" s="40">
        <f t="shared" ref="G125:BK125" si="164">SUM(G122:G124)</f>
        <v>155000</v>
      </c>
      <c r="H125" s="40">
        <f t="shared" si="164"/>
        <v>206667</v>
      </c>
      <c r="I125" s="40">
        <f t="shared" si="164"/>
        <v>777500</v>
      </c>
      <c r="J125" s="40">
        <f t="shared" si="164"/>
        <v>52500</v>
      </c>
      <c r="K125" s="40">
        <f t="shared" si="164"/>
        <v>779500</v>
      </c>
      <c r="L125" s="40">
        <f t="shared" si="164"/>
        <v>1793500</v>
      </c>
      <c r="M125" s="40">
        <f t="shared" si="164"/>
        <v>3764667</v>
      </c>
      <c r="N125" s="40">
        <f t="shared" si="164"/>
        <v>0</v>
      </c>
      <c r="O125" s="40">
        <f t="shared" si="164"/>
        <v>290000</v>
      </c>
      <c r="P125" s="40">
        <f t="shared" si="164"/>
        <v>0</v>
      </c>
      <c r="Q125" s="40">
        <f t="shared" si="164"/>
        <v>0</v>
      </c>
      <c r="R125" s="40">
        <f t="shared" si="164"/>
        <v>0</v>
      </c>
      <c r="S125" s="40">
        <f t="shared" si="164"/>
        <v>0</v>
      </c>
      <c r="T125" s="40">
        <f t="shared" si="164"/>
        <v>0</v>
      </c>
      <c r="U125" s="40">
        <f t="shared" si="164"/>
        <v>290000</v>
      </c>
      <c r="V125" s="40">
        <f t="shared" si="164"/>
        <v>0</v>
      </c>
      <c r="W125" s="40">
        <f t="shared" si="164"/>
        <v>290000</v>
      </c>
      <c r="X125" s="40">
        <f t="shared" si="164"/>
        <v>175000</v>
      </c>
      <c r="Y125" s="40">
        <f t="shared" si="164"/>
        <v>0</v>
      </c>
      <c r="Z125" s="40">
        <f t="shared" si="164"/>
        <v>0</v>
      </c>
      <c r="AA125" s="40">
        <f t="shared" si="164"/>
        <v>0</v>
      </c>
      <c r="AB125" s="40">
        <f t="shared" si="164"/>
        <v>0</v>
      </c>
      <c r="AC125" s="40">
        <f t="shared" si="164"/>
        <v>465000</v>
      </c>
      <c r="AD125" s="40">
        <f t="shared" si="164"/>
        <v>0</v>
      </c>
      <c r="AE125" s="40">
        <f t="shared" si="164"/>
        <v>0</v>
      </c>
      <c r="AF125" s="40">
        <f t="shared" si="164"/>
        <v>0</v>
      </c>
      <c r="AG125" s="40">
        <f t="shared" si="164"/>
        <v>0</v>
      </c>
      <c r="AH125" s="40">
        <f t="shared" si="164"/>
        <v>0</v>
      </c>
      <c r="AI125" s="40">
        <f t="shared" si="164"/>
        <v>0</v>
      </c>
      <c r="AJ125" s="40">
        <f t="shared" si="164"/>
        <v>0</v>
      </c>
      <c r="AK125" s="40">
        <f t="shared" si="164"/>
        <v>0</v>
      </c>
      <c r="AL125" s="40">
        <f t="shared" si="164"/>
        <v>0</v>
      </c>
      <c r="AM125" s="40">
        <f t="shared" si="164"/>
        <v>0</v>
      </c>
      <c r="AN125" s="40">
        <f t="shared" si="164"/>
        <v>0</v>
      </c>
      <c r="AO125" s="40">
        <f t="shared" si="164"/>
        <v>0</v>
      </c>
      <c r="AP125" s="40">
        <f t="shared" si="164"/>
        <v>0</v>
      </c>
      <c r="AQ125" s="40">
        <f t="shared" si="164"/>
        <v>0</v>
      </c>
      <c r="AR125" s="40">
        <f t="shared" si="164"/>
        <v>0</v>
      </c>
      <c r="AS125" s="40">
        <f t="shared" si="164"/>
        <v>0</v>
      </c>
      <c r="AT125" s="40">
        <f t="shared" si="164"/>
        <v>0</v>
      </c>
      <c r="AU125" s="40">
        <f t="shared" si="164"/>
        <v>0</v>
      </c>
      <c r="AV125" s="40">
        <f t="shared" si="164"/>
        <v>0</v>
      </c>
      <c r="AW125" s="40">
        <f t="shared" si="164"/>
        <v>0</v>
      </c>
      <c r="AX125" s="40">
        <f t="shared" si="164"/>
        <v>0</v>
      </c>
      <c r="AY125" s="40">
        <f t="shared" si="164"/>
        <v>0</v>
      </c>
      <c r="AZ125" s="40">
        <f t="shared" si="164"/>
        <v>0</v>
      </c>
      <c r="BA125" s="40">
        <f t="shared" si="164"/>
        <v>0</v>
      </c>
      <c r="BB125" s="40">
        <f t="shared" si="164"/>
        <v>0</v>
      </c>
      <c r="BC125" s="40">
        <f t="shared" si="164"/>
        <v>0</v>
      </c>
      <c r="BD125" s="40">
        <f t="shared" si="164"/>
        <v>0</v>
      </c>
      <c r="BE125" s="40">
        <f t="shared" si="164"/>
        <v>735000</v>
      </c>
      <c r="BF125" s="40">
        <f t="shared" si="164"/>
        <v>381667</v>
      </c>
      <c r="BG125" s="40">
        <f t="shared" si="164"/>
        <v>777500</v>
      </c>
      <c r="BH125" s="40">
        <f t="shared" si="164"/>
        <v>52500</v>
      </c>
      <c r="BI125" s="41">
        <f>SUM(BI122:BI124)</f>
        <v>779500</v>
      </c>
      <c r="BJ125" s="40">
        <f t="shared" ref="BJ125" si="165">SUM(BJ122:BJ124)</f>
        <v>1793500</v>
      </c>
      <c r="BK125" s="40">
        <f t="shared" si="164"/>
        <v>4519667</v>
      </c>
    </row>
    <row r="126" spans="1:63">
      <c r="A126" s="15" t="s">
        <v>241</v>
      </c>
      <c r="B126" s="22">
        <v>1</v>
      </c>
      <c r="C126" s="43" t="s">
        <v>242</v>
      </c>
      <c r="D126" s="44" t="s">
        <v>243</v>
      </c>
      <c r="E126" s="44" t="s">
        <v>241</v>
      </c>
      <c r="F126" s="24"/>
      <c r="G126" s="24"/>
      <c r="H126" s="36"/>
      <c r="I126" s="24"/>
      <c r="J126" s="24">
        <f>155000+129000+56000</f>
        <v>340000</v>
      </c>
      <c r="K126" s="24">
        <f>720000+176000+88000</f>
        <v>984000</v>
      </c>
      <c r="L126" s="24">
        <v>457000</v>
      </c>
      <c r="M126" s="25">
        <f>SUM(F126:L126)</f>
        <v>1781000</v>
      </c>
      <c r="N126" s="24"/>
      <c r="O126" s="24"/>
      <c r="P126" s="24"/>
      <c r="Q126" s="24"/>
      <c r="R126" s="24"/>
      <c r="S126" s="24"/>
      <c r="T126" s="24"/>
      <c r="U126" s="25">
        <f>SUM(N126:T126)</f>
        <v>0</v>
      </c>
      <c r="V126" s="28"/>
      <c r="W126" s="28"/>
      <c r="X126" s="28"/>
      <c r="Y126" s="28"/>
      <c r="Z126" s="28"/>
      <c r="AA126" s="28"/>
      <c r="AB126" s="28"/>
      <c r="AC126" s="25">
        <f>SUM(V126:AB126)</f>
        <v>0</v>
      </c>
      <c r="AD126" s="28"/>
      <c r="AE126" s="28"/>
      <c r="AF126" s="28"/>
      <c r="AG126" s="28"/>
      <c r="AH126" s="28"/>
      <c r="AI126" s="28"/>
      <c r="AJ126" s="28"/>
      <c r="AK126" s="29">
        <f>SUM(AD126:AJ126)</f>
        <v>0</v>
      </c>
      <c r="AL126" s="47"/>
      <c r="AM126" s="28"/>
      <c r="AN126" s="28"/>
      <c r="AO126" s="28"/>
      <c r="AP126" s="29">
        <f>SUM(AL126:AO126)</f>
        <v>0</v>
      </c>
      <c r="AQ126" s="47"/>
      <c r="AR126" s="29"/>
      <c r="AS126" s="29"/>
      <c r="AT126" s="29"/>
      <c r="AU126" s="29">
        <f>SUM(AQ126:AT126)</f>
        <v>0</v>
      </c>
      <c r="AV126" s="47"/>
      <c r="AW126" s="47"/>
      <c r="AX126" s="47"/>
      <c r="AY126" s="47"/>
      <c r="AZ126" s="28"/>
      <c r="BA126" s="28"/>
      <c r="BB126" s="28"/>
      <c r="BC126" s="29">
        <f>SUM(AV126:BB126)</f>
        <v>0</v>
      </c>
      <c r="BD126" s="24">
        <f>F126+N126+V126+AD126+AV126</f>
        <v>0</v>
      </c>
      <c r="BE126" s="24">
        <f>G126+O126+W126+AE126+AW126</f>
        <v>0</v>
      </c>
      <c r="BF126" s="24">
        <f>H126+P126+X126+AF126+AX126</f>
        <v>0</v>
      </c>
      <c r="BG126" s="24">
        <f>I126+Q126+Y126+AG126+AL126+AQ126+AY126</f>
        <v>0</v>
      </c>
      <c r="BH126" s="30">
        <f>J126+R126+Z126+AH126+AM126+AR126+AZ126</f>
        <v>340000</v>
      </c>
      <c r="BI126" s="30">
        <f>K126+S126+AA126+AI126+AN126+AS126+BA126</f>
        <v>984000</v>
      </c>
      <c r="BJ126" s="30">
        <f>L126+T126+AB126+AJ126+AO126+AT126+BB126</f>
        <v>457000</v>
      </c>
      <c r="BK126" s="25">
        <f>SUM(BD126:BJ126)</f>
        <v>1781000</v>
      </c>
    </row>
    <row r="127" spans="1:63" s="42" customFormat="1">
      <c r="A127" s="37"/>
      <c r="B127" s="37"/>
      <c r="C127" s="38" t="s">
        <v>244</v>
      </c>
      <c r="D127" s="40"/>
      <c r="E127" s="40"/>
      <c r="F127" s="40">
        <f>F126</f>
        <v>0</v>
      </c>
      <c r="G127" s="40">
        <f t="shared" ref="G127:H127" si="166">G126</f>
        <v>0</v>
      </c>
      <c r="H127" s="40">
        <f t="shared" si="166"/>
        <v>0</v>
      </c>
      <c r="I127" s="40">
        <f t="shared" ref="I127:I129" si="167">SUM(I126)</f>
        <v>0</v>
      </c>
      <c r="J127" s="40">
        <f t="shared" ref="J127:P127" si="168">J126</f>
        <v>340000</v>
      </c>
      <c r="K127" s="40">
        <f t="shared" si="168"/>
        <v>984000</v>
      </c>
      <c r="L127" s="40">
        <f>L126</f>
        <v>457000</v>
      </c>
      <c r="M127" s="40">
        <f t="shared" si="168"/>
        <v>1781000</v>
      </c>
      <c r="N127" s="40">
        <f t="shared" si="168"/>
        <v>0</v>
      </c>
      <c r="O127" s="40">
        <f t="shared" si="168"/>
        <v>0</v>
      </c>
      <c r="P127" s="40">
        <f t="shared" si="168"/>
        <v>0</v>
      </c>
      <c r="Q127" s="40">
        <f t="shared" ref="Q127:Q129" si="169">SUM(Q126)</f>
        <v>0</v>
      </c>
      <c r="R127" s="40">
        <f t="shared" ref="R127:X127" si="170">R126</f>
        <v>0</v>
      </c>
      <c r="S127" s="40">
        <f t="shared" si="170"/>
        <v>0</v>
      </c>
      <c r="T127" s="40">
        <f t="shared" si="170"/>
        <v>0</v>
      </c>
      <c r="U127" s="40">
        <f t="shared" si="170"/>
        <v>0</v>
      </c>
      <c r="V127" s="40">
        <f t="shared" si="170"/>
        <v>0</v>
      </c>
      <c r="W127" s="40">
        <f t="shared" si="170"/>
        <v>0</v>
      </c>
      <c r="X127" s="40">
        <f t="shared" si="170"/>
        <v>0</v>
      </c>
      <c r="Y127" s="40">
        <f t="shared" ref="Y127:AB129" si="171">SUM(Y126)</f>
        <v>0</v>
      </c>
      <c r="Z127" s="40">
        <f t="shared" si="171"/>
        <v>0</v>
      </c>
      <c r="AA127" s="40">
        <f t="shared" si="171"/>
        <v>0</v>
      </c>
      <c r="AB127" s="40">
        <f t="shared" si="171"/>
        <v>0</v>
      </c>
      <c r="AC127" s="40">
        <f t="shared" ref="AC127:AF127" si="172">AC126</f>
        <v>0</v>
      </c>
      <c r="AD127" s="40">
        <f t="shared" si="172"/>
        <v>0</v>
      </c>
      <c r="AE127" s="40">
        <f t="shared" si="172"/>
        <v>0</v>
      </c>
      <c r="AF127" s="40">
        <f t="shared" si="172"/>
        <v>0</v>
      </c>
      <c r="AG127" s="40">
        <f t="shared" ref="AG127:AG129" si="173">SUM(AG126)</f>
        <v>0</v>
      </c>
      <c r="AH127" s="40">
        <f t="shared" ref="AH127:AK127" si="174">AH126</f>
        <v>0</v>
      </c>
      <c r="AI127" s="40">
        <f t="shared" si="174"/>
        <v>0</v>
      </c>
      <c r="AJ127" s="40">
        <f t="shared" si="174"/>
        <v>0</v>
      </c>
      <c r="AK127" s="40">
        <f t="shared" si="174"/>
        <v>0</v>
      </c>
      <c r="AL127" s="40">
        <f t="shared" ref="AL127:AL129" si="175">SUM(AL126)</f>
        <v>0</v>
      </c>
      <c r="AM127" s="40">
        <f t="shared" ref="AM127:AP127" si="176">AM126</f>
        <v>0</v>
      </c>
      <c r="AN127" s="40">
        <f t="shared" si="176"/>
        <v>0</v>
      </c>
      <c r="AO127" s="40">
        <f t="shared" si="176"/>
        <v>0</v>
      </c>
      <c r="AP127" s="40">
        <f t="shared" si="176"/>
        <v>0</v>
      </c>
      <c r="AQ127" s="40">
        <f t="shared" ref="AQ127:AQ129" si="177">SUM(AQ126)</f>
        <v>0</v>
      </c>
      <c r="AR127" s="40">
        <f t="shared" ref="AR127:AX127" si="178">AR126</f>
        <v>0</v>
      </c>
      <c r="AS127" s="40">
        <f t="shared" si="178"/>
        <v>0</v>
      </c>
      <c r="AT127" s="40">
        <f t="shared" si="178"/>
        <v>0</v>
      </c>
      <c r="AU127" s="40">
        <f t="shared" si="178"/>
        <v>0</v>
      </c>
      <c r="AV127" s="40">
        <f t="shared" si="178"/>
        <v>0</v>
      </c>
      <c r="AW127" s="40">
        <f t="shared" si="178"/>
        <v>0</v>
      </c>
      <c r="AX127" s="40">
        <f t="shared" si="178"/>
        <v>0</v>
      </c>
      <c r="AY127" s="40">
        <f t="shared" ref="AY127:AY129" si="179">SUM(AY126)</f>
        <v>0</v>
      </c>
      <c r="AZ127" s="40">
        <f t="shared" ref="AZ127:BK127" si="180">AZ126</f>
        <v>0</v>
      </c>
      <c r="BA127" s="40">
        <f t="shared" si="180"/>
        <v>0</v>
      </c>
      <c r="BB127" s="40">
        <f t="shared" si="180"/>
        <v>0</v>
      </c>
      <c r="BC127" s="40">
        <f t="shared" si="180"/>
        <v>0</v>
      </c>
      <c r="BD127" s="40">
        <f t="shared" si="180"/>
        <v>0</v>
      </c>
      <c r="BE127" s="40">
        <f t="shared" si="180"/>
        <v>0</v>
      </c>
      <c r="BF127" s="40">
        <f t="shared" si="180"/>
        <v>0</v>
      </c>
      <c r="BG127" s="40">
        <f t="shared" si="180"/>
        <v>0</v>
      </c>
      <c r="BH127" s="40">
        <f t="shared" si="180"/>
        <v>340000</v>
      </c>
      <c r="BI127" s="41">
        <f>BI126</f>
        <v>984000</v>
      </c>
      <c r="BJ127" s="40">
        <f t="shared" ref="BJ127" si="181">BJ126</f>
        <v>457000</v>
      </c>
      <c r="BK127" s="40">
        <f t="shared" si="180"/>
        <v>1781000</v>
      </c>
    </row>
    <row r="128" spans="1:63">
      <c r="A128" s="15" t="s">
        <v>245</v>
      </c>
      <c r="B128" s="22">
        <v>1</v>
      </c>
      <c r="C128" s="23" t="s">
        <v>246</v>
      </c>
      <c r="D128" s="24" t="s">
        <v>247</v>
      </c>
      <c r="E128" s="24" t="s">
        <v>245</v>
      </c>
      <c r="F128" s="24"/>
      <c r="G128" s="24">
        <v>155000</v>
      </c>
      <c r="H128" s="36"/>
      <c r="I128" s="24">
        <f>72000+18000</f>
        <v>90000</v>
      </c>
      <c r="J128" s="24"/>
      <c r="K128" s="24"/>
      <c r="L128" s="24"/>
      <c r="M128" s="25">
        <f>SUM(F128:L128)</f>
        <v>245000</v>
      </c>
      <c r="N128" s="24"/>
      <c r="O128" s="24"/>
      <c r="P128" s="24"/>
      <c r="Q128" s="24"/>
      <c r="R128" s="24"/>
      <c r="S128" s="24"/>
      <c r="T128" s="24"/>
      <c r="U128" s="25">
        <f>SUM(N128:T128)</f>
        <v>0</v>
      </c>
      <c r="V128" s="28"/>
      <c r="W128" s="28">
        <v>290000</v>
      </c>
      <c r="X128" s="28"/>
      <c r="Y128" s="28">
        <v>116000</v>
      </c>
      <c r="Z128" s="28"/>
      <c r="AA128" s="28"/>
      <c r="AB128" s="28"/>
      <c r="AC128" s="25">
        <f>SUM(V128:AB128)</f>
        <v>406000</v>
      </c>
      <c r="AD128" s="28"/>
      <c r="AE128" s="28">
        <v>195000</v>
      </c>
      <c r="AF128" s="28">
        <v>96000</v>
      </c>
      <c r="AG128" s="28">
        <v>20000</v>
      </c>
      <c r="AH128" s="28"/>
      <c r="AI128" s="28"/>
      <c r="AJ128" s="28"/>
      <c r="AK128" s="29">
        <f>SUM(AD128:AJ128)</f>
        <v>311000</v>
      </c>
      <c r="AL128" s="47"/>
      <c r="AM128" s="28"/>
      <c r="AN128" s="28"/>
      <c r="AO128" s="28"/>
      <c r="AP128" s="29">
        <f>SUM(AL128:AO128)</f>
        <v>0</v>
      </c>
      <c r="AQ128" s="47"/>
      <c r="AR128" s="29"/>
      <c r="AS128" s="29"/>
      <c r="AT128" s="29"/>
      <c r="AU128" s="29">
        <f>SUM(AQ128:AT128)</f>
        <v>0</v>
      </c>
      <c r="AV128" s="47"/>
      <c r="AW128" s="47"/>
      <c r="AX128" s="47"/>
      <c r="AY128" s="47"/>
      <c r="AZ128" s="28"/>
      <c r="BA128" s="28"/>
      <c r="BB128" s="28"/>
      <c r="BC128" s="29">
        <f>SUM(AV128:BB128)</f>
        <v>0</v>
      </c>
      <c r="BD128" s="24">
        <f>F128+N128+V128+AD128+AV128</f>
        <v>0</v>
      </c>
      <c r="BE128" s="24">
        <f>G128+O128+W128+AE128+AW128</f>
        <v>640000</v>
      </c>
      <c r="BF128" s="24">
        <f>H128+P128+X128+AF128+AX128</f>
        <v>96000</v>
      </c>
      <c r="BG128" s="24">
        <f>I128+Q128+Y128+AG128+AL128+AQ128+AY128</f>
        <v>226000</v>
      </c>
      <c r="BH128" s="30">
        <f>J128+R128+Z128+AH128+AM128+AR128+AZ128</f>
        <v>0</v>
      </c>
      <c r="BI128" s="30">
        <f>K128+S128+AA128+AI128+AN128+AS128+BA128</f>
        <v>0</v>
      </c>
      <c r="BJ128" s="30">
        <f>L128+T128+AB128+AJ128+AO128+AT128+BB128</f>
        <v>0</v>
      </c>
      <c r="BK128" s="25">
        <f>SUM(BD128:BJ128)</f>
        <v>962000</v>
      </c>
    </row>
    <row r="129" spans="1:63" s="42" customFormat="1">
      <c r="A129" s="37"/>
      <c r="B129" s="37"/>
      <c r="C129" s="38" t="s">
        <v>248</v>
      </c>
      <c r="D129" s="40"/>
      <c r="E129" s="40"/>
      <c r="F129" s="40">
        <f>F128</f>
        <v>0</v>
      </c>
      <c r="G129" s="40">
        <f t="shared" ref="G129:BK129" si="182">G128</f>
        <v>155000</v>
      </c>
      <c r="H129" s="40">
        <f t="shared" si="182"/>
        <v>0</v>
      </c>
      <c r="I129" s="40">
        <f t="shared" si="167"/>
        <v>90000</v>
      </c>
      <c r="J129" s="40">
        <f t="shared" si="182"/>
        <v>0</v>
      </c>
      <c r="K129" s="40">
        <f t="shared" si="182"/>
        <v>0</v>
      </c>
      <c r="L129" s="40">
        <f t="shared" si="182"/>
        <v>0</v>
      </c>
      <c r="M129" s="40">
        <f t="shared" si="182"/>
        <v>245000</v>
      </c>
      <c r="N129" s="40">
        <f t="shared" si="182"/>
        <v>0</v>
      </c>
      <c r="O129" s="40">
        <f t="shared" si="182"/>
        <v>0</v>
      </c>
      <c r="P129" s="40">
        <f t="shared" si="182"/>
        <v>0</v>
      </c>
      <c r="Q129" s="40">
        <f t="shared" si="169"/>
        <v>0</v>
      </c>
      <c r="R129" s="40">
        <f t="shared" si="182"/>
        <v>0</v>
      </c>
      <c r="S129" s="40">
        <f t="shared" si="182"/>
        <v>0</v>
      </c>
      <c r="T129" s="40">
        <f t="shared" si="182"/>
        <v>0</v>
      </c>
      <c r="U129" s="40">
        <f t="shared" si="182"/>
        <v>0</v>
      </c>
      <c r="V129" s="40">
        <f t="shared" si="182"/>
        <v>0</v>
      </c>
      <c r="W129" s="40">
        <f t="shared" si="182"/>
        <v>290000</v>
      </c>
      <c r="X129" s="40">
        <f t="shared" si="182"/>
        <v>0</v>
      </c>
      <c r="Y129" s="40">
        <f t="shared" si="171"/>
        <v>116000</v>
      </c>
      <c r="Z129" s="40">
        <f t="shared" si="171"/>
        <v>0</v>
      </c>
      <c r="AA129" s="40">
        <f t="shared" si="171"/>
        <v>0</v>
      </c>
      <c r="AB129" s="40">
        <f t="shared" ref="AB129" si="183">SUM(AB128)</f>
        <v>0</v>
      </c>
      <c r="AC129" s="40">
        <f t="shared" si="182"/>
        <v>406000</v>
      </c>
      <c r="AD129" s="40">
        <f t="shared" si="182"/>
        <v>0</v>
      </c>
      <c r="AE129" s="40">
        <f t="shared" si="182"/>
        <v>195000</v>
      </c>
      <c r="AF129" s="40">
        <f t="shared" si="182"/>
        <v>96000</v>
      </c>
      <c r="AG129" s="40">
        <f t="shared" si="173"/>
        <v>20000</v>
      </c>
      <c r="AH129" s="40">
        <f t="shared" si="182"/>
        <v>0</v>
      </c>
      <c r="AI129" s="40">
        <f t="shared" si="182"/>
        <v>0</v>
      </c>
      <c r="AJ129" s="40">
        <f t="shared" si="182"/>
        <v>0</v>
      </c>
      <c r="AK129" s="40">
        <f t="shared" si="182"/>
        <v>311000</v>
      </c>
      <c r="AL129" s="40">
        <f t="shared" si="175"/>
        <v>0</v>
      </c>
      <c r="AM129" s="40">
        <f t="shared" si="182"/>
        <v>0</v>
      </c>
      <c r="AN129" s="40">
        <f t="shared" si="182"/>
        <v>0</v>
      </c>
      <c r="AO129" s="40">
        <f t="shared" si="182"/>
        <v>0</v>
      </c>
      <c r="AP129" s="40">
        <f t="shared" si="182"/>
        <v>0</v>
      </c>
      <c r="AQ129" s="40">
        <f t="shared" si="177"/>
        <v>0</v>
      </c>
      <c r="AR129" s="40">
        <f t="shared" si="182"/>
        <v>0</v>
      </c>
      <c r="AS129" s="40">
        <f t="shared" si="182"/>
        <v>0</v>
      </c>
      <c r="AT129" s="40">
        <f t="shared" si="182"/>
        <v>0</v>
      </c>
      <c r="AU129" s="40">
        <f t="shared" si="182"/>
        <v>0</v>
      </c>
      <c r="AV129" s="40">
        <f t="shared" si="182"/>
        <v>0</v>
      </c>
      <c r="AW129" s="40">
        <f t="shared" si="182"/>
        <v>0</v>
      </c>
      <c r="AX129" s="40">
        <f t="shared" si="182"/>
        <v>0</v>
      </c>
      <c r="AY129" s="40">
        <f t="shared" si="179"/>
        <v>0</v>
      </c>
      <c r="AZ129" s="40">
        <f t="shared" si="182"/>
        <v>0</v>
      </c>
      <c r="BA129" s="40">
        <f t="shared" si="182"/>
        <v>0</v>
      </c>
      <c r="BB129" s="40">
        <f t="shared" si="182"/>
        <v>0</v>
      </c>
      <c r="BC129" s="40">
        <f t="shared" si="182"/>
        <v>0</v>
      </c>
      <c r="BD129" s="40">
        <f t="shared" si="182"/>
        <v>0</v>
      </c>
      <c r="BE129" s="40">
        <f t="shared" si="182"/>
        <v>640000</v>
      </c>
      <c r="BF129" s="40">
        <f t="shared" si="182"/>
        <v>96000</v>
      </c>
      <c r="BG129" s="40">
        <f t="shared" si="182"/>
        <v>226000</v>
      </c>
      <c r="BH129" s="40">
        <f t="shared" si="182"/>
        <v>0</v>
      </c>
      <c r="BI129" s="40">
        <f t="shared" si="182"/>
        <v>0</v>
      </c>
      <c r="BJ129" s="40">
        <f t="shared" si="182"/>
        <v>0</v>
      </c>
      <c r="BK129" s="40">
        <f t="shared" si="182"/>
        <v>962000</v>
      </c>
    </row>
    <row r="130" spans="1:63" ht="47.25">
      <c r="A130" s="6" t="s">
        <v>249</v>
      </c>
      <c r="B130" s="22">
        <v>1</v>
      </c>
      <c r="C130" s="23" t="s">
        <v>250</v>
      </c>
      <c r="D130" s="24" t="s">
        <v>251</v>
      </c>
      <c r="E130" s="24" t="s">
        <v>252</v>
      </c>
      <c r="F130" s="24"/>
      <c r="G130" s="24"/>
      <c r="H130" s="24">
        <v>155000</v>
      </c>
      <c r="I130" s="24"/>
      <c r="J130" s="24"/>
      <c r="K130" s="24"/>
      <c r="L130" s="24"/>
      <c r="M130" s="25">
        <f t="shared" ref="M130:M145" si="184">SUM(F130:L130)</f>
        <v>155000</v>
      </c>
      <c r="N130" s="24"/>
      <c r="O130" s="24"/>
      <c r="P130" s="24"/>
      <c r="Q130" s="24"/>
      <c r="R130" s="24"/>
      <c r="S130" s="24"/>
      <c r="T130" s="24"/>
      <c r="U130" s="25">
        <f t="shared" ref="U130:U145" si="185">SUM(N130:T130)</f>
        <v>0</v>
      </c>
      <c r="V130" s="28"/>
      <c r="W130" s="28"/>
      <c r="X130" s="24">
        <v>290000</v>
      </c>
      <c r="Y130" s="28"/>
      <c r="Z130" s="28"/>
      <c r="AA130" s="28"/>
      <c r="AB130" s="28"/>
      <c r="AC130" s="25">
        <f t="shared" ref="AC130:AC145" si="186">SUM(V130:AB130)</f>
        <v>290000</v>
      </c>
      <c r="AD130" s="28"/>
      <c r="AE130" s="47">
        <v>195000</v>
      </c>
      <c r="AF130" s="28"/>
      <c r="AG130" s="28"/>
      <c r="AH130" s="28"/>
      <c r="AI130" s="28"/>
      <c r="AJ130" s="28"/>
      <c r="AK130" s="29">
        <f t="shared" ref="AK130:AK145" si="187">SUM(AD130:AJ130)</f>
        <v>195000</v>
      </c>
      <c r="AL130" s="47"/>
      <c r="AM130" s="28"/>
      <c r="AN130" s="28"/>
      <c r="AO130" s="28"/>
      <c r="AP130" s="29">
        <f t="shared" ref="AP130:AP145" si="188">SUM(AL130:AO130)</f>
        <v>0</v>
      </c>
      <c r="AQ130" s="47"/>
      <c r="AR130" s="28"/>
      <c r="AS130" s="28"/>
      <c r="AT130" s="28"/>
      <c r="AU130" s="29">
        <f t="shared" ref="AU130:AU145" si="189">SUM(AQ130:AT130)</f>
        <v>0</v>
      </c>
      <c r="AV130" s="47"/>
      <c r="AW130" s="49">
        <f>100000+257600</f>
        <v>357600</v>
      </c>
      <c r="AX130" s="47"/>
      <c r="AY130" s="47"/>
      <c r="AZ130" s="28"/>
      <c r="BA130" s="28"/>
      <c r="BB130" s="28"/>
      <c r="BC130" s="29">
        <f t="shared" ref="BC130:BC145" si="190">SUM(AV130:BB130)</f>
        <v>357600</v>
      </c>
      <c r="BD130" s="24">
        <f t="shared" ref="BD130:BF145" si="191">F130+N130+V130+AD130+AV130</f>
        <v>0</v>
      </c>
      <c r="BE130" s="24">
        <f t="shared" si="191"/>
        <v>552600</v>
      </c>
      <c r="BF130" s="24">
        <f t="shared" si="191"/>
        <v>445000</v>
      </c>
      <c r="BG130" s="24">
        <f t="shared" ref="BG130:BJ145" si="192">I130+Q130+Y130+AG130+AL130+AQ130+AY130</f>
        <v>0</v>
      </c>
      <c r="BH130" s="30">
        <f t="shared" si="192"/>
        <v>0</v>
      </c>
      <c r="BI130" s="30">
        <f t="shared" si="192"/>
        <v>0</v>
      </c>
      <c r="BJ130" s="30">
        <f t="shared" si="192"/>
        <v>0</v>
      </c>
      <c r="BK130" s="25">
        <f t="shared" ref="BK130:BK145" si="193">SUM(BD130:BJ130)</f>
        <v>997600</v>
      </c>
    </row>
    <row r="131" spans="1:63">
      <c r="A131" s="32"/>
      <c r="B131" s="22">
        <v>2</v>
      </c>
      <c r="C131" s="23" t="s">
        <v>253</v>
      </c>
      <c r="D131" s="24" t="s">
        <v>254</v>
      </c>
      <c r="E131" s="24" t="s">
        <v>252</v>
      </c>
      <c r="F131" s="24"/>
      <c r="G131" s="24"/>
      <c r="H131" s="36"/>
      <c r="I131" s="24"/>
      <c r="J131" s="24"/>
      <c r="K131" s="24"/>
      <c r="L131" s="24"/>
      <c r="M131" s="25">
        <f t="shared" si="184"/>
        <v>0</v>
      </c>
      <c r="N131" s="34"/>
      <c r="O131" s="34">
        <v>1690000</v>
      </c>
      <c r="P131" s="34">
        <v>1290000</v>
      </c>
      <c r="Q131" s="34">
        <v>150000</v>
      </c>
      <c r="R131" s="24"/>
      <c r="S131" s="24"/>
      <c r="T131" s="24"/>
      <c r="U131" s="25">
        <f t="shared" si="185"/>
        <v>3130000</v>
      </c>
      <c r="V131" s="28"/>
      <c r="W131" s="53">
        <v>1389000</v>
      </c>
      <c r="X131" s="24">
        <v>1080000</v>
      </c>
      <c r="Y131" s="48">
        <v>420000</v>
      </c>
      <c r="Z131" s="48"/>
      <c r="AA131" s="48"/>
      <c r="AB131" s="48"/>
      <c r="AC131" s="25">
        <f t="shared" si="186"/>
        <v>2889000</v>
      </c>
      <c r="AD131" s="28"/>
      <c r="AE131" s="47"/>
      <c r="AF131" s="28"/>
      <c r="AG131" s="28"/>
      <c r="AH131" s="28"/>
      <c r="AI131" s="28"/>
      <c r="AJ131" s="28"/>
      <c r="AK131" s="29">
        <f t="shared" si="187"/>
        <v>0</v>
      </c>
      <c r="AL131" s="47"/>
      <c r="AM131" s="28"/>
      <c r="AN131" s="28"/>
      <c r="AO131" s="28"/>
      <c r="AP131" s="29">
        <f t="shared" si="188"/>
        <v>0</v>
      </c>
      <c r="AQ131" s="49">
        <v>900000</v>
      </c>
      <c r="AR131" s="28">
        <f>300000+300000+300000+300000+200000</f>
        <v>1400000</v>
      </c>
      <c r="AS131" s="28">
        <f>2225000+765000</f>
        <v>2990000</v>
      </c>
      <c r="AT131" s="28">
        <f>1275000+510000+255000+255000+510000+255000</f>
        <v>3060000</v>
      </c>
      <c r="AU131" s="29">
        <f t="shared" si="189"/>
        <v>8350000</v>
      </c>
      <c r="AV131" s="47"/>
      <c r="AW131" s="47">
        <v>100000</v>
      </c>
      <c r="AX131" s="47">
        <v>540000</v>
      </c>
      <c r="AY131" s="47"/>
      <c r="AZ131" s="28"/>
      <c r="BA131" s="28"/>
      <c r="BB131" s="28"/>
      <c r="BC131" s="29">
        <f t="shared" si="190"/>
        <v>640000</v>
      </c>
      <c r="BD131" s="24">
        <f t="shared" si="191"/>
        <v>0</v>
      </c>
      <c r="BE131" s="24">
        <f t="shared" si="191"/>
        <v>3179000</v>
      </c>
      <c r="BF131" s="24">
        <f t="shared" si="191"/>
        <v>2910000</v>
      </c>
      <c r="BG131" s="24">
        <f t="shared" si="192"/>
        <v>1470000</v>
      </c>
      <c r="BH131" s="30">
        <f t="shared" si="192"/>
        <v>1400000</v>
      </c>
      <c r="BI131" s="30">
        <f t="shared" si="192"/>
        <v>2990000</v>
      </c>
      <c r="BJ131" s="30">
        <f t="shared" si="192"/>
        <v>3060000</v>
      </c>
      <c r="BK131" s="25">
        <f t="shared" si="193"/>
        <v>15009000</v>
      </c>
    </row>
    <row r="132" spans="1:63">
      <c r="A132" s="32"/>
      <c r="B132" s="22">
        <v>3</v>
      </c>
      <c r="C132" s="23" t="s">
        <v>255</v>
      </c>
      <c r="D132" s="36" t="s">
        <v>256</v>
      </c>
      <c r="E132" s="24" t="s">
        <v>252</v>
      </c>
      <c r="F132" s="24"/>
      <c r="G132" s="24"/>
      <c r="H132" s="36"/>
      <c r="I132" s="24"/>
      <c r="J132" s="24"/>
      <c r="K132" s="24"/>
      <c r="L132" s="24"/>
      <c r="M132" s="25">
        <f t="shared" si="184"/>
        <v>0</v>
      </c>
      <c r="N132" s="24"/>
      <c r="O132" s="61"/>
      <c r="P132" s="24"/>
      <c r="Q132" s="24"/>
      <c r="R132" s="24"/>
      <c r="S132" s="24"/>
      <c r="T132" s="24"/>
      <c r="U132" s="25">
        <f t="shared" si="185"/>
        <v>0</v>
      </c>
      <c r="V132" s="28"/>
      <c r="W132" s="28"/>
      <c r="X132" s="24"/>
      <c r="Y132" s="28"/>
      <c r="Z132" s="28"/>
      <c r="AA132" s="28"/>
      <c r="AB132" s="28"/>
      <c r="AC132" s="25">
        <f t="shared" si="186"/>
        <v>0</v>
      </c>
      <c r="AD132" s="28"/>
      <c r="AE132" s="47">
        <v>438200</v>
      </c>
      <c r="AF132" s="47">
        <v>274300</v>
      </c>
      <c r="AG132" s="49">
        <v>959000</v>
      </c>
      <c r="AH132" s="28">
        <f>70000+210000+210000</f>
        <v>490000</v>
      </c>
      <c r="AI132" s="28">
        <f>1504775+271600+135800</f>
        <v>1912175</v>
      </c>
      <c r="AJ132" s="28">
        <v>1629600</v>
      </c>
      <c r="AK132" s="29">
        <f t="shared" si="187"/>
        <v>5703275</v>
      </c>
      <c r="AL132" s="47"/>
      <c r="AM132" s="28"/>
      <c r="AN132" s="28"/>
      <c r="AO132" s="28"/>
      <c r="AP132" s="29">
        <f t="shared" si="188"/>
        <v>0</v>
      </c>
      <c r="AQ132" s="47"/>
      <c r="AR132" s="28"/>
      <c r="AS132" s="28"/>
      <c r="AT132" s="28"/>
      <c r="AU132" s="29">
        <f t="shared" si="189"/>
        <v>0</v>
      </c>
      <c r="AV132" s="47"/>
      <c r="AW132" s="47">
        <v>100000</v>
      </c>
      <c r="AX132" s="47"/>
      <c r="AY132" s="47">
        <v>120000</v>
      </c>
      <c r="AZ132" s="28"/>
      <c r="BA132" s="28"/>
      <c r="BB132" s="28"/>
      <c r="BC132" s="29">
        <f t="shared" si="190"/>
        <v>220000</v>
      </c>
      <c r="BD132" s="24">
        <f t="shared" si="191"/>
        <v>0</v>
      </c>
      <c r="BE132" s="24">
        <f t="shared" si="191"/>
        <v>538200</v>
      </c>
      <c r="BF132" s="24">
        <f t="shared" si="191"/>
        <v>274300</v>
      </c>
      <c r="BG132" s="24">
        <f t="shared" si="192"/>
        <v>1079000</v>
      </c>
      <c r="BH132" s="30">
        <f t="shared" si="192"/>
        <v>490000</v>
      </c>
      <c r="BI132" s="30">
        <f t="shared" si="192"/>
        <v>1912175</v>
      </c>
      <c r="BJ132" s="30">
        <f t="shared" si="192"/>
        <v>1629600</v>
      </c>
      <c r="BK132" s="25">
        <f t="shared" si="193"/>
        <v>5923275</v>
      </c>
    </row>
    <row r="133" spans="1:63" ht="31.5">
      <c r="A133" s="32"/>
      <c r="B133" s="22">
        <v>4</v>
      </c>
      <c r="C133" s="23" t="s">
        <v>257</v>
      </c>
      <c r="D133" s="62" t="s">
        <v>258</v>
      </c>
      <c r="E133" s="24" t="s">
        <v>252</v>
      </c>
      <c r="F133" s="24"/>
      <c r="G133" s="24"/>
      <c r="H133" s="36"/>
      <c r="I133" s="24"/>
      <c r="J133" s="24"/>
      <c r="K133" s="24"/>
      <c r="L133" s="24"/>
      <c r="M133" s="25">
        <f t="shared" si="184"/>
        <v>0</v>
      </c>
      <c r="N133" s="34">
        <v>290000</v>
      </c>
      <c r="O133" s="34">
        <v>1830000</v>
      </c>
      <c r="P133" s="34">
        <v>1500000</v>
      </c>
      <c r="Q133" s="34">
        <v>250000</v>
      </c>
      <c r="R133" s="24"/>
      <c r="S133" s="24"/>
      <c r="T133" s="24"/>
      <c r="U133" s="25">
        <f t="shared" si="185"/>
        <v>3870000</v>
      </c>
      <c r="V133" s="28">
        <v>290000</v>
      </c>
      <c r="W133" s="53">
        <v>2142000</v>
      </c>
      <c r="X133" s="24">
        <v>840000</v>
      </c>
      <c r="Y133" s="48">
        <v>540000</v>
      </c>
      <c r="Z133" s="48"/>
      <c r="AA133" s="48"/>
      <c r="AB133" s="48"/>
      <c r="AC133" s="25">
        <f t="shared" si="186"/>
        <v>3812000</v>
      </c>
      <c r="AD133" s="28">
        <v>195000</v>
      </c>
      <c r="AE133" s="47">
        <v>1226050</v>
      </c>
      <c r="AF133" s="47">
        <v>607150</v>
      </c>
      <c r="AG133" s="49">
        <v>240000</v>
      </c>
      <c r="AH133" s="28"/>
      <c r="AI133" s="28"/>
      <c r="AJ133" s="28"/>
      <c r="AK133" s="29">
        <f t="shared" si="187"/>
        <v>2268200</v>
      </c>
      <c r="AL133" s="47"/>
      <c r="AM133" s="28"/>
      <c r="AN133" s="28"/>
      <c r="AO133" s="28"/>
      <c r="AP133" s="29">
        <f t="shared" si="188"/>
        <v>0</v>
      </c>
      <c r="AQ133" s="47"/>
      <c r="AR133" s="28"/>
      <c r="AS133" s="28">
        <v>1266500</v>
      </c>
      <c r="AT133" s="28">
        <f>255000+765000+510000+255000+255000+510000+255000</f>
        <v>2805000</v>
      </c>
      <c r="AU133" s="29">
        <f t="shared" si="189"/>
        <v>4071500</v>
      </c>
      <c r="AV133" s="47"/>
      <c r="AW133" s="47">
        <v>100000</v>
      </c>
      <c r="AX133" s="47">
        <v>522000</v>
      </c>
      <c r="AY133" s="47"/>
      <c r="AZ133" s="28"/>
      <c r="BA133" s="28"/>
      <c r="BB133" s="28"/>
      <c r="BC133" s="29">
        <f t="shared" si="190"/>
        <v>622000</v>
      </c>
      <c r="BD133" s="24">
        <f t="shared" si="191"/>
        <v>775000</v>
      </c>
      <c r="BE133" s="24">
        <f t="shared" si="191"/>
        <v>5298050</v>
      </c>
      <c r="BF133" s="24">
        <f t="shared" si="191"/>
        <v>3469150</v>
      </c>
      <c r="BG133" s="24">
        <f t="shared" si="192"/>
        <v>1030000</v>
      </c>
      <c r="BH133" s="30">
        <f t="shared" si="192"/>
        <v>0</v>
      </c>
      <c r="BI133" s="30">
        <f t="shared" si="192"/>
        <v>1266500</v>
      </c>
      <c r="BJ133" s="30">
        <f t="shared" si="192"/>
        <v>2805000</v>
      </c>
      <c r="BK133" s="25">
        <f t="shared" si="193"/>
        <v>14643700</v>
      </c>
    </row>
    <row r="134" spans="1:63" ht="31.5">
      <c r="A134" s="32"/>
      <c r="B134" s="22">
        <v>5</v>
      </c>
      <c r="C134" s="23" t="s">
        <v>259</v>
      </c>
      <c r="D134" s="24" t="s">
        <v>260</v>
      </c>
      <c r="E134" s="24" t="s">
        <v>252</v>
      </c>
      <c r="F134" s="24"/>
      <c r="G134" s="24"/>
      <c r="H134" s="36"/>
      <c r="I134" s="24"/>
      <c r="J134" s="24"/>
      <c r="K134" s="24"/>
      <c r="L134" s="24"/>
      <c r="M134" s="25">
        <f t="shared" si="184"/>
        <v>0</v>
      </c>
      <c r="N134" s="34"/>
      <c r="O134" s="34">
        <v>290000</v>
      </c>
      <c r="P134" s="34"/>
      <c r="Q134" s="34"/>
      <c r="R134" s="24"/>
      <c r="S134" s="24"/>
      <c r="T134" s="24"/>
      <c r="U134" s="25">
        <f t="shared" si="185"/>
        <v>290000</v>
      </c>
      <c r="V134" s="28"/>
      <c r="W134" s="28"/>
      <c r="X134" s="24"/>
      <c r="Y134" s="28"/>
      <c r="Z134" s="28"/>
      <c r="AA134" s="28"/>
      <c r="AB134" s="28"/>
      <c r="AC134" s="25">
        <f t="shared" si="186"/>
        <v>0</v>
      </c>
      <c r="AD134" s="28"/>
      <c r="AE134" s="47"/>
      <c r="AF134" s="47"/>
      <c r="AG134" s="49"/>
      <c r="AH134" s="28"/>
      <c r="AI134" s="28"/>
      <c r="AJ134" s="28"/>
      <c r="AK134" s="29">
        <f t="shared" si="187"/>
        <v>0</v>
      </c>
      <c r="AL134" s="47"/>
      <c r="AM134" s="28"/>
      <c r="AN134" s="28"/>
      <c r="AO134" s="28"/>
      <c r="AP134" s="29">
        <f t="shared" si="188"/>
        <v>0</v>
      </c>
      <c r="AQ134" s="47"/>
      <c r="AR134" s="28"/>
      <c r="AS134" s="28"/>
      <c r="AT134" s="28"/>
      <c r="AU134" s="29">
        <f t="shared" si="189"/>
        <v>0</v>
      </c>
      <c r="AV134" s="47"/>
      <c r="AW134" s="47"/>
      <c r="AX134" s="47"/>
      <c r="AY134" s="47"/>
      <c r="AZ134" s="28"/>
      <c r="BA134" s="28"/>
      <c r="BB134" s="28"/>
      <c r="BC134" s="29">
        <f t="shared" si="190"/>
        <v>0</v>
      </c>
      <c r="BD134" s="24">
        <f t="shared" si="191"/>
        <v>0</v>
      </c>
      <c r="BE134" s="24">
        <f t="shared" si="191"/>
        <v>290000</v>
      </c>
      <c r="BF134" s="24">
        <f t="shared" si="191"/>
        <v>0</v>
      </c>
      <c r="BG134" s="24">
        <f t="shared" si="192"/>
        <v>0</v>
      </c>
      <c r="BH134" s="30">
        <f t="shared" si="192"/>
        <v>0</v>
      </c>
      <c r="BI134" s="30">
        <f t="shared" si="192"/>
        <v>0</v>
      </c>
      <c r="BJ134" s="30">
        <f t="shared" si="192"/>
        <v>0</v>
      </c>
      <c r="BK134" s="25">
        <f t="shared" si="193"/>
        <v>290000</v>
      </c>
    </row>
    <row r="135" spans="1:63" ht="47.25">
      <c r="A135" s="32"/>
      <c r="B135" s="22">
        <v>6</v>
      </c>
      <c r="C135" s="23" t="s">
        <v>261</v>
      </c>
      <c r="D135" s="24" t="s">
        <v>262</v>
      </c>
      <c r="E135" s="24" t="s">
        <v>263</v>
      </c>
      <c r="F135" s="24">
        <v>155000</v>
      </c>
      <c r="G135" s="24"/>
      <c r="H135" s="24">
        <f>891000+110000</f>
        <v>1001000</v>
      </c>
      <c r="I135" s="24"/>
      <c r="J135" s="24"/>
      <c r="K135" s="24"/>
      <c r="L135" s="24"/>
      <c r="M135" s="25">
        <f t="shared" si="184"/>
        <v>1156000</v>
      </c>
      <c r="N135" s="34">
        <v>290000</v>
      </c>
      <c r="O135" s="34"/>
      <c r="P135" s="34">
        <v>1800000</v>
      </c>
      <c r="Q135" s="34"/>
      <c r="R135" s="24"/>
      <c r="S135" s="24"/>
      <c r="T135" s="24"/>
      <c r="U135" s="25">
        <f t="shared" si="185"/>
        <v>2090000</v>
      </c>
      <c r="V135" s="28"/>
      <c r="W135" s="28"/>
      <c r="X135" s="24"/>
      <c r="Y135" s="28"/>
      <c r="Z135" s="28"/>
      <c r="AA135" s="28"/>
      <c r="AB135" s="28"/>
      <c r="AC135" s="25">
        <f t="shared" si="186"/>
        <v>0</v>
      </c>
      <c r="AD135" s="28"/>
      <c r="AE135" s="28"/>
      <c r="AF135" s="28"/>
      <c r="AG135" s="28"/>
      <c r="AH135" s="28"/>
      <c r="AI135" s="28"/>
      <c r="AJ135" s="28"/>
      <c r="AK135" s="29">
        <f t="shared" si="187"/>
        <v>0</v>
      </c>
      <c r="AL135" s="47"/>
      <c r="AM135" s="28"/>
      <c r="AN135" s="28"/>
      <c r="AO135" s="28"/>
      <c r="AP135" s="29">
        <f t="shared" si="188"/>
        <v>0</v>
      </c>
      <c r="AQ135" s="47"/>
      <c r="AR135" s="28"/>
      <c r="AS135" s="28"/>
      <c r="AT135" s="28"/>
      <c r="AU135" s="29">
        <f t="shared" si="189"/>
        <v>0</v>
      </c>
      <c r="AV135" s="47"/>
      <c r="AW135" s="49">
        <v>100000</v>
      </c>
      <c r="AX135" s="47"/>
      <c r="AY135" s="47"/>
      <c r="AZ135" s="28"/>
      <c r="BA135" s="28"/>
      <c r="BB135" s="28"/>
      <c r="BC135" s="29">
        <f t="shared" si="190"/>
        <v>100000</v>
      </c>
      <c r="BD135" s="24">
        <f t="shared" si="191"/>
        <v>445000</v>
      </c>
      <c r="BE135" s="24">
        <f t="shared" si="191"/>
        <v>100000</v>
      </c>
      <c r="BF135" s="24">
        <f t="shared" si="191"/>
        <v>2801000</v>
      </c>
      <c r="BG135" s="24">
        <f t="shared" si="192"/>
        <v>0</v>
      </c>
      <c r="BH135" s="30">
        <f t="shared" si="192"/>
        <v>0</v>
      </c>
      <c r="BI135" s="30">
        <f t="shared" si="192"/>
        <v>0</v>
      </c>
      <c r="BJ135" s="30">
        <f t="shared" si="192"/>
        <v>0</v>
      </c>
      <c r="BK135" s="25">
        <f t="shared" si="193"/>
        <v>3346000</v>
      </c>
    </row>
    <row r="136" spans="1:63" ht="31.5">
      <c r="A136" s="32"/>
      <c r="B136" s="22">
        <v>7</v>
      </c>
      <c r="C136" s="23" t="s">
        <v>264</v>
      </c>
      <c r="D136" s="57" t="s">
        <v>251</v>
      </c>
      <c r="E136" s="24" t="s">
        <v>263</v>
      </c>
      <c r="F136" s="24"/>
      <c r="G136" s="24"/>
      <c r="H136" s="24"/>
      <c r="I136" s="24"/>
      <c r="J136" s="24"/>
      <c r="K136" s="24"/>
      <c r="L136" s="24"/>
      <c r="M136" s="25">
        <f t="shared" si="184"/>
        <v>0</v>
      </c>
      <c r="N136" s="24"/>
      <c r="O136" s="61"/>
      <c r="P136" s="24"/>
      <c r="Q136" s="24"/>
      <c r="R136" s="24"/>
      <c r="S136" s="24"/>
      <c r="T136" s="24"/>
      <c r="U136" s="25">
        <f t="shared" si="185"/>
        <v>0</v>
      </c>
      <c r="V136" s="28"/>
      <c r="W136" s="28">
        <v>290000</v>
      </c>
      <c r="X136" s="24">
        <v>-290000</v>
      </c>
      <c r="Y136" s="28"/>
      <c r="Z136" s="28"/>
      <c r="AA136" s="28"/>
      <c r="AB136" s="28"/>
      <c r="AC136" s="25">
        <f t="shared" si="186"/>
        <v>0</v>
      </c>
      <c r="AD136" s="28"/>
      <c r="AE136" s="47">
        <v>195000</v>
      </c>
      <c r="AF136" s="28"/>
      <c r="AG136" s="28"/>
      <c r="AH136" s="28"/>
      <c r="AI136" s="28"/>
      <c r="AJ136" s="28"/>
      <c r="AK136" s="29">
        <f t="shared" si="187"/>
        <v>195000</v>
      </c>
      <c r="AL136" s="47"/>
      <c r="AM136" s="28"/>
      <c r="AN136" s="28"/>
      <c r="AO136" s="28"/>
      <c r="AP136" s="29">
        <f t="shared" si="188"/>
        <v>0</v>
      </c>
      <c r="AQ136" s="47"/>
      <c r="AR136" s="28"/>
      <c r="AS136" s="28"/>
      <c r="AT136" s="28"/>
      <c r="AU136" s="29">
        <f t="shared" si="189"/>
        <v>0</v>
      </c>
      <c r="AV136" s="47"/>
      <c r="AW136" s="47"/>
      <c r="AX136" s="47"/>
      <c r="AY136" s="47"/>
      <c r="AZ136" s="28"/>
      <c r="BA136" s="28"/>
      <c r="BB136" s="28"/>
      <c r="BC136" s="29">
        <f t="shared" si="190"/>
        <v>0</v>
      </c>
      <c r="BD136" s="24">
        <f t="shared" si="191"/>
        <v>0</v>
      </c>
      <c r="BE136" s="24">
        <f t="shared" si="191"/>
        <v>485000</v>
      </c>
      <c r="BF136" s="24">
        <f t="shared" si="191"/>
        <v>-290000</v>
      </c>
      <c r="BG136" s="24">
        <f t="shared" si="192"/>
        <v>0</v>
      </c>
      <c r="BH136" s="30">
        <f t="shared" si="192"/>
        <v>0</v>
      </c>
      <c r="BI136" s="30">
        <f t="shared" si="192"/>
        <v>0</v>
      </c>
      <c r="BJ136" s="30">
        <f t="shared" si="192"/>
        <v>0</v>
      </c>
      <c r="BK136" s="25">
        <f t="shared" si="193"/>
        <v>195000</v>
      </c>
    </row>
    <row r="137" spans="1:63">
      <c r="A137" s="32"/>
      <c r="B137" s="22">
        <v>8</v>
      </c>
      <c r="C137" s="23" t="s">
        <v>265</v>
      </c>
      <c r="D137" s="52" t="s">
        <v>266</v>
      </c>
      <c r="E137" s="24" t="s">
        <v>263</v>
      </c>
      <c r="F137" s="24"/>
      <c r="G137" s="24"/>
      <c r="H137" s="24"/>
      <c r="I137" s="24"/>
      <c r="J137" s="24"/>
      <c r="K137" s="24"/>
      <c r="L137" s="24"/>
      <c r="M137" s="25">
        <f t="shared" si="184"/>
        <v>0</v>
      </c>
      <c r="N137" s="34">
        <v>290000</v>
      </c>
      <c r="O137" s="34">
        <v>1200000</v>
      </c>
      <c r="P137" s="34">
        <v>2060000</v>
      </c>
      <c r="Q137" s="34">
        <v>250000</v>
      </c>
      <c r="R137" s="24"/>
      <c r="S137" s="24"/>
      <c r="T137" s="24"/>
      <c r="U137" s="25">
        <f t="shared" si="185"/>
        <v>3800000</v>
      </c>
      <c r="V137" s="28"/>
      <c r="W137" s="28">
        <v>290000</v>
      </c>
      <c r="X137" s="24">
        <v>1008000</v>
      </c>
      <c r="Y137" s="48">
        <v>360000</v>
      </c>
      <c r="Z137" s="48"/>
      <c r="AA137" s="48"/>
      <c r="AB137" s="48"/>
      <c r="AC137" s="25">
        <f t="shared" si="186"/>
        <v>1658000</v>
      </c>
      <c r="AD137" s="28"/>
      <c r="AE137" s="47"/>
      <c r="AF137" s="28"/>
      <c r="AG137" s="28"/>
      <c r="AH137" s="28"/>
      <c r="AI137" s="28"/>
      <c r="AJ137" s="28"/>
      <c r="AK137" s="29">
        <f t="shared" si="187"/>
        <v>0</v>
      </c>
      <c r="AL137" s="47"/>
      <c r="AM137" s="28"/>
      <c r="AN137" s="28"/>
      <c r="AO137" s="28"/>
      <c r="AP137" s="29">
        <f t="shared" si="188"/>
        <v>0</v>
      </c>
      <c r="AQ137" s="49">
        <v>900000</v>
      </c>
      <c r="AR137" s="28">
        <f>300000+300000+300000+300000+200000</f>
        <v>1400000</v>
      </c>
      <c r="AS137" s="28">
        <v>1975000</v>
      </c>
      <c r="AT137" s="28">
        <f>1275000+765000+510000+255000+255000+255000+510000</f>
        <v>3825000</v>
      </c>
      <c r="AU137" s="29">
        <f t="shared" si="189"/>
        <v>8100000</v>
      </c>
      <c r="AV137" s="47"/>
      <c r="AW137" s="47"/>
      <c r="AX137" s="47"/>
      <c r="AY137" s="47"/>
      <c r="AZ137" s="28"/>
      <c r="BA137" s="28"/>
      <c r="BB137" s="28"/>
      <c r="BC137" s="29">
        <f t="shared" si="190"/>
        <v>0</v>
      </c>
      <c r="BD137" s="24">
        <f t="shared" si="191"/>
        <v>290000</v>
      </c>
      <c r="BE137" s="24">
        <f t="shared" si="191"/>
        <v>1490000</v>
      </c>
      <c r="BF137" s="24">
        <f t="shared" si="191"/>
        <v>3068000</v>
      </c>
      <c r="BG137" s="24">
        <f t="shared" si="192"/>
        <v>1510000</v>
      </c>
      <c r="BH137" s="30">
        <f t="shared" si="192"/>
        <v>1400000</v>
      </c>
      <c r="BI137" s="30">
        <f t="shared" si="192"/>
        <v>1975000</v>
      </c>
      <c r="BJ137" s="30">
        <f t="shared" si="192"/>
        <v>3825000</v>
      </c>
      <c r="BK137" s="25">
        <f t="shared" si="193"/>
        <v>13558000</v>
      </c>
    </row>
    <row r="138" spans="1:63">
      <c r="A138" s="32"/>
      <c r="B138" s="22"/>
      <c r="C138" s="23" t="s">
        <v>267</v>
      </c>
      <c r="D138" s="52"/>
      <c r="E138" s="24" t="s">
        <v>263</v>
      </c>
      <c r="F138" s="24"/>
      <c r="G138" s="24"/>
      <c r="H138" s="24"/>
      <c r="I138" s="24"/>
      <c r="J138" s="24"/>
      <c r="K138" s="24"/>
      <c r="L138" s="24"/>
      <c r="M138" s="25">
        <f t="shared" si="184"/>
        <v>0</v>
      </c>
      <c r="N138" s="34"/>
      <c r="O138" s="34"/>
      <c r="P138" s="34">
        <v>-200000</v>
      </c>
      <c r="Q138" s="34"/>
      <c r="R138" s="24"/>
      <c r="S138" s="24"/>
      <c r="T138" s="24"/>
      <c r="U138" s="25">
        <f t="shared" si="185"/>
        <v>-200000</v>
      </c>
      <c r="V138" s="28"/>
      <c r="W138" s="28"/>
      <c r="X138" s="24"/>
      <c r="Y138" s="48"/>
      <c r="Z138" s="48"/>
      <c r="AA138" s="48"/>
      <c r="AB138" s="48"/>
      <c r="AC138" s="25">
        <f t="shared" si="186"/>
        <v>0</v>
      </c>
      <c r="AD138" s="28"/>
      <c r="AE138" s="47"/>
      <c r="AF138" s="28"/>
      <c r="AG138" s="28"/>
      <c r="AH138" s="28"/>
      <c r="AI138" s="28"/>
      <c r="AJ138" s="28"/>
      <c r="AK138" s="29">
        <f t="shared" si="187"/>
        <v>0</v>
      </c>
      <c r="AL138" s="47"/>
      <c r="AM138" s="28"/>
      <c r="AN138" s="28"/>
      <c r="AO138" s="28"/>
      <c r="AP138" s="29">
        <f t="shared" si="188"/>
        <v>0</v>
      </c>
      <c r="AQ138" s="49"/>
      <c r="AR138" s="28"/>
      <c r="AS138" s="28"/>
      <c r="AT138" s="28"/>
      <c r="AU138" s="29">
        <f t="shared" si="189"/>
        <v>0</v>
      </c>
      <c r="AV138" s="47"/>
      <c r="AW138" s="47"/>
      <c r="AX138" s="47"/>
      <c r="AY138" s="47"/>
      <c r="AZ138" s="28"/>
      <c r="BA138" s="28"/>
      <c r="BB138" s="28"/>
      <c r="BC138" s="29">
        <f t="shared" si="190"/>
        <v>0</v>
      </c>
      <c r="BD138" s="24">
        <f t="shared" si="191"/>
        <v>0</v>
      </c>
      <c r="BE138" s="24">
        <f t="shared" si="191"/>
        <v>0</v>
      </c>
      <c r="BF138" s="24">
        <f t="shared" si="191"/>
        <v>-200000</v>
      </c>
      <c r="BG138" s="24">
        <f t="shared" si="192"/>
        <v>0</v>
      </c>
      <c r="BH138" s="30">
        <f t="shared" si="192"/>
        <v>0</v>
      </c>
      <c r="BI138" s="30">
        <f t="shared" si="192"/>
        <v>0</v>
      </c>
      <c r="BJ138" s="30">
        <f t="shared" si="192"/>
        <v>0</v>
      </c>
      <c r="BK138" s="25">
        <f t="shared" si="193"/>
        <v>-200000</v>
      </c>
    </row>
    <row r="139" spans="1:63" ht="31.5">
      <c r="A139" s="32"/>
      <c r="B139" s="22">
        <v>9</v>
      </c>
      <c r="C139" s="23" t="s">
        <v>268</v>
      </c>
      <c r="D139" s="24" t="s">
        <v>269</v>
      </c>
      <c r="E139" s="24" t="s">
        <v>270</v>
      </c>
      <c r="F139" s="24"/>
      <c r="G139" s="24">
        <v>298000</v>
      </c>
      <c r="H139" s="24">
        <v>60000</v>
      </c>
      <c r="I139" s="24">
        <v>200000</v>
      </c>
      <c r="J139" s="24"/>
      <c r="K139" s="24"/>
      <c r="L139" s="24"/>
      <c r="M139" s="25">
        <f t="shared" si="184"/>
        <v>558000</v>
      </c>
      <c r="N139" s="24"/>
      <c r="O139" s="61"/>
      <c r="P139" s="24"/>
      <c r="Q139" s="24"/>
      <c r="R139" s="24"/>
      <c r="S139" s="24"/>
      <c r="T139" s="24"/>
      <c r="U139" s="25">
        <f t="shared" si="185"/>
        <v>0</v>
      </c>
      <c r="V139" s="28"/>
      <c r="W139" s="28"/>
      <c r="X139" s="28"/>
      <c r="Y139" s="28"/>
      <c r="Z139" s="28"/>
      <c r="AA139" s="28"/>
      <c r="AB139" s="28"/>
      <c r="AC139" s="25">
        <f t="shared" si="186"/>
        <v>0</v>
      </c>
      <c r="AD139" s="28"/>
      <c r="AE139" s="47">
        <v>330800</v>
      </c>
      <c r="AF139" s="28"/>
      <c r="AG139" s="28">
        <v>450000</v>
      </c>
      <c r="AH139" s="28"/>
      <c r="AI139" s="28"/>
      <c r="AJ139" s="28"/>
      <c r="AK139" s="29">
        <f t="shared" si="187"/>
        <v>780800</v>
      </c>
      <c r="AL139" s="47">
        <v>315000</v>
      </c>
      <c r="AM139" s="28">
        <v>105000</v>
      </c>
      <c r="AN139" s="28"/>
      <c r="AO139" s="28"/>
      <c r="AP139" s="29">
        <f t="shared" si="188"/>
        <v>420000</v>
      </c>
      <c r="AQ139" s="47"/>
      <c r="AR139" s="28"/>
      <c r="AS139" s="28"/>
      <c r="AT139" s="28"/>
      <c r="AU139" s="29">
        <f t="shared" si="189"/>
        <v>0</v>
      </c>
      <c r="AV139" s="47"/>
      <c r="AW139" s="47"/>
      <c r="AX139" s="47"/>
      <c r="AY139" s="47"/>
      <c r="AZ139" s="28"/>
      <c r="BA139" s="28"/>
      <c r="BB139" s="28"/>
      <c r="BC139" s="29">
        <f t="shared" si="190"/>
        <v>0</v>
      </c>
      <c r="BD139" s="24">
        <f t="shared" si="191"/>
        <v>0</v>
      </c>
      <c r="BE139" s="24">
        <f t="shared" si="191"/>
        <v>628800</v>
      </c>
      <c r="BF139" s="24">
        <f t="shared" si="191"/>
        <v>60000</v>
      </c>
      <c r="BG139" s="24">
        <f t="shared" si="192"/>
        <v>965000</v>
      </c>
      <c r="BH139" s="30">
        <f t="shared" si="192"/>
        <v>105000</v>
      </c>
      <c r="BI139" s="30">
        <f t="shared" si="192"/>
        <v>0</v>
      </c>
      <c r="BJ139" s="30">
        <f t="shared" si="192"/>
        <v>0</v>
      </c>
      <c r="BK139" s="25">
        <f t="shared" si="193"/>
        <v>1758800</v>
      </c>
    </row>
    <row r="140" spans="1:63" ht="31.5">
      <c r="A140" s="32"/>
      <c r="B140" s="22">
        <v>10</v>
      </c>
      <c r="C140" s="23" t="s">
        <v>271</v>
      </c>
      <c r="D140" s="24" t="s">
        <v>272</v>
      </c>
      <c r="E140" s="24" t="s">
        <v>270</v>
      </c>
      <c r="F140" s="24">
        <v>155000</v>
      </c>
      <c r="G140" s="24">
        <v>789000</v>
      </c>
      <c r="H140" s="24">
        <f>71500+71500</f>
        <v>143000</v>
      </c>
      <c r="I140" s="24">
        <f>100000+120000+20000</f>
        <v>240000</v>
      </c>
      <c r="J140" s="24"/>
      <c r="K140" s="24"/>
      <c r="L140" s="24"/>
      <c r="M140" s="25">
        <f t="shared" si="184"/>
        <v>1327000</v>
      </c>
      <c r="N140" s="24"/>
      <c r="O140" s="61"/>
      <c r="P140" s="24"/>
      <c r="Q140" s="24"/>
      <c r="R140" s="24"/>
      <c r="S140" s="24"/>
      <c r="T140" s="24"/>
      <c r="U140" s="25">
        <f t="shared" si="185"/>
        <v>0</v>
      </c>
      <c r="V140" s="28"/>
      <c r="W140" s="28"/>
      <c r="X140" s="28"/>
      <c r="Y140" s="28"/>
      <c r="Z140" s="28"/>
      <c r="AA140" s="28"/>
      <c r="AB140" s="28"/>
      <c r="AC140" s="25">
        <f t="shared" si="186"/>
        <v>0</v>
      </c>
      <c r="AD140" s="28"/>
      <c r="AE140" s="47">
        <v>1145600</v>
      </c>
      <c r="AF140" s="47">
        <v>916650</v>
      </c>
      <c r="AG140" s="28"/>
      <c r="AH140" s="28"/>
      <c r="AI140" s="28"/>
      <c r="AJ140" s="28"/>
      <c r="AK140" s="29">
        <f t="shared" si="187"/>
        <v>2062250</v>
      </c>
      <c r="AL140" s="47">
        <v>1155000</v>
      </c>
      <c r="AM140" s="28">
        <f>105000+315000+315000+315000+210000</f>
        <v>1260000</v>
      </c>
      <c r="AN140" s="28">
        <f>632574+1061188+156000</f>
        <v>1849762</v>
      </c>
      <c r="AO140" s="28">
        <v>1816511</v>
      </c>
      <c r="AP140" s="29">
        <f t="shared" si="188"/>
        <v>6081273</v>
      </c>
      <c r="AQ140" s="47"/>
      <c r="AR140" s="28"/>
      <c r="AS140" s="28"/>
      <c r="AT140" s="28"/>
      <c r="AU140" s="29">
        <f t="shared" si="189"/>
        <v>0</v>
      </c>
      <c r="AV140" s="47"/>
      <c r="AW140" s="47"/>
      <c r="AX140" s="47">
        <v>100000</v>
      </c>
      <c r="AY140" s="47"/>
      <c r="AZ140" s="28"/>
      <c r="BA140" s="28"/>
      <c r="BB140" s="28"/>
      <c r="BC140" s="29">
        <f t="shared" si="190"/>
        <v>100000</v>
      </c>
      <c r="BD140" s="24">
        <f t="shared" si="191"/>
        <v>155000</v>
      </c>
      <c r="BE140" s="24">
        <f t="shared" si="191"/>
        <v>1934600</v>
      </c>
      <c r="BF140" s="24">
        <f t="shared" si="191"/>
        <v>1159650</v>
      </c>
      <c r="BG140" s="24">
        <f t="shared" si="192"/>
        <v>1395000</v>
      </c>
      <c r="BH140" s="30">
        <f t="shared" si="192"/>
        <v>1260000</v>
      </c>
      <c r="BI140" s="30">
        <f t="shared" si="192"/>
        <v>1849762</v>
      </c>
      <c r="BJ140" s="30">
        <f t="shared" si="192"/>
        <v>1816511</v>
      </c>
      <c r="BK140" s="25">
        <f t="shared" si="193"/>
        <v>9570523</v>
      </c>
    </row>
    <row r="141" spans="1:63" ht="31.5">
      <c r="A141" s="32"/>
      <c r="B141" s="22">
        <v>11</v>
      </c>
      <c r="C141" s="23" t="s">
        <v>271</v>
      </c>
      <c r="D141" s="24" t="s">
        <v>254</v>
      </c>
      <c r="E141" s="24" t="s">
        <v>270</v>
      </c>
      <c r="F141" s="24"/>
      <c r="G141" s="24"/>
      <c r="H141" s="24">
        <f>155000+453000</f>
        <v>608000</v>
      </c>
      <c r="I141" s="24"/>
      <c r="J141" s="24"/>
      <c r="K141" s="24"/>
      <c r="L141" s="24"/>
      <c r="M141" s="25">
        <f t="shared" si="184"/>
        <v>608000</v>
      </c>
      <c r="N141" s="24"/>
      <c r="O141" s="61"/>
      <c r="P141" s="24"/>
      <c r="Q141" s="24"/>
      <c r="R141" s="24"/>
      <c r="S141" s="24"/>
      <c r="T141" s="24"/>
      <c r="U141" s="25">
        <f t="shared" si="185"/>
        <v>0</v>
      </c>
      <c r="V141" s="28"/>
      <c r="W141" s="28"/>
      <c r="X141" s="28"/>
      <c r="Y141" s="28"/>
      <c r="Z141" s="28"/>
      <c r="AA141" s="28"/>
      <c r="AB141" s="28"/>
      <c r="AC141" s="25">
        <f t="shared" si="186"/>
        <v>0</v>
      </c>
      <c r="AD141" s="28"/>
      <c r="AE141" s="28"/>
      <c r="AF141" s="28"/>
      <c r="AG141" s="28">
        <v>180000</v>
      </c>
      <c r="AH141" s="28"/>
      <c r="AI141" s="28"/>
      <c r="AJ141" s="28"/>
      <c r="AK141" s="29">
        <f t="shared" si="187"/>
        <v>180000</v>
      </c>
      <c r="AL141" s="47"/>
      <c r="AM141" s="28"/>
      <c r="AN141" s="28"/>
      <c r="AO141" s="28"/>
      <c r="AP141" s="29">
        <f t="shared" si="188"/>
        <v>0</v>
      </c>
      <c r="AQ141" s="47"/>
      <c r="AR141" s="28"/>
      <c r="AS141" s="28"/>
      <c r="AT141" s="28"/>
      <c r="AU141" s="29">
        <f t="shared" si="189"/>
        <v>0</v>
      </c>
      <c r="AV141" s="47"/>
      <c r="AW141" s="47"/>
      <c r="AX141" s="47"/>
      <c r="AY141" s="47"/>
      <c r="AZ141" s="28"/>
      <c r="BA141" s="28"/>
      <c r="BB141" s="28"/>
      <c r="BC141" s="29">
        <f t="shared" si="190"/>
        <v>0</v>
      </c>
      <c r="BD141" s="24">
        <f t="shared" si="191"/>
        <v>0</v>
      </c>
      <c r="BE141" s="24">
        <f t="shared" si="191"/>
        <v>0</v>
      </c>
      <c r="BF141" s="24">
        <f t="shared" si="191"/>
        <v>608000</v>
      </c>
      <c r="BG141" s="24">
        <f t="shared" si="192"/>
        <v>180000</v>
      </c>
      <c r="BH141" s="30">
        <f t="shared" si="192"/>
        <v>0</v>
      </c>
      <c r="BI141" s="30">
        <f t="shared" si="192"/>
        <v>0</v>
      </c>
      <c r="BJ141" s="30">
        <f t="shared" si="192"/>
        <v>0</v>
      </c>
      <c r="BK141" s="25">
        <f t="shared" si="193"/>
        <v>788000</v>
      </c>
    </row>
    <row r="142" spans="1:63">
      <c r="A142" s="32"/>
      <c r="B142" s="22">
        <v>12</v>
      </c>
      <c r="C142" s="56" t="s">
        <v>273</v>
      </c>
      <c r="D142" s="57" t="s">
        <v>256</v>
      </c>
      <c r="E142" s="24" t="s">
        <v>270</v>
      </c>
      <c r="F142" s="24"/>
      <c r="G142" s="24"/>
      <c r="H142" s="24"/>
      <c r="I142" s="24"/>
      <c r="J142" s="24"/>
      <c r="K142" s="24"/>
      <c r="L142" s="24"/>
      <c r="M142" s="25">
        <f t="shared" si="184"/>
        <v>0</v>
      </c>
      <c r="N142" s="24"/>
      <c r="O142" s="61"/>
      <c r="P142" s="24"/>
      <c r="Q142" s="24"/>
      <c r="R142" s="24"/>
      <c r="S142" s="24"/>
      <c r="T142" s="24"/>
      <c r="U142" s="25">
        <f t="shared" si="185"/>
        <v>0</v>
      </c>
      <c r="V142" s="28"/>
      <c r="W142" s="28"/>
      <c r="X142" s="24">
        <v>290000</v>
      </c>
      <c r="Y142" s="28">
        <v>1080000</v>
      </c>
      <c r="Z142" s="28">
        <f>225000+225000+225000+225000+150000</f>
        <v>1050000</v>
      </c>
      <c r="AA142" s="28">
        <f>1965000+630000</f>
        <v>2595000</v>
      </c>
      <c r="AB142" s="28">
        <f>210000+420000+630000+210000+210000+420000+210000</f>
        <v>2310000</v>
      </c>
      <c r="AC142" s="25">
        <f t="shared" si="186"/>
        <v>7325000</v>
      </c>
      <c r="AD142" s="28"/>
      <c r="AE142" s="28"/>
      <c r="AF142" s="28"/>
      <c r="AG142" s="28"/>
      <c r="AH142" s="28"/>
      <c r="AI142" s="28"/>
      <c r="AJ142" s="28"/>
      <c r="AK142" s="29">
        <f t="shared" si="187"/>
        <v>0</v>
      </c>
      <c r="AL142" s="47"/>
      <c r="AM142" s="28"/>
      <c r="AN142" s="28"/>
      <c r="AO142" s="28"/>
      <c r="AP142" s="29">
        <f t="shared" si="188"/>
        <v>0</v>
      </c>
      <c r="AQ142" s="47"/>
      <c r="AR142" s="28"/>
      <c r="AS142" s="28"/>
      <c r="AT142" s="28"/>
      <c r="AU142" s="29">
        <f t="shared" si="189"/>
        <v>0</v>
      </c>
      <c r="AV142" s="47"/>
      <c r="AW142" s="47"/>
      <c r="AX142" s="47"/>
      <c r="AY142" s="47"/>
      <c r="AZ142" s="28"/>
      <c r="BA142" s="28"/>
      <c r="BB142" s="28"/>
      <c r="BC142" s="29">
        <f t="shared" si="190"/>
        <v>0</v>
      </c>
      <c r="BD142" s="24">
        <f t="shared" si="191"/>
        <v>0</v>
      </c>
      <c r="BE142" s="24">
        <f t="shared" si="191"/>
        <v>0</v>
      </c>
      <c r="BF142" s="24">
        <f t="shared" si="191"/>
        <v>290000</v>
      </c>
      <c r="BG142" s="24">
        <f t="shared" si="192"/>
        <v>1080000</v>
      </c>
      <c r="BH142" s="30">
        <f t="shared" si="192"/>
        <v>1050000</v>
      </c>
      <c r="BI142" s="30">
        <f t="shared" si="192"/>
        <v>2595000</v>
      </c>
      <c r="BJ142" s="30">
        <f t="shared" si="192"/>
        <v>2310000</v>
      </c>
      <c r="BK142" s="25">
        <f t="shared" si="193"/>
        <v>7325000</v>
      </c>
    </row>
    <row r="143" spans="1:63">
      <c r="A143" s="32"/>
      <c r="B143" s="22">
        <v>13</v>
      </c>
      <c r="C143" s="58" t="s">
        <v>274</v>
      </c>
      <c r="D143" s="59" t="s">
        <v>275</v>
      </c>
      <c r="E143" s="24" t="s">
        <v>270</v>
      </c>
      <c r="F143" s="24"/>
      <c r="G143" s="24"/>
      <c r="H143" s="24"/>
      <c r="I143" s="24"/>
      <c r="J143" s="24"/>
      <c r="K143" s="24"/>
      <c r="L143" s="24"/>
      <c r="M143" s="25">
        <f t="shared" si="184"/>
        <v>0</v>
      </c>
      <c r="N143" s="34"/>
      <c r="O143" s="34"/>
      <c r="P143" s="34">
        <v>430000</v>
      </c>
      <c r="Q143" s="34">
        <v>250000</v>
      </c>
      <c r="R143" s="24">
        <f>890000+225000+225000+225000+150000</f>
        <v>1715000</v>
      </c>
      <c r="S143" s="24">
        <f>1665000+570000</f>
        <v>2235000</v>
      </c>
      <c r="T143" s="24">
        <f>800000+400000+200000+200000+390000+200000+200000</f>
        <v>2390000</v>
      </c>
      <c r="U143" s="25">
        <f t="shared" si="185"/>
        <v>7020000</v>
      </c>
      <c r="V143" s="28"/>
      <c r="W143" s="28"/>
      <c r="X143" s="28"/>
      <c r="Y143" s="28"/>
      <c r="Z143" s="28"/>
      <c r="AA143" s="28"/>
      <c r="AB143" s="28"/>
      <c r="AC143" s="25">
        <f t="shared" si="186"/>
        <v>0</v>
      </c>
      <c r="AD143" s="28"/>
      <c r="AE143" s="28"/>
      <c r="AF143" s="28"/>
      <c r="AG143" s="28"/>
      <c r="AH143" s="28"/>
      <c r="AI143" s="28"/>
      <c r="AJ143" s="28"/>
      <c r="AK143" s="29">
        <f t="shared" si="187"/>
        <v>0</v>
      </c>
      <c r="AL143" s="47"/>
      <c r="AM143" s="28"/>
      <c r="AN143" s="28"/>
      <c r="AO143" s="28"/>
      <c r="AP143" s="29">
        <f t="shared" si="188"/>
        <v>0</v>
      </c>
      <c r="AQ143" s="47"/>
      <c r="AR143" s="28"/>
      <c r="AS143" s="28"/>
      <c r="AT143" s="28"/>
      <c r="AU143" s="29">
        <f t="shared" si="189"/>
        <v>0</v>
      </c>
      <c r="AV143" s="47"/>
      <c r="AW143" s="47"/>
      <c r="AX143" s="47"/>
      <c r="AY143" s="47"/>
      <c r="AZ143" s="28"/>
      <c r="BA143" s="28"/>
      <c r="BB143" s="28"/>
      <c r="BC143" s="29">
        <f t="shared" si="190"/>
        <v>0</v>
      </c>
      <c r="BD143" s="24">
        <f t="shared" si="191"/>
        <v>0</v>
      </c>
      <c r="BE143" s="24">
        <f t="shared" si="191"/>
        <v>0</v>
      </c>
      <c r="BF143" s="24">
        <f t="shared" si="191"/>
        <v>430000</v>
      </c>
      <c r="BG143" s="24">
        <f t="shared" si="192"/>
        <v>250000</v>
      </c>
      <c r="BH143" s="30">
        <f t="shared" si="192"/>
        <v>1715000</v>
      </c>
      <c r="BI143" s="30">
        <f t="shared" si="192"/>
        <v>2235000</v>
      </c>
      <c r="BJ143" s="30">
        <f t="shared" si="192"/>
        <v>2390000</v>
      </c>
      <c r="BK143" s="25">
        <f t="shared" si="193"/>
        <v>7020000</v>
      </c>
    </row>
    <row r="144" spans="1:63">
      <c r="A144" s="32"/>
      <c r="B144" s="22">
        <v>14</v>
      </c>
      <c r="C144" s="51" t="s">
        <v>276</v>
      </c>
      <c r="D144" s="63" t="s">
        <v>277</v>
      </c>
      <c r="E144" s="24" t="s">
        <v>270</v>
      </c>
      <c r="F144" s="24"/>
      <c r="G144" s="24"/>
      <c r="H144" s="24"/>
      <c r="I144" s="24"/>
      <c r="J144" s="24"/>
      <c r="K144" s="24"/>
      <c r="L144" s="24"/>
      <c r="M144" s="25">
        <f t="shared" si="184"/>
        <v>0</v>
      </c>
      <c r="N144" s="34"/>
      <c r="O144" s="34">
        <v>1890000</v>
      </c>
      <c r="P144" s="34">
        <v>200000</v>
      </c>
      <c r="Q144" s="34"/>
      <c r="R144" s="24"/>
      <c r="S144" s="24"/>
      <c r="T144" s="24">
        <f>975000+400000+200000</f>
        <v>1575000</v>
      </c>
      <c r="U144" s="25">
        <f t="shared" si="185"/>
        <v>3665000</v>
      </c>
      <c r="V144" s="28"/>
      <c r="W144" s="28"/>
      <c r="X144" s="28"/>
      <c r="Y144" s="28"/>
      <c r="Z144" s="28"/>
      <c r="AA144" s="28"/>
      <c r="AB144" s="28"/>
      <c r="AC144" s="25">
        <f t="shared" si="186"/>
        <v>0</v>
      </c>
      <c r="AD144" s="28"/>
      <c r="AE144" s="28"/>
      <c r="AF144" s="28"/>
      <c r="AG144" s="28"/>
      <c r="AH144" s="28"/>
      <c r="AI144" s="28"/>
      <c r="AJ144" s="28"/>
      <c r="AK144" s="29">
        <f t="shared" si="187"/>
        <v>0</v>
      </c>
      <c r="AL144" s="47"/>
      <c r="AM144" s="28"/>
      <c r="AN144" s="28"/>
      <c r="AO144" s="28"/>
      <c r="AP144" s="29">
        <f t="shared" si="188"/>
        <v>0</v>
      </c>
      <c r="AQ144" s="47"/>
      <c r="AR144" s="28"/>
      <c r="AS144" s="28"/>
      <c r="AT144" s="28"/>
      <c r="AU144" s="29">
        <f t="shared" si="189"/>
        <v>0</v>
      </c>
      <c r="AV144" s="47"/>
      <c r="AW144" s="47"/>
      <c r="AX144" s="47">
        <v>100000</v>
      </c>
      <c r="AY144" s="47"/>
      <c r="AZ144" s="28"/>
      <c r="BA144" s="28"/>
      <c r="BB144" s="28"/>
      <c r="BC144" s="29">
        <f t="shared" si="190"/>
        <v>100000</v>
      </c>
      <c r="BD144" s="24">
        <f t="shared" si="191"/>
        <v>0</v>
      </c>
      <c r="BE144" s="24">
        <f t="shared" si="191"/>
        <v>1890000</v>
      </c>
      <c r="BF144" s="24">
        <f t="shared" si="191"/>
        <v>300000</v>
      </c>
      <c r="BG144" s="24">
        <f t="shared" si="192"/>
        <v>0</v>
      </c>
      <c r="BH144" s="30">
        <f t="shared" si="192"/>
        <v>0</v>
      </c>
      <c r="BI144" s="30">
        <f t="shared" si="192"/>
        <v>0</v>
      </c>
      <c r="BJ144" s="30">
        <f t="shared" si="192"/>
        <v>1575000</v>
      </c>
      <c r="BK144" s="25">
        <f t="shared" si="193"/>
        <v>3765000</v>
      </c>
    </row>
    <row r="145" spans="1:63" ht="31.5">
      <c r="A145" s="14"/>
      <c r="B145" s="22">
        <v>15</v>
      </c>
      <c r="C145" s="23" t="s">
        <v>278</v>
      </c>
      <c r="D145" s="24" t="s">
        <v>279</v>
      </c>
      <c r="E145" s="24" t="s">
        <v>263</v>
      </c>
      <c r="F145" s="24"/>
      <c r="G145" s="24">
        <v>776500</v>
      </c>
      <c r="H145" s="24">
        <f>82500+159500+341000</f>
        <v>583000</v>
      </c>
      <c r="I145" s="24">
        <v>100000</v>
      </c>
      <c r="J145" s="24"/>
      <c r="K145" s="24"/>
      <c r="L145" s="24"/>
      <c r="M145" s="25">
        <f t="shared" si="184"/>
        <v>1459500</v>
      </c>
      <c r="N145" s="34"/>
      <c r="O145" s="34">
        <v>1510000</v>
      </c>
      <c r="P145" s="34">
        <v>1530000</v>
      </c>
      <c r="Q145" s="34">
        <f>(250000)-140000</f>
        <v>110000</v>
      </c>
      <c r="R145" s="24"/>
      <c r="S145" s="24"/>
      <c r="T145" s="24"/>
      <c r="U145" s="25">
        <f t="shared" si="185"/>
        <v>3150000</v>
      </c>
      <c r="V145" s="28"/>
      <c r="W145" s="28"/>
      <c r="X145" s="28"/>
      <c r="Y145" s="28"/>
      <c r="Z145" s="28"/>
      <c r="AA145" s="28"/>
      <c r="AB145" s="28"/>
      <c r="AC145" s="25">
        <f t="shared" si="186"/>
        <v>0</v>
      </c>
      <c r="AD145" s="28"/>
      <c r="AE145" s="47">
        <v>898250</v>
      </c>
      <c r="AF145" s="47">
        <v>572300</v>
      </c>
      <c r="AG145" s="47">
        <v>150000</v>
      </c>
      <c r="AH145" s="28"/>
      <c r="AI145" s="28"/>
      <c r="AJ145" s="28"/>
      <c r="AK145" s="29">
        <f t="shared" si="187"/>
        <v>1620550</v>
      </c>
      <c r="AL145" s="47"/>
      <c r="AM145" s="28"/>
      <c r="AN145" s="28"/>
      <c r="AO145" s="28"/>
      <c r="AP145" s="29">
        <f t="shared" si="188"/>
        <v>0</v>
      </c>
      <c r="AQ145" s="47"/>
      <c r="AR145" s="28"/>
      <c r="AS145" s="28"/>
      <c r="AT145" s="28"/>
      <c r="AU145" s="29">
        <f t="shared" si="189"/>
        <v>0</v>
      </c>
      <c r="AV145" s="47"/>
      <c r="AW145" s="47"/>
      <c r="AX145" s="47"/>
      <c r="AY145" s="47"/>
      <c r="AZ145" s="28"/>
      <c r="BA145" s="28"/>
      <c r="BB145" s="28"/>
      <c r="BC145" s="29">
        <f t="shared" si="190"/>
        <v>0</v>
      </c>
      <c r="BD145" s="24">
        <f t="shared" si="191"/>
        <v>0</v>
      </c>
      <c r="BE145" s="24">
        <f t="shared" si="191"/>
        <v>3184750</v>
      </c>
      <c r="BF145" s="24">
        <f t="shared" si="191"/>
        <v>2685300</v>
      </c>
      <c r="BG145" s="24">
        <f t="shared" si="192"/>
        <v>360000</v>
      </c>
      <c r="BH145" s="30">
        <f t="shared" si="192"/>
        <v>0</v>
      </c>
      <c r="BI145" s="30">
        <f t="shared" si="192"/>
        <v>0</v>
      </c>
      <c r="BJ145" s="30">
        <f t="shared" si="192"/>
        <v>0</v>
      </c>
      <c r="BK145" s="25">
        <f t="shared" si="193"/>
        <v>6230050</v>
      </c>
    </row>
    <row r="146" spans="1:63" s="42" customFormat="1">
      <c r="A146" s="37"/>
      <c r="B146" s="64"/>
      <c r="C146" s="38" t="s">
        <v>280</v>
      </c>
      <c r="D146" s="40"/>
      <c r="E146" s="40"/>
      <c r="F146" s="40">
        <f>SUM(F130:F145)</f>
        <v>310000</v>
      </c>
      <c r="G146" s="40">
        <f t="shared" ref="G146:BK146" si="194">SUM(G130:G145)</f>
        <v>1863500</v>
      </c>
      <c r="H146" s="40">
        <f t="shared" si="194"/>
        <v>2550000</v>
      </c>
      <c r="I146" s="40">
        <f t="shared" si="194"/>
        <v>540000</v>
      </c>
      <c r="J146" s="40">
        <f t="shared" si="194"/>
        <v>0</v>
      </c>
      <c r="K146" s="40">
        <f t="shared" si="194"/>
        <v>0</v>
      </c>
      <c r="L146" s="40">
        <f t="shared" si="194"/>
        <v>0</v>
      </c>
      <c r="M146" s="40">
        <f t="shared" si="194"/>
        <v>5263500</v>
      </c>
      <c r="N146" s="40">
        <f t="shared" si="194"/>
        <v>870000</v>
      </c>
      <c r="O146" s="40">
        <f t="shared" si="194"/>
        <v>8410000</v>
      </c>
      <c r="P146" s="40">
        <f t="shared" si="194"/>
        <v>8610000</v>
      </c>
      <c r="Q146" s="40">
        <f t="shared" si="194"/>
        <v>1010000</v>
      </c>
      <c r="R146" s="40">
        <f t="shared" si="194"/>
        <v>1715000</v>
      </c>
      <c r="S146" s="40">
        <f t="shared" si="194"/>
        <v>2235000</v>
      </c>
      <c r="T146" s="40">
        <f t="shared" si="194"/>
        <v>3965000</v>
      </c>
      <c r="U146" s="40">
        <f t="shared" si="194"/>
        <v>26815000</v>
      </c>
      <c r="V146" s="40">
        <f t="shared" si="194"/>
        <v>290000</v>
      </c>
      <c r="W146" s="40">
        <f t="shared" si="194"/>
        <v>4111000</v>
      </c>
      <c r="X146" s="40">
        <f t="shared" si="194"/>
        <v>3218000</v>
      </c>
      <c r="Y146" s="40">
        <f t="shared" si="194"/>
        <v>2400000</v>
      </c>
      <c r="Z146" s="40">
        <f t="shared" si="194"/>
        <v>1050000</v>
      </c>
      <c r="AA146" s="40">
        <f t="shared" si="194"/>
        <v>2595000</v>
      </c>
      <c r="AB146" s="40">
        <f t="shared" si="194"/>
        <v>2310000</v>
      </c>
      <c r="AC146" s="40">
        <f t="shared" si="194"/>
        <v>15974000</v>
      </c>
      <c r="AD146" s="40">
        <f t="shared" si="194"/>
        <v>195000</v>
      </c>
      <c r="AE146" s="40">
        <f t="shared" si="194"/>
        <v>4428900</v>
      </c>
      <c r="AF146" s="40">
        <f t="shared" si="194"/>
        <v>2370400</v>
      </c>
      <c r="AG146" s="40">
        <f t="shared" si="194"/>
        <v>1979000</v>
      </c>
      <c r="AH146" s="40">
        <f t="shared" si="194"/>
        <v>490000</v>
      </c>
      <c r="AI146" s="40">
        <f t="shared" si="194"/>
        <v>1912175</v>
      </c>
      <c r="AJ146" s="40">
        <f t="shared" si="194"/>
        <v>1629600</v>
      </c>
      <c r="AK146" s="40">
        <f t="shared" si="194"/>
        <v>13005075</v>
      </c>
      <c r="AL146" s="40">
        <f t="shared" si="194"/>
        <v>1470000</v>
      </c>
      <c r="AM146" s="40">
        <f t="shared" si="194"/>
        <v>1365000</v>
      </c>
      <c r="AN146" s="40">
        <f t="shared" si="194"/>
        <v>1849762</v>
      </c>
      <c r="AO146" s="40">
        <f t="shared" si="194"/>
        <v>1816511</v>
      </c>
      <c r="AP146" s="40">
        <f t="shared" si="194"/>
        <v>6501273</v>
      </c>
      <c r="AQ146" s="40">
        <f t="shared" si="194"/>
        <v>1800000</v>
      </c>
      <c r="AR146" s="40">
        <f t="shared" si="194"/>
        <v>2800000</v>
      </c>
      <c r="AS146" s="40">
        <f t="shared" si="194"/>
        <v>6231500</v>
      </c>
      <c r="AT146" s="40">
        <f t="shared" si="194"/>
        <v>9690000</v>
      </c>
      <c r="AU146" s="40">
        <f t="shared" si="194"/>
        <v>20521500</v>
      </c>
      <c r="AV146" s="40">
        <f t="shared" si="194"/>
        <v>0</v>
      </c>
      <c r="AW146" s="40">
        <f t="shared" si="194"/>
        <v>757600</v>
      </c>
      <c r="AX146" s="40">
        <f t="shared" si="194"/>
        <v>1262000</v>
      </c>
      <c r="AY146" s="40">
        <f t="shared" si="194"/>
        <v>120000</v>
      </c>
      <c r="AZ146" s="40">
        <f t="shared" si="194"/>
        <v>0</v>
      </c>
      <c r="BA146" s="40">
        <f t="shared" si="194"/>
        <v>0</v>
      </c>
      <c r="BB146" s="40">
        <f t="shared" si="194"/>
        <v>0</v>
      </c>
      <c r="BC146" s="40">
        <f t="shared" si="194"/>
        <v>2139600</v>
      </c>
      <c r="BD146" s="40">
        <f t="shared" si="194"/>
        <v>1665000</v>
      </c>
      <c r="BE146" s="40">
        <f t="shared" si="194"/>
        <v>19571000</v>
      </c>
      <c r="BF146" s="40">
        <f t="shared" si="194"/>
        <v>18010400</v>
      </c>
      <c r="BG146" s="40">
        <f t="shared" si="194"/>
        <v>9319000</v>
      </c>
      <c r="BH146" s="40">
        <f t="shared" si="194"/>
        <v>7420000</v>
      </c>
      <c r="BI146" s="40">
        <f t="shared" si="194"/>
        <v>14823437</v>
      </c>
      <c r="BJ146" s="40">
        <f t="shared" si="194"/>
        <v>19411111</v>
      </c>
      <c r="BK146" s="40">
        <f t="shared" si="194"/>
        <v>90219948</v>
      </c>
    </row>
    <row r="147" spans="1:63">
      <c r="A147" s="6" t="s">
        <v>281</v>
      </c>
      <c r="B147" s="22">
        <v>1</v>
      </c>
      <c r="C147" s="23" t="s">
        <v>282</v>
      </c>
      <c r="D147" s="36" t="s">
        <v>283</v>
      </c>
      <c r="E147" s="24" t="s">
        <v>281</v>
      </c>
      <c r="F147" s="24"/>
      <c r="G147" s="24"/>
      <c r="H147" s="24"/>
      <c r="I147" s="24"/>
      <c r="J147" s="24"/>
      <c r="K147" s="24"/>
      <c r="L147" s="24"/>
      <c r="M147" s="25">
        <f t="shared" ref="M147:M148" si="195">SUM(F147:L147)</f>
        <v>0</v>
      </c>
      <c r="N147" s="24"/>
      <c r="O147" s="24"/>
      <c r="P147" s="24"/>
      <c r="Q147" s="24"/>
      <c r="R147" s="24"/>
      <c r="S147" s="24"/>
      <c r="T147" s="24"/>
      <c r="U147" s="25">
        <f t="shared" ref="U147:U148" si="196">SUM(N147:T147)</f>
        <v>0</v>
      </c>
      <c r="V147" s="28"/>
      <c r="W147" s="28"/>
      <c r="X147" s="28"/>
      <c r="Y147" s="28"/>
      <c r="Z147" s="28"/>
      <c r="AA147" s="28"/>
      <c r="AB147" s="28"/>
      <c r="AC147" s="25">
        <f t="shared" ref="AC147:AC148" si="197">SUM(V147:AB147)</f>
        <v>0</v>
      </c>
      <c r="AD147" s="28"/>
      <c r="AE147" s="47">
        <v>694100</v>
      </c>
      <c r="AF147" s="47">
        <v>478450</v>
      </c>
      <c r="AG147" s="49">
        <v>570000</v>
      </c>
      <c r="AH147" s="28">
        <f>458500+304000</f>
        <v>762500</v>
      </c>
      <c r="AI147" s="28">
        <f>450450+114910+61860</f>
        <v>627220</v>
      </c>
      <c r="AJ147" s="28">
        <v>407400</v>
      </c>
      <c r="AK147" s="29">
        <f t="shared" ref="AK147:AK148" si="198">SUM(AD147:AJ147)</f>
        <v>3539670</v>
      </c>
      <c r="AL147" s="47"/>
      <c r="AM147" s="28"/>
      <c r="AN147" s="28"/>
      <c r="AO147" s="28"/>
      <c r="AP147" s="29">
        <f t="shared" ref="AP147:AP148" si="199">SUM(AL147:AO147)</f>
        <v>0</v>
      </c>
      <c r="AQ147" s="47"/>
      <c r="AR147" s="28"/>
      <c r="AS147" s="28"/>
      <c r="AT147" s="28"/>
      <c r="AU147" s="29">
        <f t="shared" ref="AU147:AU148" si="200">SUM(AQ147:AT147)</f>
        <v>0</v>
      </c>
      <c r="AV147" s="47"/>
      <c r="AW147" s="47"/>
      <c r="AX147" s="47"/>
      <c r="AY147" s="47"/>
      <c r="AZ147" s="28"/>
      <c r="BA147" s="28"/>
      <c r="BB147" s="28"/>
      <c r="BC147" s="29">
        <f t="shared" ref="BC147:BC148" si="201">SUM(AV147:BB147)</f>
        <v>0</v>
      </c>
      <c r="BD147" s="24">
        <f t="shared" ref="BD147:BF148" si="202">F147+N147+V147+AD147+AV147</f>
        <v>0</v>
      </c>
      <c r="BE147" s="24">
        <f t="shared" si="202"/>
        <v>694100</v>
      </c>
      <c r="BF147" s="24">
        <f t="shared" si="202"/>
        <v>478450</v>
      </c>
      <c r="BG147" s="24">
        <f>I147+Q147+Y147+AG147+AL147+AQ147+AY147</f>
        <v>570000</v>
      </c>
      <c r="BH147" s="30">
        <f>J147+R147+Z147+AH147+AM147+AR147+AZ147</f>
        <v>762500</v>
      </c>
      <c r="BI147" s="30">
        <f t="shared" ref="BI147:BJ148" si="203">K147+S147+AA147+AI147+AN147+AS147+BA147</f>
        <v>627220</v>
      </c>
      <c r="BJ147" s="30">
        <f t="shared" si="203"/>
        <v>407400</v>
      </c>
      <c r="BK147" s="25">
        <f t="shared" ref="BK147:BK148" si="204">SUM(BD147:BJ147)</f>
        <v>3539670</v>
      </c>
    </row>
    <row r="148" spans="1:63">
      <c r="A148" s="14"/>
      <c r="B148" s="22">
        <v>2</v>
      </c>
      <c r="C148" s="23" t="s">
        <v>284</v>
      </c>
      <c r="D148" s="24" t="s">
        <v>285</v>
      </c>
      <c r="E148" s="24" t="s">
        <v>281</v>
      </c>
      <c r="F148" s="24"/>
      <c r="G148" s="24">
        <v>155000</v>
      </c>
      <c r="H148" s="24">
        <v>354000</v>
      </c>
      <c r="I148" s="24">
        <f>80000+20000+20000</f>
        <v>120000</v>
      </c>
      <c r="J148" s="24"/>
      <c r="K148" s="24"/>
      <c r="L148" s="24"/>
      <c r="M148" s="25">
        <f t="shared" si="195"/>
        <v>629000</v>
      </c>
      <c r="N148" s="24"/>
      <c r="O148" s="24"/>
      <c r="P148" s="24"/>
      <c r="Q148" s="24"/>
      <c r="R148" s="24"/>
      <c r="S148" s="24"/>
      <c r="T148" s="24"/>
      <c r="U148" s="25">
        <f t="shared" si="196"/>
        <v>0</v>
      </c>
      <c r="V148" s="28"/>
      <c r="W148" s="28"/>
      <c r="X148" s="28"/>
      <c r="Y148" s="28"/>
      <c r="Z148" s="28"/>
      <c r="AA148" s="28"/>
      <c r="AB148" s="28"/>
      <c r="AC148" s="25">
        <f t="shared" si="197"/>
        <v>0</v>
      </c>
      <c r="AD148" s="28"/>
      <c r="AE148" s="28">
        <v>287625</v>
      </c>
      <c r="AF148" s="47">
        <v>488550</v>
      </c>
      <c r="AG148" s="49">
        <v>180000</v>
      </c>
      <c r="AH148" s="28"/>
      <c r="AI148" s="28"/>
      <c r="AJ148" s="28"/>
      <c r="AK148" s="29">
        <f t="shared" si="198"/>
        <v>956175</v>
      </c>
      <c r="AL148" s="47">
        <f>315000+210000+105000</f>
        <v>630000</v>
      </c>
      <c r="AM148" s="28">
        <f>542500+261000+274500+291500+207000</f>
        <v>1576500</v>
      </c>
      <c r="AN148" s="28">
        <f>1398500+312000+156000</f>
        <v>1866500</v>
      </c>
      <c r="AO148" s="28">
        <v>1872000</v>
      </c>
      <c r="AP148" s="29">
        <f t="shared" si="199"/>
        <v>5945000</v>
      </c>
      <c r="AQ148" s="47"/>
      <c r="AR148" s="28"/>
      <c r="AS148" s="28"/>
      <c r="AT148" s="28"/>
      <c r="AU148" s="29">
        <f t="shared" si="200"/>
        <v>0</v>
      </c>
      <c r="AV148" s="47"/>
      <c r="AW148" s="47"/>
      <c r="AX148" s="47"/>
      <c r="AY148" s="47"/>
      <c r="AZ148" s="28"/>
      <c r="BA148" s="28"/>
      <c r="BB148" s="28"/>
      <c r="BC148" s="29">
        <f t="shared" si="201"/>
        <v>0</v>
      </c>
      <c r="BD148" s="24">
        <f t="shared" si="202"/>
        <v>0</v>
      </c>
      <c r="BE148" s="24">
        <f t="shared" si="202"/>
        <v>442625</v>
      </c>
      <c r="BF148" s="24">
        <f t="shared" si="202"/>
        <v>842550</v>
      </c>
      <c r="BG148" s="24">
        <f>I148+Q148+Y148+AG148+AL148+AQ148+AY148</f>
        <v>930000</v>
      </c>
      <c r="BH148" s="30">
        <f>J148+R148+Z148+AH148+AM148+AR148+AZ148</f>
        <v>1576500</v>
      </c>
      <c r="BI148" s="30">
        <f t="shared" si="203"/>
        <v>1866500</v>
      </c>
      <c r="BJ148" s="30">
        <f t="shared" si="203"/>
        <v>1872000</v>
      </c>
      <c r="BK148" s="25">
        <f t="shared" si="204"/>
        <v>7530175</v>
      </c>
    </row>
    <row r="149" spans="1:63" s="42" customFormat="1">
      <c r="A149" s="37"/>
      <c r="B149" s="37"/>
      <c r="C149" s="38" t="s">
        <v>286</v>
      </c>
      <c r="D149" s="40"/>
      <c r="E149" s="40"/>
      <c r="F149" s="40">
        <f>SUM(F147:F148)</f>
        <v>0</v>
      </c>
      <c r="G149" s="40">
        <f t="shared" ref="G149:BK149" si="205">SUM(G147:G148)</f>
        <v>155000</v>
      </c>
      <c r="H149" s="40">
        <f t="shared" si="205"/>
        <v>354000</v>
      </c>
      <c r="I149" s="40">
        <f t="shared" si="205"/>
        <v>120000</v>
      </c>
      <c r="J149" s="40">
        <f t="shared" si="205"/>
        <v>0</v>
      </c>
      <c r="K149" s="40">
        <f t="shared" si="205"/>
        <v>0</v>
      </c>
      <c r="L149" s="40">
        <f t="shared" si="205"/>
        <v>0</v>
      </c>
      <c r="M149" s="40">
        <f t="shared" si="205"/>
        <v>629000</v>
      </c>
      <c r="N149" s="40">
        <f t="shared" si="205"/>
        <v>0</v>
      </c>
      <c r="O149" s="40">
        <f t="shared" si="205"/>
        <v>0</v>
      </c>
      <c r="P149" s="40">
        <f t="shared" si="205"/>
        <v>0</v>
      </c>
      <c r="Q149" s="40">
        <f t="shared" si="205"/>
        <v>0</v>
      </c>
      <c r="R149" s="40">
        <f t="shared" si="205"/>
        <v>0</v>
      </c>
      <c r="S149" s="40">
        <f t="shared" si="205"/>
        <v>0</v>
      </c>
      <c r="T149" s="40">
        <f t="shared" si="205"/>
        <v>0</v>
      </c>
      <c r="U149" s="40">
        <f t="shared" si="205"/>
        <v>0</v>
      </c>
      <c r="V149" s="40">
        <f t="shared" si="205"/>
        <v>0</v>
      </c>
      <c r="W149" s="40">
        <f t="shared" si="205"/>
        <v>0</v>
      </c>
      <c r="X149" s="40">
        <f t="shared" si="205"/>
        <v>0</v>
      </c>
      <c r="Y149" s="40">
        <f t="shared" si="205"/>
        <v>0</v>
      </c>
      <c r="Z149" s="40">
        <f t="shared" si="205"/>
        <v>0</v>
      </c>
      <c r="AA149" s="40">
        <f t="shared" si="205"/>
        <v>0</v>
      </c>
      <c r="AB149" s="40">
        <f t="shared" si="205"/>
        <v>0</v>
      </c>
      <c r="AC149" s="40">
        <f t="shared" si="205"/>
        <v>0</v>
      </c>
      <c r="AD149" s="40">
        <f t="shared" si="205"/>
        <v>0</v>
      </c>
      <c r="AE149" s="40">
        <f t="shared" si="205"/>
        <v>981725</v>
      </c>
      <c r="AF149" s="40">
        <f t="shared" si="205"/>
        <v>967000</v>
      </c>
      <c r="AG149" s="40">
        <f t="shared" si="205"/>
        <v>750000</v>
      </c>
      <c r="AH149" s="40">
        <f t="shared" si="205"/>
        <v>762500</v>
      </c>
      <c r="AI149" s="40">
        <f t="shared" si="205"/>
        <v>627220</v>
      </c>
      <c r="AJ149" s="40">
        <f t="shared" si="205"/>
        <v>407400</v>
      </c>
      <c r="AK149" s="40">
        <f t="shared" si="205"/>
        <v>4495845</v>
      </c>
      <c r="AL149" s="40">
        <f t="shared" si="205"/>
        <v>630000</v>
      </c>
      <c r="AM149" s="40">
        <f t="shared" si="205"/>
        <v>1576500</v>
      </c>
      <c r="AN149" s="40">
        <f t="shared" si="205"/>
        <v>1866500</v>
      </c>
      <c r="AO149" s="40">
        <f t="shared" si="205"/>
        <v>1872000</v>
      </c>
      <c r="AP149" s="40">
        <f t="shared" si="205"/>
        <v>5945000</v>
      </c>
      <c r="AQ149" s="40">
        <f t="shared" si="205"/>
        <v>0</v>
      </c>
      <c r="AR149" s="40">
        <f t="shared" si="205"/>
        <v>0</v>
      </c>
      <c r="AS149" s="40">
        <f t="shared" si="205"/>
        <v>0</v>
      </c>
      <c r="AT149" s="40">
        <f t="shared" si="205"/>
        <v>0</v>
      </c>
      <c r="AU149" s="40">
        <f t="shared" si="205"/>
        <v>0</v>
      </c>
      <c r="AV149" s="40">
        <f t="shared" si="205"/>
        <v>0</v>
      </c>
      <c r="AW149" s="40">
        <f t="shared" si="205"/>
        <v>0</v>
      </c>
      <c r="AX149" s="40">
        <f t="shared" si="205"/>
        <v>0</v>
      </c>
      <c r="AY149" s="40">
        <f t="shared" si="205"/>
        <v>0</v>
      </c>
      <c r="AZ149" s="40">
        <f t="shared" si="205"/>
        <v>0</v>
      </c>
      <c r="BA149" s="40">
        <f t="shared" si="205"/>
        <v>0</v>
      </c>
      <c r="BB149" s="40">
        <f t="shared" si="205"/>
        <v>0</v>
      </c>
      <c r="BC149" s="40">
        <f t="shared" si="205"/>
        <v>0</v>
      </c>
      <c r="BD149" s="40">
        <f t="shared" si="205"/>
        <v>0</v>
      </c>
      <c r="BE149" s="40">
        <f t="shared" si="205"/>
        <v>1136725</v>
      </c>
      <c r="BF149" s="40">
        <f t="shared" si="205"/>
        <v>1321000</v>
      </c>
      <c r="BG149" s="40">
        <f t="shared" si="205"/>
        <v>1500000</v>
      </c>
      <c r="BH149" s="40">
        <f t="shared" si="205"/>
        <v>2339000</v>
      </c>
      <c r="BI149" s="40">
        <f t="shared" si="205"/>
        <v>2493720</v>
      </c>
      <c r="BJ149" s="40">
        <f t="shared" si="205"/>
        <v>2279400</v>
      </c>
      <c r="BK149" s="40">
        <f t="shared" si="205"/>
        <v>11069845</v>
      </c>
    </row>
    <row r="150" spans="1:63" ht="31.5">
      <c r="A150" s="15" t="s">
        <v>287</v>
      </c>
      <c r="B150" s="22">
        <v>1</v>
      </c>
      <c r="C150" s="58" t="s">
        <v>288</v>
      </c>
      <c r="D150" s="59" t="s">
        <v>287</v>
      </c>
      <c r="E150" s="59" t="s">
        <v>289</v>
      </c>
      <c r="F150" s="24"/>
      <c r="G150" s="24"/>
      <c r="H150" s="36"/>
      <c r="I150" s="24"/>
      <c r="J150" s="24"/>
      <c r="K150" s="24"/>
      <c r="L150" s="24"/>
      <c r="M150" s="25">
        <f>SUM(F150:L150)</f>
        <v>0</v>
      </c>
      <c r="N150" s="34"/>
      <c r="O150" s="34"/>
      <c r="P150" s="34">
        <v>290000</v>
      </c>
      <c r="Q150" s="34"/>
      <c r="R150" s="24"/>
      <c r="S150" s="24">
        <f>1725000+570000</f>
        <v>2295000</v>
      </c>
      <c r="T150" s="24">
        <f>570000+570000+190000+760000+190000</f>
        <v>2280000</v>
      </c>
      <c r="U150" s="25">
        <f>SUM(N150:T150)</f>
        <v>4865000</v>
      </c>
      <c r="V150" s="28"/>
      <c r="W150" s="28"/>
      <c r="X150" s="28"/>
      <c r="Y150" s="28"/>
      <c r="Z150" s="28"/>
      <c r="AA150" s="28"/>
      <c r="AB150" s="28"/>
      <c r="AC150" s="25">
        <f>SUM(V150:AB150)</f>
        <v>0</v>
      </c>
      <c r="AD150" s="28"/>
      <c r="AE150" s="28"/>
      <c r="AF150" s="47"/>
      <c r="AG150" s="47"/>
      <c r="AH150" s="28"/>
      <c r="AI150" s="28"/>
      <c r="AJ150" s="28"/>
      <c r="AK150" s="29">
        <f>SUM(AD150:AJ150)</f>
        <v>0</v>
      </c>
      <c r="AL150" s="47"/>
      <c r="AM150" s="28"/>
      <c r="AN150" s="28"/>
      <c r="AO150" s="28"/>
      <c r="AP150" s="29">
        <f>SUM(AL150:AO150)</f>
        <v>0</v>
      </c>
      <c r="AQ150" s="47"/>
      <c r="AR150" s="28"/>
      <c r="AS150" s="28"/>
      <c r="AT150" s="28"/>
      <c r="AU150" s="29">
        <f>SUM(AQ150:AT150)</f>
        <v>0</v>
      </c>
      <c r="AV150" s="47"/>
      <c r="AW150" s="47"/>
      <c r="AX150" s="47"/>
      <c r="AY150" s="47"/>
      <c r="AZ150" s="28"/>
      <c r="BA150" s="28"/>
      <c r="BB150" s="28"/>
      <c r="BC150" s="29">
        <f>SUM(AV150:BB150)</f>
        <v>0</v>
      </c>
      <c r="BD150" s="24">
        <f>F150+N150+V150+AD150+AV150</f>
        <v>0</v>
      </c>
      <c r="BE150" s="24">
        <f>G150+O150+W150+AE150+AW150</f>
        <v>0</v>
      </c>
      <c r="BF150" s="24">
        <f>H150+P150+X150+AF150+AX150</f>
        <v>290000</v>
      </c>
      <c r="BG150" s="24">
        <f>I150+Q150+Y150+AG150+AL150+AQ150+AY150</f>
        <v>0</v>
      </c>
      <c r="BH150" s="30">
        <f>J150+R150+Z150+AH150+AM150+AR150+AZ150</f>
        <v>0</v>
      </c>
      <c r="BI150" s="30">
        <f>K150+S150+AA150+AI150+AN150+AS150+BA150</f>
        <v>2295000</v>
      </c>
      <c r="BJ150" s="30">
        <f>L150+T150+AB150+AJ150+AO150+AT150+BB150</f>
        <v>2280000</v>
      </c>
      <c r="BK150" s="25">
        <f>SUM(BD150:BJ150)</f>
        <v>4865000</v>
      </c>
    </row>
    <row r="151" spans="1:63" s="42" customFormat="1">
      <c r="A151" s="37"/>
      <c r="B151" s="37"/>
      <c r="C151" s="65" t="s">
        <v>290</v>
      </c>
      <c r="D151" s="66"/>
      <c r="E151" s="66"/>
      <c r="F151" s="40">
        <f>F150</f>
        <v>0</v>
      </c>
      <c r="G151" s="40">
        <f t="shared" ref="G151:BK151" si="206">G150</f>
        <v>0</v>
      </c>
      <c r="H151" s="40">
        <f t="shared" si="206"/>
        <v>0</v>
      </c>
      <c r="I151" s="40">
        <f t="shared" ref="I151" si="207">SUM(I150)</f>
        <v>0</v>
      </c>
      <c r="J151" s="40">
        <f t="shared" si="206"/>
        <v>0</v>
      </c>
      <c r="K151" s="40">
        <f t="shared" si="206"/>
        <v>0</v>
      </c>
      <c r="L151" s="40">
        <f t="shared" si="206"/>
        <v>0</v>
      </c>
      <c r="M151" s="40">
        <f t="shared" si="206"/>
        <v>0</v>
      </c>
      <c r="N151" s="40">
        <f t="shared" si="206"/>
        <v>0</v>
      </c>
      <c r="O151" s="40">
        <f t="shared" si="206"/>
        <v>0</v>
      </c>
      <c r="P151" s="40">
        <f t="shared" si="206"/>
        <v>290000</v>
      </c>
      <c r="Q151" s="40">
        <f t="shared" ref="Q151" si="208">SUM(Q150)</f>
        <v>0</v>
      </c>
      <c r="R151" s="40">
        <f t="shared" si="206"/>
        <v>0</v>
      </c>
      <c r="S151" s="40">
        <f t="shared" si="206"/>
        <v>2295000</v>
      </c>
      <c r="T151" s="40">
        <f t="shared" si="206"/>
        <v>2280000</v>
      </c>
      <c r="U151" s="40">
        <f t="shared" si="206"/>
        <v>4865000</v>
      </c>
      <c r="V151" s="40">
        <f t="shared" si="206"/>
        <v>0</v>
      </c>
      <c r="W151" s="40">
        <f t="shared" si="206"/>
        <v>0</v>
      </c>
      <c r="X151" s="40">
        <f t="shared" si="206"/>
        <v>0</v>
      </c>
      <c r="Y151" s="40">
        <f t="shared" ref="Y151:AB151" si="209">SUM(Y150)</f>
        <v>0</v>
      </c>
      <c r="Z151" s="40">
        <f t="shared" si="209"/>
        <v>0</v>
      </c>
      <c r="AA151" s="40">
        <f t="shared" si="209"/>
        <v>0</v>
      </c>
      <c r="AB151" s="40">
        <f t="shared" si="209"/>
        <v>0</v>
      </c>
      <c r="AC151" s="40">
        <f t="shared" si="206"/>
        <v>0</v>
      </c>
      <c r="AD151" s="40">
        <f t="shared" si="206"/>
        <v>0</v>
      </c>
      <c r="AE151" s="40">
        <f t="shared" si="206"/>
        <v>0</v>
      </c>
      <c r="AF151" s="40">
        <f t="shared" si="206"/>
        <v>0</v>
      </c>
      <c r="AG151" s="40">
        <f t="shared" ref="AG151" si="210">SUM(AG150)</f>
        <v>0</v>
      </c>
      <c r="AH151" s="40">
        <f t="shared" si="206"/>
        <v>0</v>
      </c>
      <c r="AI151" s="40">
        <f t="shared" si="206"/>
        <v>0</v>
      </c>
      <c r="AJ151" s="40">
        <f t="shared" si="206"/>
        <v>0</v>
      </c>
      <c r="AK151" s="40">
        <f t="shared" si="206"/>
        <v>0</v>
      </c>
      <c r="AL151" s="40">
        <f t="shared" ref="AL151" si="211">SUM(AL150)</f>
        <v>0</v>
      </c>
      <c r="AM151" s="40">
        <f t="shared" si="206"/>
        <v>0</v>
      </c>
      <c r="AN151" s="40">
        <f t="shared" si="206"/>
        <v>0</v>
      </c>
      <c r="AO151" s="40">
        <f t="shared" si="206"/>
        <v>0</v>
      </c>
      <c r="AP151" s="40">
        <f t="shared" si="206"/>
        <v>0</v>
      </c>
      <c r="AQ151" s="40">
        <f t="shared" ref="AQ151" si="212">SUM(AQ150)</f>
        <v>0</v>
      </c>
      <c r="AR151" s="40">
        <f t="shared" si="206"/>
        <v>0</v>
      </c>
      <c r="AS151" s="40">
        <f t="shared" si="206"/>
        <v>0</v>
      </c>
      <c r="AT151" s="40">
        <f t="shared" si="206"/>
        <v>0</v>
      </c>
      <c r="AU151" s="40">
        <f t="shared" si="206"/>
        <v>0</v>
      </c>
      <c r="AV151" s="40">
        <f t="shared" si="206"/>
        <v>0</v>
      </c>
      <c r="AW151" s="40">
        <f t="shared" si="206"/>
        <v>0</v>
      </c>
      <c r="AX151" s="40">
        <f t="shared" si="206"/>
        <v>0</v>
      </c>
      <c r="AY151" s="40">
        <f t="shared" ref="AY151" si="213">SUM(AY150)</f>
        <v>0</v>
      </c>
      <c r="AZ151" s="40">
        <f t="shared" si="206"/>
        <v>0</v>
      </c>
      <c r="BA151" s="40">
        <f t="shared" si="206"/>
        <v>0</v>
      </c>
      <c r="BB151" s="40">
        <f t="shared" si="206"/>
        <v>0</v>
      </c>
      <c r="BC151" s="40">
        <f t="shared" si="206"/>
        <v>0</v>
      </c>
      <c r="BD151" s="40">
        <f t="shared" si="206"/>
        <v>0</v>
      </c>
      <c r="BE151" s="40">
        <f t="shared" si="206"/>
        <v>0</v>
      </c>
      <c r="BF151" s="40">
        <f t="shared" si="206"/>
        <v>290000</v>
      </c>
      <c r="BG151" s="40">
        <f t="shared" si="206"/>
        <v>0</v>
      </c>
      <c r="BH151" s="40">
        <f t="shared" si="206"/>
        <v>0</v>
      </c>
      <c r="BI151" s="40">
        <f t="shared" si="206"/>
        <v>2295000</v>
      </c>
      <c r="BJ151" s="40">
        <f t="shared" si="206"/>
        <v>2280000</v>
      </c>
      <c r="BK151" s="40">
        <f t="shared" si="206"/>
        <v>4865000</v>
      </c>
    </row>
    <row r="152" spans="1:63">
      <c r="A152" s="6" t="s">
        <v>291</v>
      </c>
      <c r="B152" s="22">
        <v>1</v>
      </c>
      <c r="C152" s="23" t="s">
        <v>292</v>
      </c>
      <c r="D152" s="24" t="s">
        <v>293</v>
      </c>
      <c r="E152" s="24" t="s">
        <v>291</v>
      </c>
      <c r="F152" s="24"/>
      <c r="G152" s="24">
        <v>705000</v>
      </c>
      <c r="H152" s="24">
        <f>110000+65000+265000</f>
        <v>440000</v>
      </c>
      <c r="I152" s="24"/>
      <c r="J152" s="24"/>
      <c r="K152" s="24"/>
      <c r="L152" s="24"/>
      <c r="M152" s="25">
        <f t="shared" ref="M152:M156" si="214">SUM(F152:L152)</f>
        <v>1145000</v>
      </c>
      <c r="N152" s="24"/>
      <c r="O152" s="24"/>
      <c r="P152" s="24"/>
      <c r="Q152" s="24"/>
      <c r="R152" s="24"/>
      <c r="S152" s="24"/>
      <c r="T152" s="24"/>
      <c r="U152" s="25">
        <f t="shared" ref="U152:U156" si="215">SUM(N152:T152)</f>
        <v>0</v>
      </c>
      <c r="V152" s="28"/>
      <c r="W152" s="28">
        <v>1340000</v>
      </c>
      <c r="X152" s="24">
        <v>826000</v>
      </c>
      <c r="Y152" s="48"/>
      <c r="Z152" s="48"/>
      <c r="AA152" s="48"/>
      <c r="AB152" s="48"/>
      <c r="AC152" s="25">
        <f t="shared" ref="AC152:AC156" si="216">SUM(V152:AB152)</f>
        <v>2166000</v>
      </c>
      <c r="AD152" s="28"/>
      <c r="AE152" s="47">
        <v>1068000</v>
      </c>
      <c r="AF152" s="47">
        <v>582000</v>
      </c>
      <c r="AG152" s="47"/>
      <c r="AH152" s="28"/>
      <c r="AI152" s="28"/>
      <c r="AJ152" s="28"/>
      <c r="AK152" s="29">
        <f t="shared" ref="AK152:AK156" si="217">SUM(AD152:AJ152)</f>
        <v>1650000</v>
      </c>
      <c r="AL152" s="47"/>
      <c r="AM152" s="28"/>
      <c r="AN152" s="28"/>
      <c r="AO152" s="28"/>
      <c r="AP152" s="29">
        <f t="shared" ref="AP152:AP156" si="218">SUM(AL152:AO152)</f>
        <v>0</v>
      </c>
      <c r="AQ152" s="47"/>
      <c r="AR152" s="28"/>
      <c r="AS152" s="28"/>
      <c r="AT152" s="28"/>
      <c r="AU152" s="29">
        <f t="shared" ref="AU152:AU156" si="219">SUM(AQ152:AT152)</f>
        <v>0</v>
      </c>
      <c r="AV152" s="47"/>
      <c r="AW152" s="47"/>
      <c r="AX152" s="47"/>
      <c r="AY152" s="47"/>
      <c r="AZ152" s="28"/>
      <c r="BA152" s="28"/>
      <c r="BB152" s="28"/>
      <c r="BC152" s="29">
        <f t="shared" ref="BC152:BC156" si="220">SUM(AV152:BB152)</f>
        <v>0</v>
      </c>
      <c r="BD152" s="24">
        <f t="shared" ref="BD152:BF156" si="221">F152+N152+V152+AD152+AV152</f>
        <v>0</v>
      </c>
      <c r="BE152" s="24">
        <f t="shared" si="221"/>
        <v>3113000</v>
      </c>
      <c r="BF152" s="24">
        <f t="shared" si="221"/>
        <v>1848000</v>
      </c>
      <c r="BG152" s="24">
        <f t="shared" ref="BG152:BJ156" si="222">I152+Q152+Y152+AG152+AL152+AQ152+AY152</f>
        <v>0</v>
      </c>
      <c r="BH152" s="30">
        <f t="shared" si="222"/>
        <v>0</v>
      </c>
      <c r="BI152" s="30">
        <f t="shared" si="222"/>
        <v>0</v>
      </c>
      <c r="BJ152" s="30">
        <f t="shared" si="222"/>
        <v>0</v>
      </c>
      <c r="BK152" s="25">
        <f t="shared" ref="BK152:BK156" si="223">SUM(BD152:BJ152)</f>
        <v>4961000</v>
      </c>
    </row>
    <row r="153" spans="1:63" ht="31.5">
      <c r="A153" s="32"/>
      <c r="B153" s="22">
        <v>2</v>
      </c>
      <c r="C153" s="51" t="s">
        <v>294</v>
      </c>
      <c r="D153" s="52" t="s">
        <v>295</v>
      </c>
      <c r="E153" s="24" t="s">
        <v>291</v>
      </c>
      <c r="F153" s="24"/>
      <c r="G153" s="24"/>
      <c r="H153" s="24"/>
      <c r="I153" s="24"/>
      <c r="J153" s="24"/>
      <c r="K153" s="24"/>
      <c r="L153" s="24"/>
      <c r="M153" s="25">
        <f t="shared" si="214"/>
        <v>0</v>
      </c>
      <c r="N153" s="34"/>
      <c r="O153" s="34"/>
      <c r="P153" s="34">
        <v>360000</v>
      </c>
      <c r="Q153" s="34">
        <v>705000</v>
      </c>
      <c r="R153" s="24">
        <f>130000+225000+135000+120000+90000</f>
        <v>700000</v>
      </c>
      <c r="S153" s="24">
        <f>895000+330000</f>
        <v>1225000</v>
      </c>
      <c r="T153" s="24">
        <f>110000+440000+220000+110000</f>
        <v>880000</v>
      </c>
      <c r="U153" s="25">
        <f t="shared" si="215"/>
        <v>3870000</v>
      </c>
      <c r="V153" s="28"/>
      <c r="W153" s="28"/>
      <c r="X153" s="28"/>
      <c r="Y153" s="28"/>
      <c r="Z153" s="28"/>
      <c r="AA153" s="28"/>
      <c r="AB153" s="28"/>
      <c r="AC153" s="25">
        <f t="shared" si="216"/>
        <v>0</v>
      </c>
      <c r="AD153" s="28"/>
      <c r="AE153" s="47"/>
      <c r="AF153" s="47"/>
      <c r="AG153" s="47"/>
      <c r="AH153" s="28"/>
      <c r="AI153" s="28"/>
      <c r="AJ153" s="28"/>
      <c r="AK153" s="29">
        <f t="shared" si="217"/>
        <v>0</v>
      </c>
      <c r="AL153" s="47"/>
      <c r="AM153" s="28"/>
      <c r="AN153" s="28"/>
      <c r="AO153" s="28"/>
      <c r="AP153" s="29">
        <f t="shared" si="218"/>
        <v>0</v>
      </c>
      <c r="AQ153" s="47"/>
      <c r="AR153" s="28"/>
      <c r="AS153" s="28"/>
      <c r="AT153" s="28"/>
      <c r="AU153" s="29">
        <f t="shared" si="219"/>
        <v>0</v>
      </c>
      <c r="AV153" s="47"/>
      <c r="AW153" s="47"/>
      <c r="AX153" s="47"/>
      <c r="AY153" s="47"/>
      <c r="AZ153" s="28"/>
      <c r="BA153" s="28"/>
      <c r="BB153" s="28"/>
      <c r="BC153" s="29">
        <f t="shared" si="220"/>
        <v>0</v>
      </c>
      <c r="BD153" s="24">
        <f t="shared" si="221"/>
        <v>0</v>
      </c>
      <c r="BE153" s="24">
        <f t="shared" si="221"/>
        <v>0</v>
      </c>
      <c r="BF153" s="24">
        <f t="shared" si="221"/>
        <v>360000</v>
      </c>
      <c r="BG153" s="24">
        <f t="shared" si="222"/>
        <v>705000</v>
      </c>
      <c r="BH153" s="30">
        <f t="shared" si="222"/>
        <v>700000</v>
      </c>
      <c r="BI153" s="30">
        <f t="shared" si="222"/>
        <v>1225000</v>
      </c>
      <c r="BJ153" s="30">
        <f t="shared" si="222"/>
        <v>880000</v>
      </c>
      <c r="BK153" s="25">
        <f t="shared" si="223"/>
        <v>3870000</v>
      </c>
    </row>
    <row r="154" spans="1:63">
      <c r="A154" s="32"/>
      <c r="B154" s="22">
        <v>3</v>
      </c>
      <c r="C154" s="23" t="s">
        <v>296</v>
      </c>
      <c r="D154" s="52" t="s">
        <v>297</v>
      </c>
      <c r="E154" s="24" t="s">
        <v>291</v>
      </c>
      <c r="F154" s="24"/>
      <c r="G154" s="24"/>
      <c r="H154" s="24">
        <v>-155000</v>
      </c>
      <c r="I154" s="24"/>
      <c r="J154" s="24"/>
      <c r="K154" s="24"/>
      <c r="L154" s="24"/>
      <c r="M154" s="25">
        <f t="shared" si="214"/>
        <v>-155000</v>
      </c>
      <c r="N154" s="24"/>
      <c r="O154" s="24"/>
      <c r="P154" s="24"/>
      <c r="Q154" s="24"/>
      <c r="R154" s="24"/>
      <c r="S154" s="24"/>
      <c r="T154" s="24"/>
      <c r="U154" s="25">
        <f t="shared" si="215"/>
        <v>0</v>
      </c>
      <c r="V154" s="28"/>
      <c r="W154" s="48">
        <v>290000</v>
      </c>
      <c r="X154" s="28">
        <v>0</v>
      </c>
      <c r="Y154" s="28">
        <v>-135000</v>
      </c>
      <c r="Z154" s="28"/>
      <c r="AA154" s="28"/>
      <c r="AB154" s="28"/>
      <c r="AC154" s="25">
        <f t="shared" si="216"/>
        <v>155000</v>
      </c>
      <c r="AD154" s="28"/>
      <c r="AE154" s="47"/>
      <c r="AF154" s="28"/>
      <c r="AG154" s="28"/>
      <c r="AH154" s="28"/>
      <c r="AI154" s="28"/>
      <c r="AJ154" s="28"/>
      <c r="AK154" s="29">
        <f t="shared" si="217"/>
        <v>0</v>
      </c>
      <c r="AL154" s="47"/>
      <c r="AM154" s="28"/>
      <c r="AN154" s="28"/>
      <c r="AO154" s="28"/>
      <c r="AP154" s="29">
        <f t="shared" si="218"/>
        <v>0</v>
      </c>
      <c r="AQ154" s="47"/>
      <c r="AR154" s="28"/>
      <c r="AS154" s="28"/>
      <c r="AT154" s="28"/>
      <c r="AU154" s="29">
        <f t="shared" si="219"/>
        <v>0</v>
      </c>
      <c r="AV154" s="47"/>
      <c r="AW154" s="47"/>
      <c r="AX154" s="47"/>
      <c r="AY154" s="47"/>
      <c r="AZ154" s="28"/>
      <c r="BA154" s="28"/>
      <c r="BB154" s="28"/>
      <c r="BC154" s="29">
        <f t="shared" si="220"/>
        <v>0</v>
      </c>
      <c r="BD154" s="24">
        <f t="shared" si="221"/>
        <v>0</v>
      </c>
      <c r="BE154" s="24">
        <f t="shared" si="221"/>
        <v>290000</v>
      </c>
      <c r="BF154" s="24">
        <f t="shared" si="221"/>
        <v>-155000</v>
      </c>
      <c r="BG154" s="24">
        <f t="shared" si="222"/>
        <v>-135000</v>
      </c>
      <c r="BH154" s="30">
        <f t="shared" si="222"/>
        <v>0</v>
      </c>
      <c r="BI154" s="30">
        <f t="shared" si="222"/>
        <v>0</v>
      </c>
      <c r="BJ154" s="30">
        <f t="shared" si="222"/>
        <v>0</v>
      </c>
      <c r="BK154" s="25">
        <f t="shared" si="223"/>
        <v>0</v>
      </c>
    </row>
    <row r="155" spans="1:63">
      <c r="A155" s="32"/>
      <c r="B155" s="22">
        <v>4</v>
      </c>
      <c r="C155" s="23" t="s">
        <v>298</v>
      </c>
      <c r="D155" s="24" t="s">
        <v>299</v>
      </c>
      <c r="E155" s="24" t="s">
        <v>291</v>
      </c>
      <c r="F155" s="24"/>
      <c r="G155" s="24">
        <v>155000</v>
      </c>
      <c r="H155" s="24"/>
      <c r="I155" s="24">
        <v>72000</v>
      </c>
      <c r="J155" s="24"/>
      <c r="K155" s="24"/>
      <c r="L155" s="24"/>
      <c r="M155" s="25">
        <f t="shared" si="214"/>
        <v>227000</v>
      </c>
      <c r="N155" s="24"/>
      <c r="O155" s="24"/>
      <c r="P155" s="24"/>
      <c r="Q155" s="24"/>
      <c r="R155" s="24"/>
      <c r="S155" s="24"/>
      <c r="T155" s="24"/>
      <c r="U155" s="25">
        <f t="shared" si="215"/>
        <v>0</v>
      </c>
      <c r="V155" s="28"/>
      <c r="W155" s="28"/>
      <c r="X155" s="28"/>
      <c r="Y155" s="28"/>
      <c r="Z155" s="28"/>
      <c r="AA155" s="28"/>
      <c r="AB155" s="28"/>
      <c r="AC155" s="25">
        <f t="shared" si="216"/>
        <v>0</v>
      </c>
      <c r="AD155" s="28"/>
      <c r="AE155" s="28"/>
      <c r="AF155" s="28"/>
      <c r="AG155" s="28"/>
      <c r="AH155" s="28"/>
      <c r="AI155" s="28"/>
      <c r="AJ155" s="28"/>
      <c r="AK155" s="29">
        <f t="shared" si="217"/>
        <v>0</v>
      </c>
      <c r="AL155" s="47"/>
      <c r="AM155" s="28"/>
      <c r="AN155" s="28"/>
      <c r="AO155" s="28"/>
      <c r="AP155" s="29">
        <f t="shared" si="218"/>
        <v>0</v>
      </c>
      <c r="AQ155" s="47"/>
      <c r="AR155" s="28"/>
      <c r="AS155" s="28"/>
      <c r="AT155" s="28"/>
      <c r="AU155" s="29">
        <f t="shared" si="219"/>
        <v>0</v>
      </c>
      <c r="AV155" s="47"/>
      <c r="AW155" s="47"/>
      <c r="AX155" s="47"/>
      <c r="AY155" s="47"/>
      <c r="AZ155" s="28"/>
      <c r="BA155" s="28"/>
      <c r="BB155" s="28"/>
      <c r="BC155" s="29">
        <f t="shared" si="220"/>
        <v>0</v>
      </c>
      <c r="BD155" s="24">
        <f t="shared" si="221"/>
        <v>0</v>
      </c>
      <c r="BE155" s="24">
        <f t="shared" si="221"/>
        <v>155000</v>
      </c>
      <c r="BF155" s="24">
        <f t="shared" si="221"/>
        <v>0</v>
      </c>
      <c r="BG155" s="24">
        <f t="shared" si="222"/>
        <v>72000</v>
      </c>
      <c r="BH155" s="30">
        <f t="shared" si="222"/>
        <v>0</v>
      </c>
      <c r="BI155" s="30">
        <f t="shared" si="222"/>
        <v>0</v>
      </c>
      <c r="BJ155" s="30">
        <f t="shared" si="222"/>
        <v>0</v>
      </c>
      <c r="BK155" s="25">
        <f t="shared" si="223"/>
        <v>227000</v>
      </c>
    </row>
    <row r="156" spans="1:63" ht="31.5">
      <c r="A156" s="14"/>
      <c r="B156" s="22">
        <v>5</v>
      </c>
      <c r="C156" s="23" t="s">
        <v>300</v>
      </c>
      <c r="D156" s="24" t="s">
        <v>301</v>
      </c>
      <c r="E156" s="24" t="s">
        <v>291</v>
      </c>
      <c r="F156" s="24">
        <v>155000</v>
      </c>
      <c r="G156" s="24">
        <v>152000</v>
      </c>
      <c r="H156" s="24">
        <v>514500</v>
      </c>
      <c r="I156" s="24">
        <v>508000</v>
      </c>
      <c r="J156" s="24">
        <f>24500+73000+101000+91000+71000</f>
        <v>360500</v>
      </c>
      <c r="K156" s="24">
        <f>422500+81000+40500</f>
        <v>544000</v>
      </c>
      <c r="L156" s="24">
        <v>549000</v>
      </c>
      <c r="M156" s="25">
        <f t="shared" si="214"/>
        <v>2783000</v>
      </c>
      <c r="N156" s="24"/>
      <c r="O156" s="24"/>
      <c r="P156" s="24"/>
      <c r="Q156" s="24"/>
      <c r="R156" s="24"/>
      <c r="S156" s="24"/>
      <c r="T156" s="24"/>
      <c r="U156" s="25">
        <f t="shared" si="215"/>
        <v>0</v>
      </c>
      <c r="V156" s="28"/>
      <c r="W156" s="28"/>
      <c r="X156" s="28"/>
      <c r="Y156" s="28"/>
      <c r="Z156" s="28"/>
      <c r="AA156" s="28"/>
      <c r="AB156" s="28"/>
      <c r="AC156" s="25">
        <f t="shared" si="216"/>
        <v>0</v>
      </c>
      <c r="AD156" s="28"/>
      <c r="AE156" s="28"/>
      <c r="AF156" s="47"/>
      <c r="AG156" s="47"/>
      <c r="AH156" s="28"/>
      <c r="AI156" s="28"/>
      <c r="AJ156" s="28"/>
      <c r="AK156" s="29">
        <f t="shared" si="217"/>
        <v>0</v>
      </c>
      <c r="AL156" s="47"/>
      <c r="AM156" s="28"/>
      <c r="AN156" s="28"/>
      <c r="AO156" s="28"/>
      <c r="AP156" s="29">
        <f t="shared" si="218"/>
        <v>0</v>
      </c>
      <c r="AQ156" s="47"/>
      <c r="AR156" s="28"/>
      <c r="AS156" s="28"/>
      <c r="AT156" s="28"/>
      <c r="AU156" s="29">
        <f t="shared" si="219"/>
        <v>0</v>
      </c>
      <c r="AV156" s="47"/>
      <c r="AW156" s="47"/>
      <c r="AX156" s="47"/>
      <c r="AY156" s="47"/>
      <c r="AZ156" s="28"/>
      <c r="BA156" s="28"/>
      <c r="BB156" s="28"/>
      <c r="BC156" s="29">
        <f t="shared" si="220"/>
        <v>0</v>
      </c>
      <c r="BD156" s="24">
        <f t="shared" si="221"/>
        <v>155000</v>
      </c>
      <c r="BE156" s="24">
        <f t="shared" si="221"/>
        <v>152000</v>
      </c>
      <c r="BF156" s="24">
        <f t="shared" si="221"/>
        <v>514500</v>
      </c>
      <c r="BG156" s="24">
        <f t="shared" si="222"/>
        <v>508000</v>
      </c>
      <c r="BH156" s="30">
        <f t="shared" si="222"/>
        <v>360500</v>
      </c>
      <c r="BI156" s="30">
        <f t="shared" si="222"/>
        <v>544000</v>
      </c>
      <c r="BJ156" s="30">
        <f t="shared" si="222"/>
        <v>549000</v>
      </c>
      <c r="BK156" s="25">
        <f t="shared" si="223"/>
        <v>2783000</v>
      </c>
    </row>
    <row r="157" spans="1:63" s="39" customFormat="1">
      <c r="A157" s="37"/>
      <c r="B157" s="37"/>
      <c r="C157" s="38" t="s">
        <v>302</v>
      </c>
      <c r="D157" s="40"/>
      <c r="E157" s="40"/>
      <c r="F157" s="40">
        <f t="shared" ref="F157:BK157" si="224">SUM(F152:F156)</f>
        <v>155000</v>
      </c>
      <c r="G157" s="40">
        <f t="shared" si="224"/>
        <v>1012000</v>
      </c>
      <c r="H157" s="40">
        <f t="shared" si="224"/>
        <v>799500</v>
      </c>
      <c r="I157" s="40">
        <f t="shared" si="224"/>
        <v>580000</v>
      </c>
      <c r="J157" s="40">
        <f t="shared" si="224"/>
        <v>360500</v>
      </c>
      <c r="K157" s="40">
        <f t="shared" si="224"/>
        <v>544000</v>
      </c>
      <c r="L157" s="40">
        <f t="shared" ref="L157" si="225">SUM(L152:L156)</f>
        <v>549000</v>
      </c>
      <c r="M157" s="40">
        <f t="shared" si="224"/>
        <v>4000000</v>
      </c>
      <c r="N157" s="40">
        <f t="shared" si="224"/>
        <v>0</v>
      </c>
      <c r="O157" s="40">
        <f t="shared" si="224"/>
        <v>0</v>
      </c>
      <c r="P157" s="40">
        <f t="shared" si="224"/>
        <v>360000</v>
      </c>
      <c r="Q157" s="40">
        <f t="shared" si="224"/>
        <v>705000</v>
      </c>
      <c r="R157" s="40">
        <f t="shared" si="224"/>
        <v>700000</v>
      </c>
      <c r="S157" s="40">
        <f t="shared" si="224"/>
        <v>1225000</v>
      </c>
      <c r="T157" s="40">
        <f t="shared" ref="T157" si="226">SUM(T152:T156)</f>
        <v>880000</v>
      </c>
      <c r="U157" s="40">
        <f t="shared" si="224"/>
        <v>3870000</v>
      </c>
      <c r="V157" s="40">
        <f t="shared" si="224"/>
        <v>0</v>
      </c>
      <c r="W157" s="40">
        <f t="shared" si="224"/>
        <v>1630000</v>
      </c>
      <c r="X157" s="40">
        <f t="shared" si="224"/>
        <v>826000</v>
      </c>
      <c r="Y157" s="40">
        <f t="shared" si="224"/>
        <v>-135000</v>
      </c>
      <c r="Z157" s="40">
        <f t="shared" si="224"/>
        <v>0</v>
      </c>
      <c r="AA157" s="40">
        <f t="shared" si="224"/>
        <v>0</v>
      </c>
      <c r="AB157" s="40">
        <f t="shared" ref="AB157" si="227">SUM(AB152:AB156)</f>
        <v>0</v>
      </c>
      <c r="AC157" s="40">
        <f t="shared" si="224"/>
        <v>2321000</v>
      </c>
      <c r="AD157" s="40">
        <f t="shared" si="224"/>
        <v>0</v>
      </c>
      <c r="AE157" s="40">
        <f t="shared" si="224"/>
        <v>1068000</v>
      </c>
      <c r="AF157" s="40">
        <f t="shared" si="224"/>
        <v>582000</v>
      </c>
      <c r="AG157" s="40">
        <f t="shared" si="224"/>
        <v>0</v>
      </c>
      <c r="AH157" s="40">
        <f t="shared" si="224"/>
        <v>0</v>
      </c>
      <c r="AI157" s="40">
        <f t="shared" si="224"/>
        <v>0</v>
      </c>
      <c r="AJ157" s="40">
        <f t="shared" ref="AJ157" si="228">SUM(AJ152:AJ156)</f>
        <v>0</v>
      </c>
      <c r="AK157" s="40">
        <f t="shared" si="224"/>
        <v>1650000</v>
      </c>
      <c r="AL157" s="40">
        <f t="shared" si="224"/>
        <v>0</v>
      </c>
      <c r="AM157" s="40">
        <f t="shared" si="224"/>
        <v>0</v>
      </c>
      <c r="AN157" s="40">
        <f t="shared" si="224"/>
        <v>0</v>
      </c>
      <c r="AO157" s="40">
        <f t="shared" ref="AO157" si="229">SUM(AO152:AO156)</f>
        <v>0</v>
      </c>
      <c r="AP157" s="40">
        <f t="shared" si="224"/>
        <v>0</v>
      </c>
      <c r="AQ157" s="40">
        <f t="shared" si="224"/>
        <v>0</v>
      </c>
      <c r="AR157" s="40">
        <f t="shared" si="224"/>
        <v>0</v>
      </c>
      <c r="AS157" s="40">
        <f t="shared" si="224"/>
        <v>0</v>
      </c>
      <c r="AT157" s="40">
        <f t="shared" ref="AT157" si="230">SUM(AT152:AT156)</f>
        <v>0</v>
      </c>
      <c r="AU157" s="40">
        <f t="shared" si="224"/>
        <v>0</v>
      </c>
      <c r="AV157" s="40">
        <f t="shared" si="224"/>
        <v>0</v>
      </c>
      <c r="AW157" s="40">
        <f t="shared" si="224"/>
        <v>0</v>
      </c>
      <c r="AX157" s="40">
        <f t="shared" si="224"/>
        <v>0</v>
      </c>
      <c r="AY157" s="40">
        <f t="shared" si="224"/>
        <v>0</v>
      </c>
      <c r="AZ157" s="40">
        <f t="shared" si="224"/>
        <v>0</v>
      </c>
      <c r="BA157" s="40">
        <f t="shared" si="224"/>
        <v>0</v>
      </c>
      <c r="BB157" s="40">
        <f t="shared" ref="BB157" si="231">SUM(BB152:BB156)</f>
        <v>0</v>
      </c>
      <c r="BC157" s="40">
        <f t="shared" si="224"/>
        <v>0</v>
      </c>
      <c r="BD157" s="40">
        <f t="shared" si="224"/>
        <v>155000</v>
      </c>
      <c r="BE157" s="40">
        <f t="shared" si="224"/>
        <v>3710000</v>
      </c>
      <c r="BF157" s="40">
        <f t="shared" si="224"/>
        <v>2567500</v>
      </c>
      <c r="BG157" s="40">
        <f t="shared" si="224"/>
        <v>1150000</v>
      </c>
      <c r="BH157" s="40">
        <f t="shared" si="224"/>
        <v>1060500</v>
      </c>
      <c r="BI157" s="41">
        <f>SUM(BI152:BI156)</f>
        <v>1769000</v>
      </c>
      <c r="BJ157" s="40">
        <f t="shared" ref="BJ157" si="232">SUM(BJ152:BJ156)</f>
        <v>1429000</v>
      </c>
      <c r="BK157" s="40">
        <f t="shared" si="224"/>
        <v>11841000</v>
      </c>
    </row>
    <row r="158" spans="1:63" ht="31.5">
      <c r="A158" s="6" t="s">
        <v>303</v>
      </c>
      <c r="B158" s="22">
        <v>1</v>
      </c>
      <c r="C158" s="67" t="s">
        <v>304</v>
      </c>
      <c r="D158" s="68" t="s">
        <v>305</v>
      </c>
      <c r="E158" s="68" t="s">
        <v>303</v>
      </c>
      <c r="F158" s="68"/>
      <c r="G158" s="68">
        <v>155000</v>
      </c>
      <c r="H158" s="68">
        <f>100000+50000</f>
        <v>150000</v>
      </c>
      <c r="I158" s="68">
        <v>651500</v>
      </c>
      <c r="J158" s="24">
        <f>157500+180500+175000+133000+110500</f>
        <v>756500</v>
      </c>
      <c r="K158" s="24">
        <f>725500+164000+87000</f>
        <v>976500</v>
      </c>
      <c r="L158" s="24">
        <v>224500</v>
      </c>
      <c r="M158" s="25">
        <f t="shared" ref="M158:M165" si="233">SUM(F158:L158)</f>
        <v>2914000</v>
      </c>
      <c r="N158" s="68"/>
      <c r="O158" s="68"/>
      <c r="P158" s="68"/>
      <c r="Q158" s="68"/>
      <c r="R158" s="24"/>
      <c r="S158" s="24"/>
      <c r="T158" s="24"/>
      <c r="U158" s="25">
        <f t="shared" ref="U158:U165" si="234">SUM(N158:T158)</f>
        <v>0</v>
      </c>
      <c r="V158" s="69"/>
      <c r="W158" s="69"/>
      <c r="X158" s="69"/>
      <c r="Y158" s="69"/>
      <c r="Z158" s="69"/>
      <c r="AA158" s="69"/>
      <c r="AB158" s="69"/>
      <c r="AC158" s="25">
        <f t="shared" ref="AC158:AC165" si="235">SUM(V158:AB158)</f>
        <v>0</v>
      </c>
      <c r="AD158" s="69"/>
      <c r="AE158" s="69"/>
      <c r="AF158" s="69"/>
      <c r="AG158" s="69"/>
      <c r="AH158" s="28"/>
      <c r="AI158" s="28"/>
      <c r="AJ158" s="28"/>
      <c r="AK158" s="29">
        <f t="shared" ref="AK158:AK165" si="236">SUM(AD158:AJ158)</f>
        <v>0</v>
      </c>
      <c r="AL158" s="70"/>
      <c r="AM158" s="28"/>
      <c r="AN158" s="28"/>
      <c r="AO158" s="28"/>
      <c r="AP158" s="29">
        <f t="shared" ref="AP158:AP165" si="237">SUM(AL158:AO158)</f>
        <v>0</v>
      </c>
      <c r="AQ158" s="70"/>
      <c r="AR158" s="69"/>
      <c r="AS158" s="69"/>
      <c r="AT158" s="69"/>
      <c r="AU158" s="29">
        <f t="shared" ref="AU158:AU165" si="238">SUM(AQ158:AT158)</f>
        <v>0</v>
      </c>
      <c r="AV158" s="70"/>
      <c r="AW158" s="70"/>
      <c r="AX158" s="70">
        <v>100000</v>
      </c>
      <c r="AY158" s="70">
        <v>125000</v>
      </c>
      <c r="AZ158" s="28"/>
      <c r="BA158" s="28"/>
      <c r="BB158" s="28"/>
      <c r="BC158" s="29">
        <f t="shared" ref="BC158:BC165" si="239">SUM(AV158:BB158)</f>
        <v>225000</v>
      </c>
      <c r="BD158" s="24">
        <f t="shared" ref="BD158:BF165" si="240">F158+N158+V158+AD158+AV158</f>
        <v>0</v>
      </c>
      <c r="BE158" s="24">
        <f t="shared" si="240"/>
        <v>155000</v>
      </c>
      <c r="BF158" s="24">
        <f t="shared" si="240"/>
        <v>250000</v>
      </c>
      <c r="BG158" s="24">
        <f t="shared" ref="BG158:BJ165" si="241">I158+Q158+Y158+AG158+AL158+AQ158+AY158</f>
        <v>776500</v>
      </c>
      <c r="BH158" s="30">
        <f t="shared" si="241"/>
        <v>756500</v>
      </c>
      <c r="BI158" s="30">
        <f t="shared" si="241"/>
        <v>976500</v>
      </c>
      <c r="BJ158" s="30">
        <f t="shared" si="241"/>
        <v>224500</v>
      </c>
      <c r="BK158" s="25">
        <f t="shared" ref="BK158:BK165" si="242">SUM(BD158:BJ158)</f>
        <v>3139000</v>
      </c>
    </row>
    <row r="159" spans="1:63" ht="31.5">
      <c r="A159" s="32"/>
      <c r="B159" s="22">
        <v>2</v>
      </c>
      <c r="C159" s="23" t="s">
        <v>306</v>
      </c>
      <c r="D159" s="71" t="s">
        <v>307</v>
      </c>
      <c r="E159" s="24" t="s">
        <v>303</v>
      </c>
      <c r="F159" s="24"/>
      <c r="G159" s="24"/>
      <c r="H159" s="24"/>
      <c r="I159" s="24"/>
      <c r="J159" s="24"/>
      <c r="K159" s="24"/>
      <c r="L159" s="24"/>
      <c r="M159" s="25">
        <f t="shared" si="233"/>
        <v>0</v>
      </c>
      <c r="N159" s="24"/>
      <c r="O159" s="24"/>
      <c r="P159" s="24"/>
      <c r="Q159" s="24"/>
      <c r="R159" s="24"/>
      <c r="S159" s="24"/>
      <c r="T159" s="24"/>
      <c r="U159" s="25">
        <f t="shared" si="234"/>
        <v>0</v>
      </c>
      <c r="V159" s="28"/>
      <c r="W159" s="28"/>
      <c r="X159" s="28"/>
      <c r="Y159" s="28"/>
      <c r="Z159" s="28"/>
      <c r="AA159" s="28"/>
      <c r="AB159" s="28"/>
      <c r="AC159" s="25">
        <f t="shared" si="235"/>
        <v>0</v>
      </c>
      <c r="AD159" s="28"/>
      <c r="AE159" s="28">
        <v>256750</v>
      </c>
      <c r="AF159" s="47">
        <v>340750</v>
      </c>
      <c r="AG159" s="49">
        <v>950000</v>
      </c>
      <c r="AH159" s="28">
        <f>70000+210000+420000+140000</f>
        <v>840000</v>
      </c>
      <c r="AI159" s="28">
        <f>889200+197100+98550</f>
        <v>1184850</v>
      </c>
      <c r="AJ159" s="28">
        <v>1331550</v>
      </c>
      <c r="AK159" s="29">
        <f t="shared" si="236"/>
        <v>4903900</v>
      </c>
      <c r="AL159" s="47"/>
      <c r="AM159" s="28"/>
      <c r="AN159" s="28"/>
      <c r="AO159" s="28"/>
      <c r="AP159" s="29">
        <f t="shared" si="237"/>
        <v>0</v>
      </c>
      <c r="AQ159" s="47"/>
      <c r="AR159" s="28"/>
      <c r="AS159" s="28"/>
      <c r="AT159" s="28"/>
      <c r="AU159" s="29">
        <f t="shared" si="238"/>
        <v>0</v>
      </c>
      <c r="AV159" s="47"/>
      <c r="AW159" s="47"/>
      <c r="AX159" s="47"/>
      <c r="AY159" s="47"/>
      <c r="AZ159" s="28"/>
      <c r="BA159" s="28"/>
      <c r="BB159" s="28"/>
      <c r="BC159" s="29">
        <f t="shared" si="239"/>
        <v>0</v>
      </c>
      <c r="BD159" s="24">
        <f t="shared" si="240"/>
        <v>0</v>
      </c>
      <c r="BE159" s="24">
        <f t="shared" si="240"/>
        <v>256750</v>
      </c>
      <c r="BF159" s="24">
        <f t="shared" si="240"/>
        <v>340750</v>
      </c>
      <c r="BG159" s="24">
        <f t="shared" si="241"/>
        <v>950000</v>
      </c>
      <c r="BH159" s="30">
        <f t="shared" si="241"/>
        <v>840000</v>
      </c>
      <c r="BI159" s="30">
        <f t="shared" si="241"/>
        <v>1184850</v>
      </c>
      <c r="BJ159" s="30">
        <f t="shared" si="241"/>
        <v>1331550</v>
      </c>
      <c r="BK159" s="25">
        <f t="shared" si="242"/>
        <v>4903900</v>
      </c>
    </row>
    <row r="160" spans="1:63" ht="47.25">
      <c r="A160" s="32"/>
      <c r="B160" s="22">
        <v>3</v>
      </c>
      <c r="C160" s="56" t="s">
        <v>308</v>
      </c>
      <c r="D160" s="57" t="s">
        <v>309</v>
      </c>
      <c r="E160" s="24" t="s">
        <v>303</v>
      </c>
      <c r="F160" s="24"/>
      <c r="G160" s="24"/>
      <c r="H160" s="24"/>
      <c r="I160" s="24"/>
      <c r="J160" s="24"/>
      <c r="K160" s="24"/>
      <c r="L160" s="24"/>
      <c r="M160" s="25">
        <f t="shared" si="233"/>
        <v>0</v>
      </c>
      <c r="N160" s="24"/>
      <c r="O160" s="24"/>
      <c r="P160" s="24"/>
      <c r="Q160" s="24"/>
      <c r="R160" s="24"/>
      <c r="S160" s="24"/>
      <c r="T160" s="24"/>
      <c r="U160" s="25">
        <f t="shared" si="234"/>
        <v>0</v>
      </c>
      <c r="V160" s="28"/>
      <c r="W160" s="28"/>
      <c r="X160" s="24">
        <v>471935</v>
      </c>
      <c r="Y160" s="48">
        <v>360000</v>
      </c>
      <c r="Z160" s="48">
        <f>825000+225000+225000+225000+150000</f>
        <v>1650000</v>
      </c>
      <c r="AA160" s="48">
        <f>1391000+812000</f>
        <v>2203000</v>
      </c>
      <c r="AB160" s="48">
        <f>203000+406000+406000+203000+203000+406000+203000</f>
        <v>2030000</v>
      </c>
      <c r="AC160" s="25">
        <f t="shared" si="235"/>
        <v>6714935</v>
      </c>
      <c r="AD160" s="28"/>
      <c r="AE160" s="28"/>
      <c r="AF160" s="47"/>
      <c r="AG160" s="47"/>
      <c r="AH160" s="28"/>
      <c r="AI160" s="28"/>
      <c r="AJ160" s="28"/>
      <c r="AK160" s="29">
        <f t="shared" si="236"/>
        <v>0</v>
      </c>
      <c r="AL160" s="47"/>
      <c r="AM160" s="28"/>
      <c r="AN160" s="28"/>
      <c r="AO160" s="28"/>
      <c r="AP160" s="29">
        <f t="shared" si="237"/>
        <v>0</v>
      </c>
      <c r="AQ160" s="47"/>
      <c r="AR160" s="28"/>
      <c r="AS160" s="28"/>
      <c r="AT160" s="28"/>
      <c r="AU160" s="29">
        <f t="shared" si="238"/>
        <v>0</v>
      </c>
      <c r="AV160" s="47"/>
      <c r="AW160" s="47"/>
      <c r="AX160" s="47"/>
      <c r="AY160" s="47"/>
      <c r="AZ160" s="28"/>
      <c r="BA160" s="28"/>
      <c r="BB160" s="28"/>
      <c r="BC160" s="29">
        <f t="shared" si="239"/>
        <v>0</v>
      </c>
      <c r="BD160" s="24">
        <f t="shared" si="240"/>
        <v>0</v>
      </c>
      <c r="BE160" s="24">
        <f t="shared" si="240"/>
        <v>0</v>
      </c>
      <c r="BF160" s="24">
        <f t="shared" si="240"/>
        <v>471935</v>
      </c>
      <c r="BG160" s="24">
        <f t="shared" si="241"/>
        <v>360000</v>
      </c>
      <c r="BH160" s="30">
        <f t="shared" si="241"/>
        <v>1650000</v>
      </c>
      <c r="BI160" s="30">
        <f t="shared" si="241"/>
        <v>2203000</v>
      </c>
      <c r="BJ160" s="30">
        <f t="shared" si="241"/>
        <v>2030000</v>
      </c>
      <c r="BK160" s="25">
        <f t="shared" si="242"/>
        <v>6714935</v>
      </c>
    </row>
    <row r="161" spans="1:63" ht="30">
      <c r="A161" s="32"/>
      <c r="B161" s="22">
        <v>5</v>
      </c>
      <c r="C161" s="46" t="s">
        <v>310</v>
      </c>
      <c r="D161" s="72" t="s">
        <v>311</v>
      </c>
      <c r="E161" s="24" t="s">
        <v>303</v>
      </c>
      <c r="F161" s="24"/>
      <c r="G161" s="24"/>
      <c r="H161" s="24"/>
      <c r="I161" s="24"/>
      <c r="J161" s="24"/>
      <c r="K161" s="24"/>
      <c r="L161" s="24"/>
      <c r="M161" s="25">
        <f t="shared" si="233"/>
        <v>0</v>
      </c>
      <c r="N161" s="24"/>
      <c r="O161" s="24"/>
      <c r="P161" s="24"/>
      <c r="Q161" s="24"/>
      <c r="R161" s="24"/>
      <c r="S161" s="24"/>
      <c r="T161" s="24"/>
      <c r="U161" s="25">
        <f t="shared" si="234"/>
        <v>0</v>
      </c>
      <c r="V161" s="28"/>
      <c r="W161" s="28"/>
      <c r="X161" s="24"/>
      <c r="Y161" s="28"/>
      <c r="Z161" s="28"/>
      <c r="AA161" s="28"/>
      <c r="AB161" s="28"/>
      <c r="AC161" s="25">
        <f t="shared" si="235"/>
        <v>0</v>
      </c>
      <c r="AD161" s="28"/>
      <c r="AE161" s="28"/>
      <c r="AF161" s="47"/>
      <c r="AG161" s="47"/>
      <c r="AH161" s="28"/>
      <c r="AI161" s="28"/>
      <c r="AJ161" s="28"/>
      <c r="AK161" s="29">
        <f t="shared" si="236"/>
        <v>0</v>
      </c>
      <c r="AL161" s="47"/>
      <c r="AM161" s="28"/>
      <c r="AN161" s="28"/>
      <c r="AO161" s="28"/>
      <c r="AP161" s="29">
        <f t="shared" si="237"/>
        <v>0</v>
      </c>
      <c r="AQ161" s="47"/>
      <c r="AR161" s="28"/>
      <c r="AS161" s="28"/>
      <c r="AT161" s="28"/>
      <c r="AU161" s="29">
        <f t="shared" si="238"/>
        <v>0</v>
      </c>
      <c r="AV161" s="47"/>
      <c r="AW161" s="47">
        <v>100000</v>
      </c>
      <c r="AX161" s="47">
        <v>248400</v>
      </c>
      <c r="AY161" s="47">
        <v>240000</v>
      </c>
      <c r="AZ161" s="28"/>
      <c r="BA161" s="28"/>
      <c r="BB161" s="28"/>
      <c r="BC161" s="29">
        <f t="shared" si="239"/>
        <v>588400</v>
      </c>
      <c r="BD161" s="24">
        <f t="shared" si="240"/>
        <v>0</v>
      </c>
      <c r="BE161" s="24">
        <f t="shared" si="240"/>
        <v>100000</v>
      </c>
      <c r="BF161" s="24">
        <f t="shared" si="240"/>
        <v>248400</v>
      </c>
      <c r="BG161" s="24">
        <f t="shared" si="241"/>
        <v>240000</v>
      </c>
      <c r="BH161" s="30">
        <f t="shared" si="241"/>
        <v>0</v>
      </c>
      <c r="BI161" s="30">
        <f t="shared" si="241"/>
        <v>0</v>
      </c>
      <c r="BJ161" s="30">
        <f t="shared" si="241"/>
        <v>0</v>
      </c>
      <c r="BK161" s="25">
        <f t="shared" si="242"/>
        <v>588400</v>
      </c>
    </row>
    <row r="162" spans="1:63" ht="31.5">
      <c r="A162" s="32"/>
      <c r="B162" s="22">
        <v>6</v>
      </c>
      <c r="C162" s="23" t="s">
        <v>312</v>
      </c>
      <c r="D162" s="71" t="s">
        <v>313</v>
      </c>
      <c r="E162" s="24" t="s">
        <v>303</v>
      </c>
      <c r="F162" s="24"/>
      <c r="G162" s="24"/>
      <c r="H162" s="24"/>
      <c r="I162" s="24"/>
      <c r="J162" s="24"/>
      <c r="K162" s="24"/>
      <c r="L162" s="24"/>
      <c r="M162" s="25">
        <f t="shared" si="233"/>
        <v>0</v>
      </c>
      <c r="N162" s="24"/>
      <c r="O162" s="24"/>
      <c r="P162" s="24"/>
      <c r="Q162" s="24"/>
      <c r="R162" s="24"/>
      <c r="S162" s="24"/>
      <c r="T162" s="24"/>
      <c r="U162" s="25">
        <f t="shared" si="234"/>
        <v>0</v>
      </c>
      <c r="V162" s="28"/>
      <c r="W162" s="28"/>
      <c r="X162" s="24"/>
      <c r="Y162" s="28"/>
      <c r="Z162" s="28"/>
      <c r="AA162" s="28"/>
      <c r="AB162" s="28"/>
      <c r="AC162" s="25">
        <f t="shared" si="235"/>
        <v>0</v>
      </c>
      <c r="AD162" s="28"/>
      <c r="AE162" s="47">
        <v>394250</v>
      </c>
      <c r="AF162" s="47">
        <v>480150</v>
      </c>
      <c r="AG162" s="47">
        <v>736500</v>
      </c>
      <c r="AH162" s="28">
        <f>133000+210000+210000+210000+140000</f>
        <v>903000</v>
      </c>
      <c r="AI162" s="28">
        <f>973700+203282+98000</f>
        <v>1274982</v>
      </c>
      <c r="AJ162" s="28">
        <v>1457009</v>
      </c>
      <c r="AK162" s="29">
        <f t="shared" si="236"/>
        <v>5245891</v>
      </c>
      <c r="AL162" s="47"/>
      <c r="AM162" s="28"/>
      <c r="AN162" s="28"/>
      <c r="AO162" s="28"/>
      <c r="AP162" s="29">
        <f t="shared" si="237"/>
        <v>0</v>
      </c>
      <c r="AQ162" s="47"/>
      <c r="AR162" s="28"/>
      <c r="AS162" s="28"/>
      <c r="AT162" s="28"/>
      <c r="AU162" s="29">
        <f t="shared" si="238"/>
        <v>0</v>
      </c>
      <c r="AV162" s="47"/>
      <c r="AW162" s="47"/>
      <c r="AX162" s="47"/>
      <c r="AY162" s="47"/>
      <c r="AZ162" s="28"/>
      <c r="BA162" s="28"/>
      <c r="BB162" s="28"/>
      <c r="BC162" s="29">
        <f t="shared" si="239"/>
        <v>0</v>
      </c>
      <c r="BD162" s="24">
        <f t="shared" si="240"/>
        <v>0</v>
      </c>
      <c r="BE162" s="24">
        <f t="shared" si="240"/>
        <v>394250</v>
      </c>
      <c r="BF162" s="24">
        <f t="shared" si="240"/>
        <v>480150</v>
      </c>
      <c r="BG162" s="24">
        <f t="shared" si="241"/>
        <v>736500</v>
      </c>
      <c r="BH162" s="30">
        <f t="shared" si="241"/>
        <v>903000</v>
      </c>
      <c r="BI162" s="30">
        <f t="shared" si="241"/>
        <v>1274982</v>
      </c>
      <c r="BJ162" s="30">
        <f t="shared" si="241"/>
        <v>1457009</v>
      </c>
      <c r="BK162" s="25">
        <f t="shared" si="242"/>
        <v>5245891</v>
      </c>
    </row>
    <row r="163" spans="1:63" ht="31.5">
      <c r="A163" s="32"/>
      <c r="B163" s="22">
        <v>7</v>
      </c>
      <c r="C163" s="51" t="s">
        <v>314</v>
      </c>
      <c r="D163" s="52" t="s">
        <v>315</v>
      </c>
      <c r="E163" s="24" t="s">
        <v>303</v>
      </c>
      <c r="F163" s="24"/>
      <c r="G163" s="24"/>
      <c r="H163" s="24"/>
      <c r="I163" s="24"/>
      <c r="J163" s="24"/>
      <c r="K163" s="24"/>
      <c r="L163" s="24"/>
      <c r="M163" s="25">
        <f t="shared" si="233"/>
        <v>0</v>
      </c>
      <c r="N163" s="34">
        <v>290000</v>
      </c>
      <c r="O163" s="34">
        <v>1230000</v>
      </c>
      <c r="P163" s="34">
        <v>1610000</v>
      </c>
      <c r="Q163" s="34">
        <v>300000</v>
      </c>
      <c r="R163" s="24"/>
      <c r="S163" s="24"/>
      <c r="T163" s="24"/>
      <c r="U163" s="25">
        <f t="shared" si="234"/>
        <v>3430000</v>
      </c>
      <c r="V163" s="28">
        <v>290000</v>
      </c>
      <c r="W163" s="48">
        <v>609000</v>
      </c>
      <c r="X163" s="24">
        <v>2842000</v>
      </c>
      <c r="Y163" s="48">
        <v>360000</v>
      </c>
      <c r="Z163" s="48"/>
      <c r="AA163" s="48"/>
      <c r="AB163" s="48"/>
      <c r="AC163" s="25">
        <f t="shared" si="235"/>
        <v>4101000</v>
      </c>
      <c r="AD163" s="28"/>
      <c r="AE163" s="47"/>
      <c r="AF163" s="47"/>
      <c r="AG163" s="47"/>
      <c r="AH163" s="28"/>
      <c r="AI163" s="28"/>
      <c r="AJ163" s="28"/>
      <c r="AK163" s="29">
        <f t="shared" si="236"/>
        <v>0</v>
      </c>
      <c r="AL163" s="47"/>
      <c r="AM163" s="28"/>
      <c r="AN163" s="28"/>
      <c r="AO163" s="28"/>
      <c r="AP163" s="29">
        <f t="shared" si="237"/>
        <v>0</v>
      </c>
      <c r="AQ163" s="47">
        <v>800000</v>
      </c>
      <c r="AR163" s="28">
        <f>300000+300000+300000+300000+200000</f>
        <v>1400000</v>
      </c>
      <c r="AS163" s="28">
        <f>1876500+255000</f>
        <v>2131500</v>
      </c>
      <c r="AT163" s="28">
        <f>509500+306000+765000+255000+255000+510000+255000</f>
        <v>2855500</v>
      </c>
      <c r="AU163" s="29">
        <f t="shared" si="238"/>
        <v>7187000</v>
      </c>
      <c r="AV163" s="47"/>
      <c r="AW163" s="47"/>
      <c r="AX163" s="47"/>
      <c r="AY163" s="47"/>
      <c r="AZ163" s="28"/>
      <c r="BA163" s="28"/>
      <c r="BB163" s="28"/>
      <c r="BC163" s="29">
        <f t="shared" si="239"/>
        <v>0</v>
      </c>
      <c r="BD163" s="24">
        <f t="shared" si="240"/>
        <v>580000</v>
      </c>
      <c r="BE163" s="24">
        <f t="shared" si="240"/>
        <v>1839000</v>
      </c>
      <c r="BF163" s="24">
        <f t="shared" si="240"/>
        <v>4452000</v>
      </c>
      <c r="BG163" s="24">
        <f t="shared" si="241"/>
        <v>1460000</v>
      </c>
      <c r="BH163" s="30">
        <f t="shared" si="241"/>
        <v>1400000</v>
      </c>
      <c r="BI163" s="30">
        <f t="shared" si="241"/>
        <v>2131500</v>
      </c>
      <c r="BJ163" s="30">
        <f t="shared" si="241"/>
        <v>2855500</v>
      </c>
      <c r="BK163" s="25">
        <f t="shared" si="242"/>
        <v>14718000</v>
      </c>
    </row>
    <row r="164" spans="1:63" ht="37.5">
      <c r="A164" s="32"/>
      <c r="B164" s="22">
        <v>8</v>
      </c>
      <c r="C164" s="23" t="s">
        <v>316</v>
      </c>
      <c r="D164" s="71" t="s">
        <v>317</v>
      </c>
      <c r="E164" s="24" t="s">
        <v>303</v>
      </c>
      <c r="F164" s="24"/>
      <c r="G164" s="24"/>
      <c r="H164" s="24"/>
      <c r="I164" s="24"/>
      <c r="J164" s="24"/>
      <c r="K164" s="24"/>
      <c r="L164" s="24"/>
      <c r="M164" s="25">
        <f t="shared" si="233"/>
        <v>0</v>
      </c>
      <c r="N164" s="34"/>
      <c r="O164" s="34"/>
      <c r="P164" s="34"/>
      <c r="Q164" s="34"/>
      <c r="R164" s="24"/>
      <c r="S164" s="24"/>
      <c r="T164" s="24"/>
      <c r="U164" s="25">
        <f t="shared" si="234"/>
        <v>0</v>
      </c>
      <c r="V164" s="28"/>
      <c r="W164" s="28"/>
      <c r="X164" s="24"/>
      <c r="Y164" s="28"/>
      <c r="Z164" s="28"/>
      <c r="AA164" s="28"/>
      <c r="AB164" s="28"/>
      <c r="AC164" s="25">
        <f t="shared" si="235"/>
        <v>0</v>
      </c>
      <c r="AD164" s="28"/>
      <c r="AE164" s="47">
        <v>195000</v>
      </c>
      <c r="AF164" s="47">
        <f>238250+30000</f>
        <v>268250</v>
      </c>
      <c r="AG164" s="47">
        <v>706500</v>
      </c>
      <c r="AH164" s="28">
        <v>56000</v>
      </c>
      <c r="AI164" s="28"/>
      <c r="AJ164" s="28"/>
      <c r="AK164" s="29">
        <f t="shared" si="236"/>
        <v>1225750</v>
      </c>
      <c r="AL164" s="47"/>
      <c r="AM164" s="28"/>
      <c r="AN164" s="28"/>
      <c r="AO164" s="28"/>
      <c r="AP164" s="29">
        <f t="shared" si="237"/>
        <v>0</v>
      </c>
      <c r="AQ164" s="47"/>
      <c r="AR164" s="28"/>
      <c r="AS164" s="28"/>
      <c r="AT164" s="28"/>
      <c r="AU164" s="29">
        <f t="shared" si="238"/>
        <v>0</v>
      </c>
      <c r="AV164" s="47"/>
      <c r="AW164" s="47"/>
      <c r="AX164" s="47"/>
      <c r="AY164" s="47"/>
      <c r="AZ164" s="28"/>
      <c r="BA164" s="28"/>
      <c r="BB164" s="28"/>
      <c r="BC164" s="29">
        <f t="shared" si="239"/>
        <v>0</v>
      </c>
      <c r="BD164" s="24">
        <f t="shared" si="240"/>
        <v>0</v>
      </c>
      <c r="BE164" s="24">
        <f t="shared" si="240"/>
        <v>195000</v>
      </c>
      <c r="BF164" s="24">
        <f t="shared" si="240"/>
        <v>268250</v>
      </c>
      <c r="BG164" s="24">
        <f t="shared" si="241"/>
        <v>706500</v>
      </c>
      <c r="BH164" s="30">
        <f t="shared" si="241"/>
        <v>56000</v>
      </c>
      <c r="BI164" s="30">
        <f t="shared" si="241"/>
        <v>0</v>
      </c>
      <c r="BJ164" s="30">
        <f t="shared" si="241"/>
        <v>0</v>
      </c>
      <c r="BK164" s="25">
        <f t="shared" si="242"/>
        <v>1225750</v>
      </c>
    </row>
    <row r="165" spans="1:63" ht="31.5">
      <c r="A165" s="14"/>
      <c r="B165" s="22">
        <v>9</v>
      </c>
      <c r="C165" s="56" t="s">
        <v>318</v>
      </c>
      <c r="D165" s="57" t="s">
        <v>319</v>
      </c>
      <c r="E165" s="24" t="s">
        <v>303</v>
      </c>
      <c r="F165" s="24"/>
      <c r="G165" s="24"/>
      <c r="H165" s="24"/>
      <c r="I165" s="24"/>
      <c r="J165" s="24"/>
      <c r="K165" s="24"/>
      <c r="L165" s="24"/>
      <c r="M165" s="25">
        <f t="shared" si="233"/>
        <v>0</v>
      </c>
      <c r="N165" s="24"/>
      <c r="O165" s="24"/>
      <c r="P165" s="24"/>
      <c r="Q165" s="24"/>
      <c r="R165" s="24"/>
      <c r="S165" s="24"/>
      <c r="T165" s="24"/>
      <c r="U165" s="25">
        <f t="shared" si="234"/>
        <v>0</v>
      </c>
      <c r="V165" s="28"/>
      <c r="W165" s="28"/>
      <c r="X165" s="24">
        <v>439000</v>
      </c>
      <c r="Y165" s="48">
        <v>376000</v>
      </c>
      <c r="Z165" s="48">
        <f>1105000+225000+225000+150000</f>
        <v>1705000</v>
      </c>
      <c r="AA165" s="48">
        <f>903000+420000</f>
        <v>1323000</v>
      </c>
      <c r="AB165" s="48">
        <f>140000+420000+154000+308000+147000+154000+308000</f>
        <v>1631000</v>
      </c>
      <c r="AC165" s="25">
        <f t="shared" si="235"/>
        <v>5474000</v>
      </c>
      <c r="AD165" s="28"/>
      <c r="AE165" s="47"/>
      <c r="AF165" s="47"/>
      <c r="AG165" s="47"/>
      <c r="AH165" s="28"/>
      <c r="AI165" s="28"/>
      <c r="AJ165" s="28"/>
      <c r="AK165" s="29">
        <f t="shared" si="236"/>
        <v>0</v>
      </c>
      <c r="AL165" s="47"/>
      <c r="AM165" s="28"/>
      <c r="AN165" s="28"/>
      <c r="AO165" s="28"/>
      <c r="AP165" s="29">
        <f t="shared" si="237"/>
        <v>0</v>
      </c>
      <c r="AQ165" s="47"/>
      <c r="AR165" s="28"/>
      <c r="AS165" s="28"/>
      <c r="AT165" s="28"/>
      <c r="AU165" s="29">
        <f t="shared" si="238"/>
        <v>0</v>
      </c>
      <c r="AV165" s="47"/>
      <c r="AW165" s="47"/>
      <c r="AX165" s="47"/>
      <c r="AY165" s="47"/>
      <c r="AZ165" s="28"/>
      <c r="BA165" s="28"/>
      <c r="BB165" s="28"/>
      <c r="BC165" s="29">
        <f t="shared" si="239"/>
        <v>0</v>
      </c>
      <c r="BD165" s="24">
        <f t="shared" si="240"/>
        <v>0</v>
      </c>
      <c r="BE165" s="24">
        <f t="shared" si="240"/>
        <v>0</v>
      </c>
      <c r="BF165" s="24">
        <f t="shared" si="240"/>
        <v>439000</v>
      </c>
      <c r="BG165" s="24">
        <f t="shared" si="241"/>
        <v>376000</v>
      </c>
      <c r="BH165" s="30">
        <f t="shared" si="241"/>
        <v>1705000</v>
      </c>
      <c r="BI165" s="30">
        <f t="shared" si="241"/>
        <v>1323000</v>
      </c>
      <c r="BJ165" s="30">
        <f t="shared" si="241"/>
        <v>1631000</v>
      </c>
      <c r="BK165" s="25">
        <f t="shared" si="242"/>
        <v>5474000</v>
      </c>
    </row>
    <row r="166" spans="1:63" s="42" customFormat="1">
      <c r="A166" s="37"/>
      <c r="B166" s="37"/>
      <c r="C166" s="73" t="s">
        <v>320</v>
      </c>
      <c r="D166" s="74"/>
      <c r="E166" s="40"/>
      <c r="F166" s="40">
        <f>SUM(F158:F165)</f>
        <v>0</v>
      </c>
      <c r="G166" s="40">
        <f t="shared" ref="G166:BK166" si="243">SUM(G158:G165)</f>
        <v>155000</v>
      </c>
      <c r="H166" s="40">
        <f t="shared" si="243"/>
        <v>150000</v>
      </c>
      <c r="I166" s="40">
        <f t="shared" si="243"/>
        <v>651500</v>
      </c>
      <c r="J166" s="40">
        <f t="shared" si="243"/>
        <v>756500</v>
      </c>
      <c r="K166" s="40">
        <f t="shared" si="243"/>
        <v>976500</v>
      </c>
      <c r="L166" s="40">
        <f t="shared" si="243"/>
        <v>224500</v>
      </c>
      <c r="M166" s="40">
        <f t="shared" si="243"/>
        <v>2914000</v>
      </c>
      <c r="N166" s="40">
        <f t="shared" si="243"/>
        <v>290000</v>
      </c>
      <c r="O166" s="40">
        <f t="shared" si="243"/>
        <v>1230000</v>
      </c>
      <c r="P166" s="40">
        <f t="shared" si="243"/>
        <v>1610000</v>
      </c>
      <c r="Q166" s="40">
        <f t="shared" si="243"/>
        <v>300000</v>
      </c>
      <c r="R166" s="40">
        <f t="shared" si="243"/>
        <v>0</v>
      </c>
      <c r="S166" s="40">
        <f t="shared" si="243"/>
        <v>0</v>
      </c>
      <c r="T166" s="40">
        <f t="shared" si="243"/>
        <v>0</v>
      </c>
      <c r="U166" s="40">
        <f t="shared" si="243"/>
        <v>3430000</v>
      </c>
      <c r="V166" s="40">
        <f t="shared" si="243"/>
        <v>290000</v>
      </c>
      <c r="W166" s="40">
        <f t="shared" si="243"/>
        <v>609000</v>
      </c>
      <c r="X166" s="40">
        <f t="shared" si="243"/>
        <v>3752935</v>
      </c>
      <c r="Y166" s="40">
        <f t="shared" si="243"/>
        <v>1096000</v>
      </c>
      <c r="Z166" s="40">
        <f t="shared" si="243"/>
        <v>3355000</v>
      </c>
      <c r="AA166" s="40">
        <f t="shared" si="243"/>
        <v>3526000</v>
      </c>
      <c r="AB166" s="40">
        <f t="shared" si="243"/>
        <v>3661000</v>
      </c>
      <c r="AC166" s="40">
        <f t="shared" si="243"/>
        <v>16289935</v>
      </c>
      <c r="AD166" s="40">
        <f t="shared" si="243"/>
        <v>0</v>
      </c>
      <c r="AE166" s="40">
        <f t="shared" si="243"/>
        <v>846000</v>
      </c>
      <c r="AF166" s="40">
        <f t="shared" si="243"/>
        <v>1089150</v>
      </c>
      <c r="AG166" s="40">
        <f t="shared" si="243"/>
        <v>2393000</v>
      </c>
      <c r="AH166" s="40">
        <f t="shared" si="243"/>
        <v>1799000</v>
      </c>
      <c r="AI166" s="40">
        <f t="shared" si="243"/>
        <v>2459832</v>
      </c>
      <c r="AJ166" s="40">
        <f t="shared" si="243"/>
        <v>2788559</v>
      </c>
      <c r="AK166" s="40">
        <f t="shared" si="243"/>
        <v>11375541</v>
      </c>
      <c r="AL166" s="40">
        <f t="shared" si="243"/>
        <v>0</v>
      </c>
      <c r="AM166" s="40">
        <f t="shared" si="243"/>
        <v>0</v>
      </c>
      <c r="AN166" s="40">
        <f t="shared" si="243"/>
        <v>0</v>
      </c>
      <c r="AO166" s="40">
        <f t="shared" si="243"/>
        <v>0</v>
      </c>
      <c r="AP166" s="40">
        <f t="shared" si="243"/>
        <v>0</v>
      </c>
      <c r="AQ166" s="40">
        <f t="shared" si="243"/>
        <v>800000</v>
      </c>
      <c r="AR166" s="40">
        <f t="shared" si="243"/>
        <v>1400000</v>
      </c>
      <c r="AS166" s="40">
        <f t="shared" si="243"/>
        <v>2131500</v>
      </c>
      <c r="AT166" s="40">
        <f t="shared" si="243"/>
        <v>2855500</v>
      </c>
      <c r="AU166" s="40">
        <f t="shared" si="243"/>
        <v>7187000</v>
      </c>
      <c r="AV166" s="40">
        <f t="shared" si="243"/>
        <v>0</v>
      </c>
      <c r="AW166" s="40">
        <f t="shared" si="243"/>
        <v>100000</v>
      </c>
      <c r="AX166" s="40">
        <f t="shared" si="243"/>
        <v>348400</v>
      </c>
      <c r="AY166" s="40">
        <f t="shared" si="243"/>
        <v>365000</v>
      </c>
      <c r="AZ166" s="40">
        <f t="shared" si="243"/>
        <v>0</v>
      </c>
      <c r="BA166" s="40">
        <f t="shared" si="243"/>
        <v>0</v>
      </c>
      <c r="BB166" s="40">
        <f t="shared" si="243"/>
        <v>0</v>
      </c>
      <c r="BC166" s="40">
        <f t="shared" si="243"/>
        <v>813400</v>
      </c>
      <c r="BD166" s="40">
        <f t="shared" si="243"/>
        <v>580000</v>
      </c>
      <c r="BE166" s="40">
        <f t="shared" si="243"/>
        <v>2940000</v>
      </c>
      <c r="BF166" s="40">
        <f t="shared" si="243"/>
        <v>6950485</v>
      </c>
      <c r="BG166" s="40">
        <f t="shared" si="243"/>
        <v>5605500</v>
      </c>
      <c r="BH166" s="40">
        <f t="shared" si="243"/>
        <v>7310500</v>
      </c>
      <c r="BI166" s="41">
        <f>SUM(BI158:BI165)</f>
        <v>9093832</v>
      </c>
      <c r="BJ166" s="40">
        <f t="shared" ref="BJ166" si="244">SUM(BJ158:BJ165)</f>
        <v>9529559</v>
      </c>
      <c r="BK166" s="40">
        <f t="shared" si="243"/>
        <v>42009876</v>
      </c>
    </row>
    <row r="167" spans="1:63">
      <c r="A167" s="6" t="s">
        <v>321</v>
      </c>
      <c r="B167" s="22">
        <v>1</v>
      </c>
      <c r="C167" s="51" t="s">
        <v>322</v>
      </c>
      <c r="D167" s="52" t="s">
        <v>323</v>
      </c>
      <c r="E167" s="24" t="s">
        <v>321</v>
      </c>
      <c r="F167" s="24"/>
      <c r="G167" s="24"/>
      <c r="H167" s="36"/>
      <c r="I167" s="24"/>
      <c r="J167" s="24"/>
      <c r="K167" s="24"/>
      <c r="L167" s="24"/>
      <c r="M167" s="25">
        <f t="shared" ref="M167:M171" si="245">SUM(F167:L167)</f>
        <v>0</v>
      </c>
      <c r="N167" s="24"/>
      <c r="O167" s="24"/>
      <c r="P167" s="24"/>
      <c r="Q167" s="24"/>
      <c r="R167" s="24"/>
      <c r="S167" s="24"/>
      <c r="T167" s="24"/>
      <c r="U167" s="25">
        <f t="shared" ref="U167:U171" si="246">SUM(N167:T167)</f>
        <v>0</v>
      </c>
      <c r="V167" s="28"/>
      <c r="W167" s="28"/>
      <c r="X167" s="28"/>
      <c r="Y167" s="28"/>
      <c r="Z167" s="28"/>
      <c r="AA167" s="28"/>
      <c r="AB167" s="28"/>
      <c r="AC167" s="25">
        <f t="shared" ref="AC167:AC171" si="247">SUM(V167:AB167)</f>
        <v>0</v>
      </c>
      <c r="AD167" s="28"/>
      <c r="AE167" s="47">
        <v>423800</v>
      </c>
      <c r="AF167" s="47">
        <v>729850</v>
      </c>
      <c r="AG167" s="47"/>
      <c r="AH167" s="28"/>
      <c r="AI167" s="28"/>
      <c r="AJ167" s="28"/>
      <c r="AK167" s="29">
        <f t="shared" ref="AK167:AK171" si="248">SUM(AD167:AJ167)</f>
        <v>1153650</v>
      </c>
      <c r="AL167" s="47"/>
      <c r="AM167" s="28"/>
      <c r="AN167" s="28"/>
      <c r="AO167" s="28"/>
      <c r="AP167" s="29">
        <f t="shared" ref="AP167:AP171" si="249">SUM(AL167:AO167)</f>
        <v>0</v>
      </c>
      <c r="AQ167" s="47"/>
      <c r="AR167" s="28"/>
      <c r="AS167" s="28"/>
      <c r="AT167" s="28"/>
      <c r="AU167" s="29">
        <f t="shared" ref="AU167:AU171" si="250">SUM(AQ167:AT167)</f>
        <v>0</v>
      </c>
      <c r="AV167" s="47"/>
      <c r="AW167" s="47"/>
      <c r="AX167" s="47"/>
      <c r="AY167" s="47"/>
      <c r="AZ167" s="28"/>
      <c r="BA167" s="28"/>
      <c r="BB167" s="28"/>
      <c r="BC167" s="29">
        <f t="shared" ref="BC167:BC171" si="251">SUM(AV167:BB167)</f>
        <v>0</v>
      </c>
      <c r="BD167" s="24">
        <f t="shared" ref="BD167:BF171" si="252">F167+N167+V167+AD167+AV167</f>
        <v>0</v>
      </c>
      <c r="BE167" s="24">
        <f t="shared" si="252"/>
        <v>423800</v>
      </c>
      <c r="BF167" s="24">
        <f t="shared" si="252"/>
        <v>729850</v>
      </c>
      <c r="BG167" s="24">
        <f t="shared" ref="BG167:BJ171" si="253">I167+Q167+Y167+AG167+AL167+AQ167+AY167</f>
        <v>0</v>
      </c>
      <c r="BH167" s="30">
        <f t="shared" si="253"/>
        <v>0</v>
      </c>
      <c r="BI167" s="30">
        <f t="shared" si="253"/>
        <v>0</v>
      </c>
      <c r="BJ167" s="30">
        <f t="shared" si="253"/>
        <v>0</v>
      </c>
      <c r="BK167" s="25">
        <f t="shared" ref="BK167:BK171" si="254">SUM(BD167:BJ167)</f>
        <v>1153650</v>
      </c>
    </row>
    <row r="168" spans="1:63" ht="47.25">
      <c r="A168" s="32"/>
      <c r="B168" s="22">
        <v>2</v>
      </c>
      <c r="C168" s="51" t="s">
        <v>324</v>
      </c>
      <c r="D168" s="52" t="s">
        <v>325</v>
      </c>
      <c r="E168" s="24" t="s">
        <v>321</v>
      </c>
      <c r="F168" s="24"/>
      <c r="G168" s="24"/>
      <c r="H168" s="36"/>
      <c r="I168" s="24"/>
      <c r="J168" s="24"/>
      <c r="K168" s="24"/>
      <c r="L168" s="24"/>
      <c r="M168" s="25">
        <f t="shared" si="245"/>
        <v>0</v>
      </c>
      <c r="N168" s="34"/>
      <c r="O168" s="34"/>
      <c r="P168" s="34"/>
      <c r="Q168" s="34"/>
      <c r="R168" s="24"/>
      <c r="S168" s="24"/>
      <c r="T168" s="24"/>
      <c r="U168" s="25">
        <f t="shared" si="246"/>
        <v>0</v>
      </c>
      <c r="V168" s="28"/>
      <c r="W168" s="28"/>
      <c r="X168" s="28"/>
      <c r="Y168" s="28"/>
      <c r="Z168" s="28"/>
      <c r="AA168" s="28"/>
      <c r="AB168" s="28"/>
      <c r="AC168" s="25">
        <f t="shared" si="247"/>
        <v>0</v>
      </c>
      <c r="AD168" s="28">
        <v>195000</v>
      </c>
      <c r="AE168" s="47">
        <v>733900</v>
      </c>
      <c r="AF168" s="47">
        <v>649900</v>
      </c>
      <c r="AG168" s="49">
        <v>810000</v>
      </c>
      <c r="AH168" s="28">
        <f>210000+210000+140000+70000+210000+140000</f>
        <v>980000</v>
      </c>
      <c r="AI168" s="28">
        <v>944600</v>
      </c>
      <c r="AJ168" s="28">
        <v>1522450</v>
      </c>
      <c r="AK168" s="29">
        <f t="shared" si="248"/>
        <v>5835850</v>
      </c>
      <c r="AL168" s="47"/>
      <c r="AM168" s="28"/>
      <c r="AN168" s="28"/>
      <c r="AO168" s="28"/>
      <c r="AP168" s="29">
        <f t="shared" si="249"/>
        <v>0</v>
      </c>
      <c r="AQ168" s="47"/>
      <c r="AR168" s="28"/>
      <c r="AS168" s="28"/>
      <c r="AT168" s="28"/>
      <c r="AU168" s="29">
        <f t="shared" si="250"/>
        <v>0</v>
      </c>
      <c r="AV168" s="47"/>
      <c r="AW168" s="47"/>
      <c r="AX168" s="47"/>
      <c r="AY168" s="47"/>
      <c r="AZ168" s="28"/>
      <c r="BA168" s="28"/>
      <c r="BB168" s="28"/>
      <c r="BC168" s="29">
        <f t="shared" si="251"/>
        <v>0</v>
      </c>
      <c r="BD168" s="24">
        <f t="shared" si="252"/>
        <v>195000</v>
      </c>
      <c r="BE168" s="24">
        <f t="shared" si="252"/>
        <v>733900</v>
      </c>
      <c r="BF168" s="24">
        <f t="shared" si="252"/>
        <v>649900</v>
      </c>
      <c r="BG168" s="24">
        <f t="shared" si="253"/>
        <v>810000</v>
      </c>
      <c r="BH168" s="30">
        <f t="shared" si="253"/>
        <v>980000</v>
      </c>
      <c r="BI168" s="30">
        <f t="shared" si="253"/>
        <v>944600</v>
      </c>
      <c r="BJ168" s="30">
        <f t="shared" si="253"/>
        <v>1522450</v>
      </c>
      <c r="BK168" s="25">
        <f t="shared" si="254"/>
        <v>5835850</v>
      </c>
    </row>
    <row r="169" spans="1:63" ht="31.5">
      <c r="A169" s="32"/>
      <c r="B169" s="22">
        <v>3</v>
      </c>
      <c r="C169" s="51" t="s">
        <v>326</v>
      </c>
      <c r="D169" s="52" t="s">
        <v>327</v>
      </c>
      <c r="E169" s="24" t="s">
        <v>321</v>
      </c>
      <c r="F169" s="24"/>
      <c r="G169" s="24"/>
      <c r="H169" s="36"/>
      <c r="I169" s="24"/>
      <c r="J169" s="24"/>
      <c r="K169" s="24"/>
      <c r="L169" s="24"/>
      <c r="M169" s="25">
        <f t="shared" si="245"/>
        <v>0</v>
      </c>
      <c r="N169" s="34"/>
      <c r="O169" s="34"/>
      <c r="P169" s="34">
        <v>1490000</v>
      </c>
      <c r="Q169" s="34">
        <v>250000</v>
      </c>
      <c r="R169" s="24"/>
      <c r="S169" s="24"/>
      <c r="T169" s="24"/>
      <c r="U169" s="25">
        <f t="shared" si="246"/>
        <v>1740000</v>
      </c>
      <c r="V169" s="28"/>
      <c r="W169" s="28"/>
      <c r="X169" s="28"/>
      <c r="Y169" s="28"/>
      <c r="Z169" s="28"/>
      <c r="AA169" s="28"/>
      <c r="AB169" s="28"/>
      <c r="AC169" s="25">
        <f t="shared" si="247"/>
        <v>0</v>
      </c>
      <c r="AD169" s="28"/>
      <c r="AE169" s="47">
        <v>1184650</v>
      </c>
      <c r="AF169" s="47">
        <v>994500</v>
      </c>
      <c r="AG169" s="47">
        <v>821500</v>
      </c>
      <c r="AH169" s="28">
        <f>136000+204000+204500+205500+205500</f>
        <v>955500</v>
      </c>
      <c r="AI169" s="28">
        <f>1037900+223100+111550</f>
        <v>1372550</v>
      </c>
      <c r="AJ169" s="28">
        <v>1338600</v>
      </c>
      <c r="AK169" s="29">
        <f t="shared" si="248"/>
        <v>6667300</v>
      </c>
      <c r="AL169" s="47"/>
      <c r="AM169" s="28"/>
      <c r="AN169" s="28"/>
      <c r="AO169" s="28"/>
      <c r="AP169" s="29">
        <f t="shared" si="249"/>
        <v>0</v>
      </c>
      <c r="AQ169" s="47"/>
      <c r="AR169" s="28"/>
      <c r="AS169" s="28"/>
      <c r="AT169" s="28"/>
      <c r="AU169" s="29">
        <f t="shared" si="250"/>
        <v>0</v>
      </c>
      <c r="AV169" s="47"/>
      <c r="AW169" s="47">
        <v>100000</v>
      </c>
      <c r="AX169" s="47">
        <v>253600</v>
      </c>
      <c r="AY169" s="47"/>
      <c r="AZ169" s="28"/>
      <c r="BA169" s="28"/>
      <c r="BB169" s="28"/>
      <c r="BC169" s="29">
        <f t="shared" si="251"/>
        <v>353600</v>
      </c>
      <c r="BD169" s="24">
        <f t="shared" si="252"/>
        <v>0</v>
      </c>
      <c r="BE169" s="24">
        <f t="shared" si="252"/>
        <v>1284650</v>
      </c>
      <c r="BF169" s="24">
        <f t="shared" si="252"/>
        <v>2738100</v>
      </c>
      <c r="BG169" s="24">
        <f t="shared" si="253"/>
        <v>1071500</v>
      </c>
      <c r="BH169" s="30">
        <f t="shared" si="253"/>
        <v>955500</v>
      </c>
      <c r="BI169" s="30">
        <f t="shared" si="253"/>
        <v>1372550</v>
      </c>
      <c r="BJ169" s="30">
        <f t="shared" si="253"/>
        <v>1338600</v>
      </c>
      <c r="BK169" s="25">
        <f t="shared" si="254"/>
        <v>8760900</v>
      </c>
    </row>
    <row r="170" spans="1:63">
      <c r="A170" s="32"/>
      <c r="B170" s="22">
        <v>4</v>
      </c>
      <c r="C170" s="51" t="s">
        <v>328</v>
      </c>
      <c r="D170" s="52" t="s">
        <v>327</v>
      </c>
      <c r="E170" s="24" t="s">
        <v>321</v>
      </c>
      <c r="F170" s="24"/>
      <c r="G170" s="24"/>
      <c r="H170" s="36"/>
      <c r="I170" s="24"/>
      <c r="J170" s="24"/>
      <c r="K170" s="24"/>
      <c r="L170" s="24"/>
      <c r="M170" s="25">
        <f t="shared" si="245"/>
        <v>0</v>
      </c>
      <c r="N170" s="24"/>
      <c r="O170" s="24"/>
      <c r="P170" s="27"/>
      <c r="Q170" s="26"/>
      <c r="R170" s="24"/>
      <c r="S170" s="24"/>
      <c r="T170" s="24"/>
      <c r="U170" s="25">
        <f t="shared" si="246"/>
        <v>0</v>
      </c>
      <c r="V170" s="28"/>
      <c r="W170" s="28"/>
      <c r="X170" s="24">
        <v>500000</v>
      </c>
      <c r="Y170" s="28">
        <v>52000</v>
      </c>
      <c r="Z170" s="28"/>
      <c r="AA170" s="28"/>
      <c r="AB170" s="28"/>
      <c r="AC170" s="25">
        <f t="shared" si="247"/>
        <v>552000</v>
      </c>
      <c r="AD170" s="28"/>
      <c r="AE170" s="47"/>
      <c r="AF170" s="47"/>
      <c r="AG170" s="47"/>
      <c r="AH170" s="28"/>
      <c r="AI170" s="28"/>
      <c r="AJ170" s="28"/>
      <c r="AK170" s="29">
        <f t="shared" si="248"/>
        <v>0</v>
      </c>
      <c r="AL170" s="47"/>
      <c r="AM170" s="28"/>
      <c r="AN170" s="28"/>
      <c r="AO170" s="28"/>
      <c r="AP170" s="29">
        <f t="shared" si="249"/>
        <v>0</v>
      </c>
      <c r="AQ170" s="47"/>
      <c r="AR170" s="28"/>
      <c r="AS170" s="28"/>
      <c r="AT170" s="28"/>
      <c r="AU170" s="29">
        <f t="shared" si="250"/>
        <v>0</v>
      </c>
      <c r="AV170" s="47"/>
      <c r="AW170" s="47"/>
      <c r="AX170" s="47"/>
      <c r="AY170" s="47"/>
      <c r="AZ170" s="28"/>
      <c r="BA170" s="28"/>
      <c r="BB170" s="28"/>
      <c r="BC170" s="29">
        <f t="shared" si="251"/>
        <v>0</v>
      </c>
      <c r="BD170" s="24">
        <f t="shared" si="252"/>
        <v>0</v>
      </c>
      <c r="BE170" s="24">
        <f t="shared" si="252"/>
        <v>0</v>
      </c>
      <c r="BF170" s="24">
        <f t="shared" si="252"/>
        <v>500000</v>
      </c>
      <c r="BG170" s="24">
        <f t="shared" si="253"/>
        <v>52000</v>
      </c>
      <c r="BH170" s="30">
        <f t="shared" si="253"/>
        <v>0</v>
      </c>
      <c r="BI170" s="30">
        <f t="shared" si="253"/>
        <v>0</v>
      </c>
      <c r="BJ170" s="30">
        <f t="shared" si="253"/>
        <v>0</v>
      </c>
      <c r="BK170" s="25">
        <f t="shared" si="254"/>
        <v>552000</v>
      </c>
    </row>
    <row r="171" spans="1:63">
      <c r="A171" s="14"/>
      <c r="B171" s="22">
        <v>5</v>
      </c>
      <c r="C171" s="51" t="s">
        <v>329</v>
      </c>
      <c r="D171" s="52" t="s">
        <v>327</v>
      </c>
      <c r="E171" s="24" t="s">
        <v>321</v>
      </c>
      <c r="F171" s="24"/>
      <c r="G171" s="24"/>
      <c r="H171" s="36"/>
      <c r="I171" s="24"/>
      <c r="J171" s="24"/>
      <c r="K171" s="24"/>
      <c r="L171" s="24"/>
      <c r="M171" s="25">
        <f t="shared" si="245"/>
        <v>0</v>
      </c>
      <c r="N171" s="34">
        <v>290000</v>
      </c>
      <c r="O171" s="34">
        <v>1860000</v>
      </c>
      <c r="P171" s="34">
        <v>270000</v>
      </c>
      <c r="Q171" s="34">
        <v>1500000</v>
      </c>
      <c r="R171" s="24">
        <f>175000+225000+225000+225000+150000</f>
        <v>1000000</v>
      </c>
      <c r="S171" s="24">
        <f>1485000+320000</f>
        <v>1805000</v>
      </c>
      <c r="T171" s="24">
        <f>640000+480000+160000+160000+320000+160000+200000</f>
        <v>2120000</v>
      </c>
      <c r="U171" s="25">
        <f t="shared" si="246"/>
        <v>8845000</v>
      </c>
      <c r="V171" s="28"/>
      <c r="W171" s="28"/>
      <c r="X171" s="28"/>
      <c r="Y171" s="28"/>
      <c r="Z171" s="28"/>
      <c r="AA171" s="28"/>
      <c r="AB171" s="28"/>
      <c r="AC171" s="25">
        <f t="shared" si="247"/>
        <v>0</v>
      </c>
      <c r="AD171" s="28"/>
      <c r="AE171" s="47">
        <v>733350</v>
      </c>
      <c r="AF171" s="47">
        <v>388000</v>
      </c>
      <c r="AG171" s="47">
        <v>148000</v>
      </c>
      <c r="AH171" s="28"/>
      <c r="AI171" s="28"/>
      <c r="AJ171" s="28"/>
      <c r="AK171" s="29">
        <f t="shared" si="248"/>
        <v>1269350</v>
      </c>
      <c r="AL171" s="47"/>
      <c r="AM171" s="28"/>
      <c r="AN171" s="28"/>
      <c r="AO171" s="28"/>
      <c r="AP171" s="29">
        <f t="shared" si="249"/>
        <v>0</v>
      </c>
      <c r="AQ171" s="47"/>
      <c r="AR171" s="28"/>
      <c r="AS171" s="28"/>
      <c r="AT171" s="28"/>
      <c r="AU171" s="29">
        <f t="shared" si="250"/>
        <v>0</v>
      </c>
      <c r="AV171" s="47"/>
      <c r="AW171" s="47"/>
      <c r="AX171" s="47"/>
      <c r="AY171" s="47"/>
      <c r="AZ171" s="28"/>
      <c r="BA171" s="28"/>
      <c r="BB171" s="28"/>
      <c r="BC171" s="29">
        <f t="shared" si="251"/>
        <v>0</v>
      </c>
      <c r="BD171" s="24">
        <f t="shared" si="252"/>
        <v>290000</v>
      </c>
      <c r="BE171" s="24">
        <f t="shared" si="252"/>
        <v>2593350</v>
      </c>
      <c r="BF171" s="24">
        <f t="shared" si="252"/>
        <v>658000</v>
      </c>
      <c r="BG171" s="24">
        <f t="shared" si="253"/>
        <v>1648000</v>
      </c>
      <c r="BH171" s="30">
        <f t="shared" si="253"/>
        <v>1000000</v>
      </c>
      <c r="BI171" s="30">
        <f t="shared" si="253"/>
        <v>1805000</v>
      </c>
      <c r="BJ171" s="30">
        <f t="shared" si="253"/>
        <v>2120000</v>
      </c>
      <c r="BK171" s="25">
        <f t="shared" si="254"/>
        <v>10114350</v>
      </c>
    </row>
    <row r="172" spans="1:63" s="42" customFormat="1">
      <c r="A172" s="37"/>
      <c r="B172" s="37"/>
      <c r="C172" s="38" t="s">
        <v>330</v>
      </c>
      <c r="D172" s="39"/>
      <c r="E172" s="40"/>
      <c r="F172" s="40">
        <f>SUM(F167:F171)</f>
        <v>0</v>
      </c>
      <c r="G172" s="40">
        <f t="shared" ref="G172:BK172" si="255">SUM(G167:G171)</f>
        <v>0</v>
      </c>
      <c r="H172" s="40">
        <f t="shared" si="255"/>
        <v>0</v>
      </c>
      <c r="I172" s="40">
        <f t="shared" si="255"/>
        <v>0</v>
      </c>
      <c r="J172" s="40">
        <f t="shared" si="255"/>
        <v>0</v>
      </c>
      <c r="K172" s="40">
        <f t="shared" si="255"/>
        <v>0</v>
      </c>
      <c r="L172" s="40">
        <f t="shared" si="255"/>
        <v>0</v>
      </c>
      <c r="M172" s="40">
        <f t="shared" si="255"/>
        <v>0</v>
      </c>
      <c r="N172" s="40">
        <f t="shared" si="255"/>
        <v>290000</v>
      </c>
      <c r="O172" s="40">
        <f t="shared" si="255"/>
        <v>1860000</v>
      </c>
      <c r="P172" s="40">
        <f t="shared" si="255"/>
        <v>1760000</v>
      </c>
      <c r="Q172" s="40">
        <f t="shared" si="255"/>
        <v>1750000</v>
      </c>
      <c r="R172" s="40">
        <f t="shared" si="255"/>
        <v>1000000</v>
      </c>
      <c r="S172" s="40">
        <f t="shared" si="255"/>
        <v>1805000</v>
      </c>
      <c r="T172" s="40">
        <f t="shared" si="255"/>
        <v>2120000</v>
      </c>
      <c r="U172" s="40">
        <f t="shared" si="255"/>
        <v>10585000</v>
      </c>
      <c r="V172" s="40">
        <f t="shared" si="255"/>
        <v>0</v>
      </c>
      <c r="W172" s="40">
        <f t="shared" si="255"/>
        <v>0</v>
      </c>
      <c r="X172" s="40">
        <f t="shared" si="255"/>
        <v>500000</v>
      </c>
      <c r="Y172" s="40">
        <f t="shared" si="255"/>
        <v>52000</v>
      </c>
      <c r="Z172" s="40">
        <f t="shared" si="255"/>
        <v>0</v>
      </c>
      <c r="AA172" s="40">
        <f t="shared" si="255"/>
        <v>0</v>
      </c>
      <c r="AB172" s="40">
        <f t="shared" si="255"/>
        <v>0</v>
      </c>
      <c r="AC172" s="40">
        <f t="shared" si="255"/>
        <v>552000</v>
      </c>
      <c r="AD172" s="40">
        <f t="shared" si="255"/>
        <v>195000</v>
      </c>
      <c r="AE172" s="40">
        <f t="shared" si="255"/>
        <v>3075700</v>
      </c>
      <c r="AF172" s="40">
        <f t="shared" si="255"/>
        <v>2762250</v>
      </c>
      <c r="AG172" s="40">
        <f t="shared" si="255"/>
        <v>1779500</v>
      </c>
      <c r="AH172" s="40">
        <f t="shared" si="255"/>
        <v>1935500</v>
      </c>
      <c r="AI172" s="40">
        <f t="shared" si="255"/>
        <v>2317150</v>
      </c>
      <c r="AJ172" s="40">
        <f t="shared" si="255"/>
        <v>2861050</v>
      </c>
      <c r="AK172" s="40">
        <f t="shared" si="255"/>
        <v>14926150</v>
      </c>
      <c r="AL172" s="40">
        <f t="shared" si="255"/>
        <v>0</v>
      </c>
      <c r="AM172" s="40">
        <f t="shared" si="255"/>
        <v>0</v>
      </c>
      <c r="AN172" s="40">
        <f t="shared" si="255"/>
        <v>0</v>
      </c>
      <c r="AO172" s="40">
        <f t="shared" si="255"/>
        <v>0</v>
      </c>
      <c r="AP172" s="40">
        <f t="shared" si="255"/>
        <v>0</v>
      </c>
      <c r="AQ172" s="40">
        <f t="shared" si="255"/>
        <v>0</v>
      </c>
      <c r="AR172" s="40">
        <f t="shared" si="255"/>
        <v>0</v>
      </c>
      <c r="AS172" s="40">
        <f t="shared" si="255"/>
        <v>0</v>
      </c>
      <c r="AT172" s="40">
        <f t="shared" si="255"/>
        <v>0</v>
      </c>
      <c r="AU172" s="40">
        <f t="shared" si="255"/>
        <v>0</v>
      </c>
      <c r="AV172" s="40">
        <f t="shared" si="255"/>
        <v>0</v>
      </c>
      <c r="AW172" s="40">
        <f t="shared" si="255"/>
        <v>100000</v>
      </c>
      <c r="AX172" s="40">
        <f t="shared" si="255"/>
        <v>253600</v>
      </c>
      <c r="AY172" s="40">
        <f t="shared" si="255"/>
        <v>0</v>
      </c>
      <c r="AZ172" s="40">
        <f t="shared" si="255"/>
        <v>0</v>
      </c>
      <c r="BA172" s="40">
        <f t="shared" si="255"/>
        <v>0</v>
      </c>
      <c r="BB172" s="40">
        <f t="shared" si="255"/>
        <v>0</v>
      </c>
      <c r="BC172" s="40">
        <f t="shared" si="255"/>
        <v>353600</v>
      </c>
      <c r="BD172" s="40">
        <f t="shared" si="255"/>
        <v>485000</v>
      </c>
      <c r="BE172" s="40">
        <f t="shared" si="255"/>
        <v>5035700</v>
      </c>
      <c r="BF172" s="40">
        <f t="shared" si="255"/>
        <v>5275850</v>
      </c>
      <c r="BG172" s="40">
        <f t="shared" si="255"/>
        <v>3581500</v>
      </c>
      <c r="BH172" s="40">
        <f t="shared" si="255"/>
        <v>2935500</v>
      </c>
      <c r="BI172" s="41">
        <f>SUM(BI167:BI171)</f>
        <v>4122150</v>
      </c>
      <c r="BJ172" s="40">
        <f t="shared" ref="BJ172" si="256">SUM(BJ167:BJ171)</f>
        <v>4981050</v>
      </c>
      <c r="BK172" s="40">
        <f t="shared" si="255"/>
        <v>26416750</v>
      </c>
    </row>
    <row r="173" spans="1:63">
      <c r="A173" s="6" t="s">
        <v>331</v>
      </c>
      <c r="B173" s="22">
        <v>1</v>
      </c>
      <c r="C173" s="23" t="s">
        <v>332</v>
      </c>
      <c r="D173" s="75" t="s">
        <v>333</v>
      </c>
      <c r="E173" s="24" t="s">
        <v>331</v>
      </c>
      <c r="F173" s="24"/>
      <c r="G173" s="24"/>
      <c r="H173" s="36"/>
      <c r="I173" s="24"/>
      <c r="J173" s="24"/>
      <c r="K173" s="24"/>
      <c r="L173" s="24"/>
      <c r="M173" s="25">
        <f t="shared" ref="M173:M209" si="257">SUM(F173:L173)</f>
        <v>0</v>
      </c>
      <c r="N173" s="24"/>
      <c r="O173" s="24"/>
      <c r="P173" s="24"/>
      <c r="Q173" s="24"/>
      <c r="R173" s="24"/>
      <c r="S173" s="24"/>
      <c r="T173" s="24"/>
      <c r="U173" s="25">
        <f t="shared" ref="U173:U209" si="258">SUM(N173:T173)</f>
        <v>0</v>
      </c>
      <c r="V173" s="28"/>
      <c r="W173" s="28"/>
      <c r="X173" s="28"/>
      <c r="Y173" s="28"/>
      <c r="Z173" s="28"/>
      <c r="AA173" s="28"/>
      <c r="AB173" s="28"/>
      <c r="AC173" s="25">
        <f t="shared" ref="AC173:AC209" si="259">SUM(V173:AB173)</f>
        <v>0</v>
      </c>
      <c r="AD173" s="28">
        <v>195000</v>
      </c>
      <c r="AE173" s="47">
        <v>271600</v>
      </c>
      <c r="AF173" s="49">
        <v>38800</v>
      </c>
      <c r="AG173" s="49">
        <v>514000</v>
      </c>
      <c r="AH173" s="28">
        <f>77000+122500+126000+147000+98000</f>
        <v>570500</v>
      </c>
      <c r="AI173" s="28">
        <f>693400+135800+67900</f>
        <v>897100</v>
      </c>
      <c r="AJ173" s="28">
        <v>814800</v>
      </c>
      <c r="AK173" s="29">
        <f t="shared" ref="AK173:AK209" si="260">SUM(AD173:AJ173)</f>
        <v>3301800</v>
      </c>
      <c r="AL173" s="47">
        <v>0</v>
      </c>
      <c r="AM173" s="28"/>
      <c r="AN173" s="28"/>
      <c r="AO173" s="28"/>
      <c r="AP173" s="29">
        <f t="shared" ref="AP173:AP209" si="261">SUM(AL173:AO173)</f>
        <v>0</v>
      </c>
      <c r="AQ173" s="47"/>
      <c r="AR173" s="28"/>
      <c r="AS173" s="28"/>
      <c r="AT173" s="28"/>
      <c r="AU173" s="29">
        <f t="shared" ref="AU173:AU209" si="262">SUM(AQ173:AT173)</f>
        <v>0</v>
      </c>
      <c r="AV173" s="47"/>
      <c r="AW173" s="47"/>
      <c r="AX173" s="47"/>
      <c r="AY173" s="47"/>
      <c r="AZ173" s="28"/>
      <c r="BA173" s="28"/>
      <c r="BB173" s="28"/>
      <c r="BC173" s="29">
        <f t="shared" ref="BC173:BC209" si="263">SUM(AV173:BB173)</f>
        <v>0</v>
      </c>
      <c r="BD173" s="24">
        <f t="shared" ref="BD173:BF209" si="264">F173+N173+V173+AD173+AV173</f>
        <v>195000</v>
      </c>
      <c r="BE173" s="24">
        <f t="shared" si="264"/>
        <v>271600</v>
      </c>
      <c r="BF173" s="24">
        <f t="shared" si="264"/>
        <v>38800</v>
      </c>
      <c r="BG173" s="24">
        <f t="shared" ref="BG173:BJ209" si="265">I173+Q173+Y173+AG173+AL173+AQ173+AY173</f>
        <v>514000</v>
      </c>
      <c r="BH173" s="30">
        <f t="shared" si="265"/>
        <v>570500</v>
      </c>
      <c r="BI173" s="30">
        <f t="shared" si="265"/>
        <v>897100</v>
      </c>
      <c r="BJ173" s="30">
        <f t="shared" si="265"/>
        <v>814800</v>
      </c>
      <c r="BK173" s="25">
        <f t="shared" ref="BK173:BK209" si="266">SUM(BD173:BJ173)</f>
        <v>3301800</v>
      </c>
    </row>
    <row r="174" spans="1:63">
      <c r="A174" s="32"/>
      <c r="B174" s="22">
        <v>2</v>
      </c>
      <c r="C174" s="23" t="s">
        <v>334</v>
      </c>
      <c r="D174" s="54" t="s">
        <v>335</v>
      </c>
      <c r="E174" s="24" t="s">
        <v>331</v>
      </c>
      <c r="F174" s="24">
        <v>155000</v>
      </c>
      <c r="G174" s="24">
        <v>881000</v>
      </c>
      <c r="H174" s="24">
        <f>110000+110000+330000</f>
        <v>550000</v>
      </c>
      <c r="I174" s="24">
        <f>160000+20000</f>
        <v>180000</v>
      </c>
      <c r="J174" s="24"/>
      <c r="K174" s="24"/>
      <c r="L174" s="24"/>
      <c r="M174" s="25">
        <f t="shared" si="257"/>
        <v>1766000</v>
      </c>
      <c r="N174" s="24"/>
      <c r="O174" s="24"/>
      <c r="P174" s="24"/>
      <c r="Q174" s="24"/>
      <c r="R174" s="24"/>
      <c r="S174" s="24"/>
      <c r="T174" s="24"/>
      <c r="U174" s="25">
        <f t="shared" si="258"/>
        <v>0</v>
      </c>
      <c r="V174" s="28"/>
      <c r="W174" s="28"/>
      <c r="X174" s="28"/>
      <c r="Y174" s="28"/>
      <c r="Z174" s="28"/>
      <c r="AA174" s="28"/>
      <c r="AB174" s="28"/>
      <c r="AC174" s="25">
        <f t="shared" si="259"/>
        <v>0</v>
      </c>
      <c r="AD174" s="28"/>
      <c r="AE174" s="47">
        <v>1020900</v>
      </c>
      <c r="AF174" s="49">
        <v>621200</v>
      </c>
      <c r="AG174" s="49">
        <v>240000</v>
      </c>
      <c r="AH174" s="28"/>
      <c r="AI174" s="28"/>
      <c r="AJ174" s="28"/>
      <c r="AK174" s="29">
        <f t="shared" si="260"/>
        <v>1882100</v>
      </c>
      <c r="AL174" s="47">
        <v>1155000</v>
      </c>
      <c r="AM174" s="28">
        <f>105000+311500+315000+315000+210000</f>
        <v>1256500</v>
      </c>
      <c r="AN174" s="28">
        <f>1387200+296000+148000</f>
        <v>1831200</v>
      </c>
      <c r="AO174" s="28">
        <v>1539000</v>
      </c>
      <c r="AP174" s="29">
        <f t="shared" si="261"/>
        <v>5781700</v>
      </c>
      <c r="AQ174" s="47"/>
      <c r="AR174" s="28"/>
      <c r="AS174" s="28"/>
      <c r="AT174" s="28"/>
      <c r="AU174" s="29">
        <f t="shared" si="262"/>
        <v>0</v>
      </c>
      <c r="AV174" s="47"/>
      <c r="AW174" s="47">
        <v>100000</v>
      </c>
      <c r="AX174" s="47">
        <f>218150+257600</f>
        <v>475750</v>
      </c>
      <c r="AY174" s="47"/>
      <c r="AZ174" s="28"/>
      <c r="BA174" s="28"/>
      <c r="BB174" s="28"/>
      <c r="BC174" s="29">
        <f t="shared" si="263"/>
        <v>575750</v>
      </c>
      <c r="BD174" s="24">
        <f t="shared" si="264"/>
        <v>155000</v>
      </c>
      <c r="BE174" s="24">
        <f t="shared" si="264"/>
        <v>2001900</v>
      </c>
      <c r="BF174" s="24">
        <f t="shared" si="264"/>
        <v>1646950</v>
      </c>
      <c r="BG174" s="24">
        <f t="shared" si="265"/>
        <v>1575000</v>
      </c>
      <c r="BH174" s="30">
        <f t="shared" si="265"/>
        <v>1256500</v>
      </c>
      <c r="BI174" s="30">
        <f t="shared" si="265"/>
        <v>1831200</v>
      </c>
      <c r="BJ174" s="30">
        <f t="shared" si="265"/>
        <v>1539000</v>
      </c>
      <c r="BK174" s="25">
        <f t="shared" si="266"/>
        <v>10005550</v>
      </c>
    </row>
    <row r="175" spans="1:63" ht="30">
      <c r="A175" s="32"/>
      <c r="B175" s="22">
        <v>3</v>
      </c>
      <c r="C175" s="46" t="s">
        <v>336</v>
      </c>
      <c r="D175" s="72" t="s">
        <v>337</v>
      </c>
      <c r="E175" s="24" t="s">
        <v>331</v>
      </c>
      <c r="F175" s="24"/>
      <c r="G175" s="24"/>
      <c r="H175" s="24"/>
      <c r="I175" s="24"/>
      <c r="J175" s="24"/>
      <c r="K175" s="24"/>
      <c r="L175" s="24"/>
      <c r="M175" s="25">
        <f t="shared" si="257"/>
        <v>0</v>
      </c>
      <c r="N175" s="24"/>
      <c r="O175" s="24"/>
      <c r="P175" s="24"/>
      <c r="Q175" s="24"/>
      <c r="R175" s="24"/>
      <c r="S175" s="24"/>
      <c r="T175" s="24"/>
      <c r="U175" s="25">
        <f t="shared" si="258"/>
        <v>0</v>
      </c>
      <c r="V175" s="28"/>
      <c r="W175" s="28"/>
      <c r="X175" s="28"/>
      <c r="Y175" s="28"/>
      <c r="Z175" s="28"/>
      <c r="AA175" s="28"/>
      <c r="AB175" s="28"/>
      <c r="AC175" s="25">
        <f t="shared" si="259"/>
        <v>0</v>
      </c>
      <c r="AD175" s="28"/>
      <c r="AE175" s="47"/>
      <c r="AF175" s="49"/>
      <c r="AG175" s="49"/>
      <c r="AH175" s="28"/>
      <c r="AI175" s="28"/>
      <c r="AJ175" s="28"/>
      <c r="AK175" s="29">
        <f t="shared" si="260"/>
        <v>0</v>
      </c>
      <c r="AL175" s="47">
        <v>0</v>
      </c>
      <c r="AM175" s="28"/>
      <c r="AN175" s="28"/>
      <c r="AO175" s="28"/>
      <c r="AP175" s="29">
        <f t="shared" si="261"/>
        <v>0</v>
      </c>
      <c r="AQ175" s="47"/>
      <c r="AR175" s="28"/>
      <c r="AS175" s="28"/>
      <c r="AT175" s="28"/>
      <c r="AU175" s="29">
        <f t="shared" si="262"/>
        <v>0</v>
      </c>
      <c r="AV175" s="47"/>
      <c r="AW175" s="47">
        <v>100000</v>
      </c>
      <c r="AX175" s="47">
        <v>276000</v>
      </c>
      <c r="AY175" s="47"/>
      <c r="AZ175" s="28"/>
      <c r="BA175" s="28"/>
      <c r="BB175" s="28"/>
      <c r="BC175" s="29">
        <f t="shared" si="263"/>
        <v>376000</v>
      </c>
      <c r="BD175" s="24">
        <f t="shared" si="264"/>
        <v>0</v>
      </c>
      <c r="BE175" s="24">
        <f t="shared" si="264"/>
        <v>100000</v>
      </c>
      <c r="BF175" s="24">
        <f t="shared" si="264"/>
        <v>276000</v>
      </c>
      <c r="BG175" s="24">
        <f t="shared" si="265"/>
        <v>0</v>
      </c>
      <c r="BH175" s="30">
        <f t="shared" si="265"/>
        <v>0</v>
      </c>
      <c r="BI175" s="30">
        <f t="shared" si="265"/>
        <v>0</v>
      </c>
      <c r="BJ175" s="30">
        <f t="shared" si="265"/>
        <v>0</v>
      </c>
      <c r="BK175" s="25">
        <f t="shared" si="266"/>
        <v>376000</v>
      </c>
    </row>
    <row r="176" spans="1:63">
      <c r="A176" s="32"/>
      <c r="B176" s="22">
        <v>4</v>
      </c>
      <c r="C176" s="23" t="s">
        <v>338</v>
      </c>
      <c r="D176" s="54" t="s">
        <v>339</v>
      </c>
      <c r="E176" s="24" t="s">
        <v>331</v>
      </c>
      <c r="F176" s="24"/>
      <c r="G176" s="24">
        <v>155000</v>
      </c>
      <c r="H176" s="24">
        <f>368500+47500+82500</f>
        <v>498500</v>
      </c>
      <c r="I176" s="24">
        <f>100000+120000</f>
        <v>220000</v>
      </c>
      <c r="J176" s="24"/>
      <c r="K176" s="24"/>
      <c r="L176" s="24"/>
      <c r="M176" s="25">
        <f t="shared" si="257"/>
        <v>873500</v>
      </c>
      <c r="N176" s="24"/>
      <c r="O176" s="24"/>
      <c r="P176" s="24"/>
      <c r="Q176" s="24"/>
      <c r="R176" s="24"/>
      <c r="S176" s="24"/>
      <c r="T176" s="24"/>
      <c r="U176" s="25">
        <f t="shared" si="258"/>
        <v>0</v>
      </c>
      <c r="V176" s="28"/>
      <c r="W176" s="28"/>
      <c r="X176" s="28"/>
      <c r="Y176" s="28"/>
      <c r="Z176" s="28"/>
      <c r="AA176" s="28"/>
      <c r="AB176" s="28"/>
      <c r="AC176" s="25">
        <f t="shared" si="259"/>
        <v>0</v>
      </c>
      <c r="AD176" s="28"/>
      <c r="AE176" s="47">
        <v>607050</v>
      </c>
      <c r="AF176" s="49">
        <v>506100</v>
      </c>
      <c r="AG176" s="49">
        <v>180000</v>
      </c>
      <c r="AH176" s="28"/>
      <c r="AI176" s="28"/>
      <c r="AJ176" s="28"/>
      <c r="AK176" s="29">
        <f t="shared" si="260"/>
        <v>1293150</v>
      </c>
      <c r="AL176" s="47">
        <v>921500</v>
      </c>
      <c r="AM176" s="28">
        <f>310500+309000+305500+307500+203500</f>
        <v>1436000</v>
      </c>
      <c r="AN176" s="28">
        <f>1352500+280800+140000</f>
        <v>1773300</v>
      </c>
      <c r="AO176" s="28">
        <v>1692000</v>
      </c>
      <c r="AP176" s="29">
        <f t="shared" si="261"/>
        <v>5822800</v>
      </c>
      <c r="AQ176" s="47"/>
      <c r="AR176" s="28"/>
      <c r="AS176" s="28"/>
      <c r="AT176" s="28"/>
      <c r="AU176" s="29">
        <f t="shared" si="262"/>
        <v>0</v>
      </c>
      <c r="AV176" s="47"/>
      <c r="AW176" s="47"/>
      <c r="AX176" s="47"/>
      <c r="AY176" s="47"/>
      <c r="AZ176" s="28"/>
      <c r="BA176" s="28"/>
      <c r="BB176" s="28"/>
      <c r="BC176" s="29">
        <f t="shared" si="263"/>
        <v>0</v>
      </c>
      <c r="BD176" s="24">
        <f t="shared" si="264"/>
        <v>0</v>
      </c>
      <c r="BE176" s="24">
        <f t="shared" si="264"/>
        <v>762050</v>
      </c>
      <c r="BF176" s="24">
        <f t="shared" si="264"/>
        <v>1004600</v>
      </c>
      <c r="BG176" s="24">
        <f t="shared" si="265"/>
        <v>1321500</v>
      </c>
      <c r="BH176" s="30">
        <f t="shared" si="265"/>
        <v>1436000</v>
      </c>
      <c r="BI176" s="30">
        <f t="shared" si="265"/>
        <v>1773300</v>
      </c>
      <c r="BJ176" s="30">
        <f t="shared" si="265"/>
        <v>1692000</v>
      </c>
      <c r="BK176" s="25">
        <f t="shared" si="266"/>
        <v>7989450</v>
      </c>
    </row>
    <row r="177" spans="1:63">
      <c r="A177" s="32"/>
      <c r="B177" s="22">
        <v>5</v>
      </c>
      <c r="C177" s="23" t="s">
        <v>340</v>
      </c>
      <c r="D177" s="54" t="s">
        <v>341</v>
      </c>
      <c r="E177" s="24" t="s">
        <v>331</v>
      </c>
      <c r="F177" s="24"/>
      <c r="G177" s="24"/>
      <c r="H177" s="24">
        <v>155000</v>
      </c>
      <c r="I177" s="24">
        <f>64000+12000</f>
        <v>76000</v>
      </c>
      <c r="J177" s="24"/>
      <c r="K177" s="24"/>
      <c r="L177" s="24"/>
      <c r="M177" s="25">
        <f t="shared" si="257"/>
        <v>231000</v>
      </c>
      <c r="N177" s="24"/>
      <c r="O177" s="24"/>
      <c r="P177" s="24"/>
      <c r="Q177" s="24"/>
      <c r="R177" s="24"/>
      <c r="S177" s="24"/>
      <c r="T177" s="24"/>
      <c r="U177" s="25">
        <f t="shared" si="258"/>
        <v>0</v>
      </c>
      <c r="V177" s="28"/>
      <c r="W177" s="28"/>
      <c r="X177" s="28"/>
      <c r="Y177" s="28"/>
      <c r="Z177" s="28"/>
      <c r="AA177" s="28"/>
      <c r="AB177" s="28"/>
      <c r="AC177" s="25">
        <f t="shared" si="259"/>
        <v>0</v>
      </c>
      <c r="AD177" s="28"/>
      <c r="AE177" s="47">
        <v>195000</v>
      </c>
      <c r="AF177" s="49">
        <v>377200</v>
      </c>
      <c r="AG177" s="49">
        <v>140000</v>
      </c>
      <c r="AH177" s="28"/>
      <c r="AI177" s="28"/>
      <c r="AJ177" s="28"/>
      <c r="AK177" s="29">
        <f t="shared" si="260"/>
        <v>712200</v>
      </c>
      <c r="AL177" s="47">
        <v>612500</v>
      </c>
      <c r="AM177" s="28">
        <f>56000+175000+189000+189000+126000</f>
        <v>735000</v>
      </c>
      <c r="AN177" s="28">
        <f>705600+126000+63000</f>
        <v>894600</v>
      </c>
      <c r="AO177" s="28">
        <v>756000</v>
      </c>
      <c r="AP177" s="29">
        <f t="shared" si="261"/>
        <v>2998100</v>
      </c>
      <c r="AQ177" s="47"/>
      <c r="AR177" s="28"/>
      <c r="AS177" s="28"/>
      <c r="AT177" s="28"/>
      <c r="AU177" s="29">
        <f t="shared" si="262"/>
        <v>0</v>
      </c>
      <c r="AV177" s="47"/>
      <c r="AW177" s="47">
        <v>100000</v>
      </c>
      <c r="AX177" s="47">
        <v>276000</v>
      </c>
      <c r="AY177" s="47"/>
      <c r="AZ177" s="28"/>
      <c r="BA177" s="28"/>
      <c r="BB177" s="28"/>
      <c r="BC177" s="29">
        <f t="shared" si="263"/>
        <v>376000</v>
      </c>
      <c r="BD177" s="24">
        <f t="shared" si="264"/>
        <v>0</v>
      </c>
      <c r="BE177" s="24">
        <f t="shared" si="264"/>
        <v>295000</v>
      </c>
      <c r="BF177" s="24">
        <f t="shared" si="264"/>
        <v>808200</v>
      </c>
      <c r="BG177" s="24">
        <f t="shared" si="265"/>
        <v>828500</v>
      </c>
      <c r="BH177" s="30">
        <f t="shared" si="265"/>
        <v>735000</v>
      </c>
      <c r="BI177" s="30">
        <f t="shared" si="265"/>
        <v>894600</v>
      </c>
      <c r="BJ177" s="30">
        <f t="shared" si="265"/>
        <v>756000</v>
      </c>
      <c r="BK177" s="25">
        <f t="shared" si="266"/>
        <v>4317300</v>
      </c>
    </row>
    <row r="178" spans="1:63" ht="47.25">
      <c r="A178" s="32"/>
      <c r="B178" s="22">
        <v>6</v>
      </c>
      <c r="C178" s="58" t="s">
        <v>342</v>
      </c>
      <c r="D178" s="76" t="s">
        <v>343</v>
      </c>
      <c r="E178" s="24" t="s">
        <v>331</v>
      </c>
      <c r="F178" s="24"/>
      <c r="G178" s="24"/>
      <c r="H178" s="24"/>
      <c r="I178" s="24"/>
      <c r="J178" s="24"/>
      <c r="K178" s="24"/>
      <c r="L178" s="24"/>
      <c r="M178" s="25">
        <f t="shared" si="257"/>
        <v>0</v>
      </c>
      <c r="N178" s="34"/>
      <c r="O178" s="34"/>
      <c r="P178" s="34">
        <v>290000</v>
      </c>
      <c r="Q178" s="34"/>
      <c r="R178" s="24"/>
      <c r="S178" s="24"/>
      <c r="T178" s="24">
        <v>875000</v>
      </c>
      <c r="U178" s="25">
        <f t="shared" si="258"/>
        <v>1165000</v>
      </c>
      <c r="V178" s="28"/>
      <c r="W178" s="28"/>
      <c r="X178" s="28"/>
      <c r="Y178" s="28"/>
      <c r="Z178" s="28"/>
      <c r="AA178" s="28"/>
      <c r="AB178" s="28"/>
      <c r="AC178" s="25">
        <f t="shared" si="259"/>
        <v>0</v>
      </c>
      <c r="AD178" s="28"/>
      <c r="AE178" s="47"/>
      <c r="AF178" s="49"/>
      <c r="AG178" s="49"/>
      <c r="AH178" s="28"/>
      <c r="AI178" s="28"/>
      <c r="AJ178" s="28"/>
      <c r="AK178" s="29">
        <f t="shared" si="260"/>
        <v>0</v>
      </c>
      <c r="AL178" s="47">
        <v>0</v>
      </c>
      <c r="AM178" s="28"/>
      <c r="AN178" s="28"/>
      <c r="AO178" s="28"/>
      <c r="AP178" s="29">
        <f t="shared" si="261"/>
        <v>0</v>
      </c>
      <c r="AQ178" s="47"/>
      <c r="AR178" s="28"/>
      <c r="AS178" s="28"/>
      <c r="AT178" s="28"/>
      <c r="AU178" s="29">
        <f t="shared" si="262"/>
        <v>0</v>
      </c>
      <c r="AV178" s="47"/>
      <c r="AW178" s="47"/>
      <c r="AX178" s="47"/>
      <c r="AY178" s="47"/>
      <c r="AZ178" s="28"/>
      <c r="BA178" s="28"/>
      <c r="BB178" s="28"/>
      <c r="BC178" s="29">
        <f t="shared" si="263"/>
        <v>0</v>
      </c>
      <c r="BD178" s="24">
        <f t="shared" si="264"/>
        <v>0</v>
      </c>
      <c r="BE178" s="24">
        <f t="shared" si="264"/>
        <v>0</v>
      </c>
      <c r="BF178" s="24">
        <f t="shared" si="264"/>
        <v>290000</v>
      </c>
      <c r="BG178" s="24">
        <f t="shared" si="265"/>
        <v>0</v>
      </c>
      <c r="BH178" s="30">
        <f t="shared" si="265"/>
        <v>0</v>
      </c>
      <c r="BI178" s="30">
        <f t="shared" si="265"/>
        <v>0</v>
      </c>
      <c r="BJ178" s="30">
        <f t="shared" si="265"/>
        <v>875000</v>
      </c>
      <c r="BK178" s="25">
        <f t="shared" si="266"/>
        <v>1165000</v>
      </c>
    </row>
    <row r="179" spans="1:63">
      <c r="A179" s="32"/>
      <c r="B179" s="22">
        <v>7</v>
      </c>
      <c r="C179" s="23" t="s">
        <v>344</v>
      </c>
      <c r="D179" s="54" t="s">
        <v>345</v>
      </c>
      <c r="E179" s="24" t="s">
        <v>331</v>
      </c>
      <c r="F179" s="24"/>
      <c r="G179" s="24">
        <v>155000</v>
      </c>
      <c r="H179" s="24"/>
      <c r="I179" s="24"/>
      <c r="J179" s="24"/>
      <c r="K179" s="24"/>
      <c r="L179" s="24"/>
      <c r="M179" s="25">
        <f t="shared" si="257"/>
        <v>155000</v>
      </c>
      <c r="N179" s="24"/>
      <c r="O179" s="24"/>
      <c r="P179" s="24"/>
      <c r="Q179" s="24"/>
      <c r="R179" s="24"/>
      <c r="S179" s="24"/>
      <c r="T179" s="24"/>
      <c r="U179" s="25">
        <f t="shared" si="258"/>
        <v>0</v>
      </c>
      <c r="V179" s="28"/>
      <c r="W179" s="28"/>
      <c r="X179" s="28"/>
      <c r="Y179" s="28"/>
      <c r="Z179" s="28"/>
      <c r="AA179" s="28"/>
      <c r="AB179" s="28"/>
      <c r="AC179" s="25">
        <f t="shared" si="259"/>
        <v>0</v>
      </c>
      <c r="AD179" s="28"/>
      <c r="AE179" s="28">
        <v>345350</v>
      </c>
      <c r="AF179" s="49">
        <v>155200</v>
      </c>
      <c r="AG179" s="49"/>
      <c r="AH179" s="28"/>
      <c r="AI179" s="28"/>
      <c r="AJ179" s="28">
        <v>291000</v>
      </c>
      <c r="AK179" s="29">
        <f t="shared" si="260"/>
        <v>791550</v>
      </c>
      <c r="AL179" s="47">
        <v>0</v>
      </c>
      <c r="AM179" s="28"/>
      <c r="AN179" s="28"/>
      <c r="AO179" s="28">
        <v>312000</v>
      </c>
      <c r="AP179" s="29">
        <f t="shared" si="261"/>
        <v>312000</v>
      </c>
      <c r="AQ179" s="47"/>
      <c r="AR179" s="28"/>
      <c r="AS179" s="28"/>
      <c r="AT179" s="28"/>
      <c r="AU179" s="29">
        <f t="shared" si="262"/>
        <v>0</v>
      </c>
      <c r="AV179" s="47"/>
      <c r="AW179" s="47"/>
      <c r="AX179" s="47"/>
      <c r="AY179" s="47"/>
      <c r="AZ179" s="28"/>
      <c r="BA179" s="28"/>
      <c r="BB179" s="28"/>
      <c r="BC179" s="29">
        <f t="shared" si="263"/>
        <v>0</v>
      </c>
      <c r="BD179" s="24">
        <f t="shared" si="264"/>
        <v>0</v>
      </c>
      <c r="BE179" s="24">
        <f t="shared" si="264"/>
        <v>500350</v>
      </c>
      <c r="BF179" s="24">
        <f t="shared" si="264"/>
        <v>155200</v>
      </c>
      <c r="BG179" s="24">
        <f t="shared" si="265"/>
        <v>0</v>
      </c>
      <c r="BH179" s="30">
        <f t="shared" si="265"/>
        <v>0</v>
      </c>
      <c r="BI179" s="30">
        <f t="shared" si="265"/>
        <v>0</v>
      </c>
      <c r="BJ179" s="30">
        <f t="shared" si="265"/>
        <v>603000</v>
      </c>
      <c r="BK179" s="25">
        <f t="shared" si="266"/>
        <v>1258550</v>
      </c>
    </row>
    <row r="180" spans="1:63">
      <c r="A180" s="32"/>
      <c r="B180" s="22">
        <v>8</v>
      </c>
      <c r="C180" s="23" t="s">
        <v>346</v>
      </c>
      <c r="D180" s="54" t="s">
        <v>337</v>
      </c>
      <c r="E180" s="24" t="s">
        <v>331</v>
      </c>
      <c r="F180" s="24"/>
      <c r="G180" s="24">
        <v>255000</v>
      </c>
      <c r="H180" s="24">
        <f>52000+60500+209000+77000</f>
        <v>398500</v>
      </c>
      <c r="I180" s="24">
        <f>140000+20000</f>
        <v>160000</v>
      </c>
      <c r="J180" s="24"/>
      <c r="K180" s="24"/>
      <c r="L180" s="24"/>
      <c r="M180" s="25">
        <f t="shared" si="257"/>
        <v>813500</v>
      </c>
      <c r="N180" s="24"/>
      <c r="O180" s="24"/>
      <c r="P180" s="24"/>
      <c r="Q180" s="24"/>
      <c r="R180" s="24"/>
      <c r="S180" s="24"/>
      <c r="T180" s="24"/>
      <c r="U180" s="25">
        <f t="shared" si="258"/>
        <v>0</v>
      </c>
      <c r="V180" s="28"/>
      <c r="W180" s="28"/>
      <c r="X180" s="28"/>
      <c r="Y180" s="28"/>
      <c r="Z180" s="28"/>
      <c r="AA180" s="28"/>
      <c r="AB180" s="28"/>
      <c r="AC180" s="25">
        <f t="shared" si="259"/>
        <v>0</v>
      </c>
      <c r="AD180" s="28"/>
      <c r="AE180" s="47">
        <v>392250</v>
      </c>
      <c r="AF180" s="49">
        <v>664450</v>
      </c>
      <c r="AG180" s="49">
        <v>270000</v>
      </c>
      <c r="AH180" s="28"/>
      <c r="AI180" s="28"/>
      <c r="AJ180" s="28"/>
      <c r="AK180" s="29">
        <f t="shared" si="260"/>
        <v>1326700</v>
      </c>
      <c r="AL180" s="47">
        <v>1155000</v>
      </c>
      <c r="AM180" s="28">
        <f>105000+315000+315000+315000+210000</f>
        <v>1260000</v>
      </c>
      <c r="AN180" s="28">
        <f>1364000+312000+156000</f>
        <v>1832000</v>
      </c>
      <c r="AO180" s="28">
        <v>1872000</v>
      </c>
      <c r="AP180" s="29">
        <f t="shared" si="261"/>
        <v>6119000</v>
      </c>
      <c r="AQ180" s="47"/>
      <c r="AR180" s="28"/>
      <c r="AS180" s="28"/>
      <c r="AT180" s="28"/>
      <c r="AU180" s="29">
        <f t="shared" si="262"/>
        <v>0</v>
      </c>
      <c r="AV180" s="47"/>
      <c r="AW180" s="47">
        <v>100000</v>
      </c>
      <c r="AX180" s="47">
        <v>276000</v>
      </c>
      <c r="AY180" s="47"/>
      <c r="AZ180" s="28"/>
      <c r="BA180" s="28"/>
      <c r="BB180" s="28"/>
      <c r="BC180" s="29">
        <f t="shared" si="263"/>
        <v>376000</v>
      </c>
      <c r="BD180" s="24">
        <f t="shared" si="264"/>
        <v>0</v>
      </c>
      <c r="BE180" s="24">
        <f t="shared" si="264"/>
        <v>747250</v>
      </c>
      <c r="BF180" s="24">
        <f t="shared" si="264"/>
        <v>1338950</v>
      </c>
      <c r="BG180" s="24">
        <f t="shared" si="265"/>
        <v>1585000</v>
      </c>
      <c r="BH180" s="30">
        <f t="shared" si="265"/>
        <v>1260000</v>
      </c>
      <c r="BI180" s="30">
        <f t="shared" si="265"/>
        <v>1832000</v>
      </c>
      <c r="BJ180" s="30">
        <f t="shared" si="265"/>
        <v>1872000</v>
      </c>
      <c r="BK180" s="25">
        <f t="shared" si="266"/>
        <v>8635200</v>
      </c>
    </row>
    <row r="181" spans="1:63" ht="47.25">
      <c r="A181" s="32"/>
      <c r="B181" s="22">
        <v>9</v>
      </c>
      <c r="C181" s="23" t="s">
        <v>347</v>
      </c>
      <c r="D181" s="54" t="s">
        <v>348</v>
      </c>
      <c r="E181" s="24" t="s">
        <v>331</v>
      </c>
      <c r="F181" s="24">
        <v>155000</v>
      </c>
      <c r="G181" s="24">
        <v>137500</v>
      </c>
      <c r="H181" s="24">
        <f>115500+38500+44000+33000</f>
        <v>231000</v>
      </c>
      <c r="I181" s="24"/>
      <c r="J181" s="24"/>
      <c r="K181" s="24"/>
      <c r="L181" s="24"/>
      <c r="M181" s="25">
        <f t="shared" si="257"/>
        <v>523500</v>
      </c>
      <c r="N181" s="24"/>
      <c r="O181" s="24"/>
      <c r="P181" s="24"/>
      <c r="Q181" s="24"/>
      <c r="R181" s="24"/>
      <c r="S181" s="24"/>
      <c r="T181" s="24"/>
      <c r="U181" s="25">
        <f t="shared" si="258"/>
        <v>0</v>
      </c>
      <c r="V181" s="28">
        <v>290000</v>
      </c>
      <c r="W181" s="28"/>
      <c r="X181" s="24">
        <v>1218000</v>
      </c>
      <c r="Y181" s="48"/>
      <c r="Z181" s="48"/>
      <c r="AA181" s="48"/>
      <c r="AB181" s="48">
        <f>540000+630000+210000</f>
        <v>1380000</v>
      </c>
      <c r="AC181" s="25">
        <f t="shared" si="259"/>
        <v>2888000</v>
      </c>
      <c r="AD181" s="28">
        <v>195000</v>
      </c>
      <c r="AE181" s="47">
        <v>359450</v>
      </c>
      <c r="AF181" s="49">
        <v>55200</v>
      </c>
      <c r="AG181" s="49"/>
      <c r="AH181" s="28"/>
      <c r="AI181" s="28"/>
      <c r="AJ181" s="28"/>
      <c r="AK181" s="29">
        <f t="shared" si="260"/>
        <v>609650</v>
      </c>
      <c r="AL181" s="47">
        <v>0</v>
      </c>
      <c r="AM181" s="28"/>
      <c r="AN181" s="28"/>
      <c r="AO181" s="28"/>
      <c r="AP181" s="29">
        <f t="shared" si="261"/>
        <v>0</v>
      </c>
      <c r="AQ181" s="47"/>
      <c r="AR181" s="28"/>
      <c r="AS181" s="28"/>
      <c r="AT181" s="28"/>
      <c r="AU181" s="29">
        <f t="shared" si="262"/>
        <v>0</v>
      </c>
      <c r="AV181" s="47"/>
      <c r="AW181" s="47"/>
      <c r="AX181" s="47"/>
      <c r="AY181" s="47"/>
      <c r="AZ181" s="28"/>
      <c r="BA181" s="28"/>
      <c r="BB181" s="28"/>
      <c r="BC181" s="29">
        <f t="shared" si="263"/>
        <v>0</v>
      </c>
      <c r="BD181" s="24">
        <f t="shared" si="264"/>
        <v>640000</v>
      </c>
      <c r="BE181" s="24">
        <f t="shared" si="264"/>
        <v>496950</v>
      </c>
      <c r="BF181" s="24">
        <f t="shared" si="264"/>
        <v>1504200</v>
      </c>
      <c r="BG181" s="24">
        <f t="shared" si="265"/>
        <v>0</v>
      </c>
      <c r="BH181" s="30">
        <f t="shared" si="265"/>
        <v>0</v>
      </c>
      <c r="BI181" s="30">
        <f t="shared" si="265"/>
        <v>0</v>
      </c>
      <c r="BJ181" s="30">
        <f t="shared" si="265"/>
        <v>1380000</v>
      </c>
      <c r="BK181" s="25">
        <f t="shared" si="266"/>
        <v>4021150</v>
      </c>
    </row>
    <row r="182" spans="1:63">
      <c r="A182" s="32"/>
      <c r="B182" s="22">
        <v>10</v>
      </c>
      <c r="C182" s="23" t="s">
        <v>349</v>
      </c>
      <c r="D182" s="54" t="s">
        <v>339</v>
      </c>
      <c r="E182" s="24" t="s">
        <v>331</v>
      </c>
      <c r="F182" s="24"/>
      <c r="G182" s="24"/>
      <c r="H182" s="24"/>
      <c r="I182" s="24"/>
      <c r="J182" s="24"/>
      <c r="K182" s="24"/>
      <c r="L182" s="24"/>
      <c r="M182" s="25">
        <f t="shared" si="257"/>
        <v>0</v>
      </c>
      <c r="N182" s="24"/>
      <c r="O182" s="24"/>
      <c r="P182" s="24"/>
      <c r="Q182" s="24"/>
      <c r="R182" s="24"/>
      <c r="S182" s="24"/>
      <c r="T182" s="24"/>
      <c r="U182" s="25">
        <f t="shared" si="258"/>
        <v>0</v>
      </c>
      <c r="V182" s="28">
        <v>290000</v>
      </c>
      <c r="W182" s="28"/>
      <c r="X182" s="24">
        <v>252000</v>
      </c>
      <c r="Y182" s="48"/>
      <c r="Z182" s="48"/>
      <c r="AA182" s="48"/>
      <c r="AB182" s="48"/>
      <c r="AC182" s="25">
        <f t="shared" si="259"/>
        <v>542000</v>
      </c>
      <c r="AD182" s="28"/>
      <c r="AE182" s="47"/>
      <c r="AF182" s="49"/>
      <c r="AG182" s="49"/>
      <c r="AH182" s="28"/>
      <c r="AI182" s="28"/>
      <c r="AJ182" s="28"/>
      <c r="AK182" s="29">
        <f t="shared" si="260"/>
        <v>0</v>
      </c>
      <c r="AL182" s="47">
        <v>0</v>
      </c>
      <c r="AM182" s="28"/>
      <c r="AN182" s="28"/>
      <c r="AO182" s="28"/>
      <c r="AP182" s="29">
        <f t="shared" si="261"/>
        <v>0</v>
      </c>
      <c r="AQ182" s="47"/>
      <c r="AR182" s="28"/>
      <c r="AS182" s="28"/>
      <c r="AT182" s="28"/>
      <c r="AU182" s="29">
        <f t="shared" si="262"/>
        <v>0</v>
      </c>
      <c r="AV182" s="47"/>
      <c r="AW182" s="47"/>
      <c r="AX182" s="47"/>
      <c r="AY182" s="47"/>
      <c r="AZ182" s="28"/>
      <c r="BA182" s="28"/>
      <c r="BB182" s="28"/>
      <c r="BC182" s="29">
        <f t="shared" si="263"/>
        <v>0</v>
      </c>
      <c r="BD182" s="24">
        <f t="shared" si="264"/>
        <v>290000</v>
      </c>
      <c r="BE182" s="24">
        <f t="shared" si="264"/>
        <v>0</v>
      </c>
      <c r="BF182" s="24">
        <f t="shared" si="264"/>
        <v>252000</v>
      </c>
      <c r="BG182" s="24">
        <f t="shared" si="265"/>
        <v>0</v>
      </c>
      <c r="BH182" s="30">
        <f t="shared" si="265"/>
        <v>0</v>
      </c>
      <c r="BI182" s="30">
        <f t="shared" si="265"/>
        <v>0</v>
      </c>
      <c r="BJ182" s="30">
        <f t="shared" si="265"/>
        <v>0</v>
      </c>
      <c r="BK182" s="25">
        <f t="shared" si="266"/>
        <v>542000</v>
      </c>
    </row>
    <row r="183" spans="1:63">
      <c r="A183" s="32"/>
      <c r="B183" s="22">
        <v>11</v>
      </c>
      <c r="C183" s="23" t="s">
        <v>350</v>
      </c>
      <c r="D183" s="75" t="s">
        <v>351</v>
      </c>
      <c r="E183" s="24" t="s">
        <v>331</v>
      </c>
      <c r="F183" s="24"/>
      <c r="G183" s="24"/>
      <c r="H183" s="24"/>
      <c r="I183" s="24"/>
      <c r="J183" s="24"/>
      <c r="K183" s="24"/>
      <c r="L183" s="24"/>
      <c r="M183" s="25">
        <f t="shared" si="257"/>
        <v>0</v>
      </c>
      <c r="N183" s="24"/>
      <c r="O183" s="24"/>
      <c r="P183" s="24"/>
      <c r="Q183" s="24"/>
      <c r="R183" s="24"/>
      <c r="S183" s="24"/>
      <c r="T183" s="24"/>
      <c r="U183" s="25">
        <f t="shared" si="258"/>
        <v>0</v>
      </c>
      <c r="V183" s="28">
        <v>290000</v>
      </c>
      <c r="W183" s="48">
        <v>931000</v>
      </c>
      <c r="X183" s="24">
        <v>112000</v>
      </c>
      <c r="Y183" s="77">
        <v>720000</v>
      </c>
      <c r="Z183" s="77">
        <f>1125000+225000+225000+150000</f>
        <v>1725000</v>
      </c>
      <c r="AA183" s="77">
        <f>1244000+560000</f>
        <v>1804000</v>
      </c>
      <c r="AB183" s="77">
        <f>420000+420000+140000+140000+280000+140000</f>
        <v>1540000</v>
      </c>
      <c r="AC183" s="25">
        <f t="shared" si="259"/>
        <v>7122000</v>
      </c>
      <c r="AD183" s="28">
        <v>195000</v>
      </c>
      <c r="AE183" s="47">
        <v>557300</v>
      </c>
      <c r="AF183" s="49">
        <v>216700</v>
      </c>
      <c r="AG183" s="49">
        <v>96000</v>
      </c>
      <c r="AH183" s="28"/>
      <c r="AI183" s="28"/>
      <c r="AJ183" s="28"/>
      <c r="AK183" s="29">
        <f t="shared" si="260"/>
        <v>1065000</v>
      </c>
      <c r="AL183" s="47">
        <v>0</v>
      </c>
      <c r="AM183" s="28"/>
      <c r="AN183" s="28"/>
      <c r="AO183" s="28"/>
      <c r="AP183" s="29">
        <f t="shared" si="261"/>
        <v>0</v>
      </c>
      <c r="AQ183" s="47"/>
      <c r="AR183" s="28"/>
      <c r="AS183" s="28"/>
      <c r="AT183" s="28"/>
      <c r="AU183" s="29">
        <f t="shared" si="262"/>
        <v>0</v>
      </c>
      <c r="AV183" s="47"/>
      <c r="AW183" s="47"/>
      <c r="AX183" s="47"/>
      <c r="AY183" s="47"/>
      <c r="AZ183" s="28"/>
      <c r="BA183" s="28"/>
      <c r="BB183" s="28"/>
      <c r="BC183" s="29">
        <f t="shared" si="263"/>
        <v>0</v>
      </c>
      <c r="BD183" s="24">
        <f t="shared" si="264"/>
        <v>485000</v>
      </c>
      <c r="BE183" s="24">
        <f t="shared" si="264"/>
        <v>1488300</v>
      </c>
      <c r="BF183" s="24">
        <f t="shared" si="264"/>
        <v>328700</v>
      </c>
      <c r="BG183" s="24">
        <f t="shared" si="265"/>
        <v>816000</v>
      </c>
      <c r="BH183" s="30">
        <f t="shared" si="265"/>
        <v>1725000</v>
      </c>
      <c r="BI183" s="30">
        <f t="shared" si="265"/>
        <v>1804000</v>
      </c>
      <c r="BJ183" s="30">
        <f t="shared" si="265"/>
        <v>1540000</v>
      </c>
      <c r="BK183" s="25">
        <f t="shared" si="266"/>
        <v>8187000</v>
      </c>
    </row>
    <row r="184" spans="1:63">
      <c r="A184" s="32"/>
      <c r="B184" s="22">
        <v>12</v>
      </c>
      <c r="C184" s="23" t="s">
        <v>352</v>
      </c>
      <c r="D184" s="54" t="s">
        <v>337</v>
      </c>
      <c r="E184" s="24" t="s">
        <v>331</v>
      </c>
      <c r="F184" s="24"/>
      <c r="G184" s="24">
        <v>155000</v>
      </c>
      <c r="H184" s="24">
        <f>155000+64000+60000</f>
        <v>279000</v>
      </c>
      <c r="I184" s="24">
        <f>80000+20000</f>
        <v>100000</v>
      </c>
      <c r="J184" s="24"/>
      <c r="K184" s="24"/>
      <c r="L184" s="24"/>
      <c r="M184" s="25">
        <f t="shared" si="257"/>
        <v>534000</v>
      </c>
      <c r="N184" s="24"/>
      <c r="O184" s="24"/>
      <c r="P184" s="24"/>
      <c r="Q184" s="24"/>
      <c r="R184" s="24"/>
      <c r="S184" s="24"/>
      <c r="T184" s="24"/>
      <c r="U184" s="25">
        <f t="shared" si="258"/>
        <v>0</v>
      </c>
      <c r="V184" s="28"/>
      <c r="W184" s="28"/>
      <c r="X184" s="24"/>
      <c r="Y184" s="28"/>
      <c r="Z184" s="28"/>
      <c r="AA184" s="28"/>
      <c r="AB184" s="28"/>
      <c r="AC184" s="25">
        <f t="shared" si="259"/>
        <v>0</v>
      </c>
      <c r="AD184" s="28"/>
      <c r="AE184" s="28">
        <v>258750</v>
      </c>
      <c r="AF184" s="49">
        <v>388150</v>
      </c>
      <c r="AG184" s="49">
        <v>150000</v>
      </c>
      <c r="AH184" s="28"/>
      <c r="AI184" s="28"/>
      <c r="AJ184" s="28"/>
      <c r="AK184" s="29">
        <f t="shared" si="260"/>
        <v>796900</v>
      </c>
      <c r="AL184" s="47">
        <v>945000</v>
      </c>
      <c r="AM184" s="28">
        <f>294000+315000+315000+315000+210000</f>
        <v>1449000</v>
      </c>
      <c r="AN184" s="28">
        <f>1379000+296000+148000</f>
        <v>1823000</v>
      </c>
      <c r="AO184" s="28">
        <v>1840000</v>
      </c>
      <c r="AP184" s="29">
        <f t="shared" si="261"/>
        <v>6057000</v>
      </c>
      <c r="AQ184" s="47"/>
      <c r="AR184" s="28"/>
      <c r="AS184" s="28"/>
      <c r="AT184" s="28"/>
      <c r="AU184" s="29">
        <f t="shared" si="262"/>
        <v>0</v>
      </c>
      <c r="AV184" s="47"/>
      <c r="AW184" s="47"/>
      <c r="AX184" s="47"/>
      <c r="AY184" s="47"/>
      <c r="AZ184" s="28"/>
      <c r="BA184" s="28"/>
      <c r="BB184" s="28"/>
      <c r="BC184" s="29">
        <f t="shared" si="263"/>
        <v>0</v>
      </c>
      <c r="BD184" s="24">
        <f t="shared" si="264"/>
        <v>0</v>
      </c>
      <c r="BE184" s="24">
        <f t="shared" si="264"/>
        <v>413750</v>
      </c>
      <c r="BF184" s="24">
        <f t="shared" si="264"/>
        <v>667150</v>
      </c>
      <c r="BG184" s="24">
        <f t="shared" si="265"/>
        <v>1195000</v>
      </c>
      <c r="BH184" s="30">
        <f t="shared" si="265"/>
        <v>1449000</v>
      </c>
      <c r="BI184" s="30">
        <f t="shared" si="265"/>
        <v>1823000</v>
      </c>
      <c r="BJ184" s="30">
        <f t="shared" si="265"/>
        <v>1840000</v>
      </c>
      <c r="BK184" s="25">
        <f t="shared" si="266"/>
        <v>7387900</v>
      </c>
    </row>
    <row r="185" spans="1:63">
      <c r="A185" s="32"/>
      <c r="B185" s="22">
        <v>13</v>
      </c>
      <c r="C185" s="23" t="s">
        <v>353</v>
      </c>
      <c r="D185" s="54" t="s">
        <v>354</v>
      </c>
      <c r="E185" s="24" t="s">
        <v>331</v>
      </c>
      <c r="F185" s="24">
        <v>155000</v>
      </c>
      <c r="G185" s="24">
        <v>1039000</v>
      </c>
      <c r="H185" s="24">
        <f>220000+297000+80000</f>
        <v>597000</v>
      </c>
      <c r="I185" s="24">
        <f>60000+40000</f>
        <v>100000</v>
      </c>
      <c r="J185" s="24"/>
      <c r="K185" s="24"/>
      <c r="L185" s="24"/>
      <c r="M185" s="25">
        <f t="shared" si="257"/>
        <v>1891000</v>
      </c>
      <c r="N185" s="34"/>
      <c r="O185" s="34">
        <v>1010000</v>
      </c>
      <c r="P185" s="34">
        <v>1670000</v>
      </c>
      <c r="Q185" s="34">
        <v>250000</v>
      </c>
      <c r="R185" s="24"/>
      <c r="S185" s="24"/>
      <c r="T185" s="24"/>
      <c r="U185" s="25">
        <f t="shared" si="258"/>
        <v>2930000</v>
      </c>
      <c r="V185" s="28"/>
      <c r="W185" s="48">
        <v>899000</v>
      </c>
      <c r="X185" s="24">
        <v>870000</v>
      </c>
      <c r="Y185" s="78">
        <v>300000</v>
      </c>
      <c r="Z185" s="78"/>
      <c r="AA185" s="78"/>
      <c r="AB185" s="78"/>
      <c r="AC185" s="25">
        <f t="shared" si="259"/>
        <v>2069000</v>
      </c>
      <c r="AD185" s="28">
        <v>195000</v>
      </c>
      <c r="AE185" s="47">
        <v>1164700</v>
      </c>
      <c r="AF185" s="49">
        <v>483750</v>
      </c>
      <c r="AG185" s="49">
        <v>150000</v>
      </c>
      <c r="AH185" s="28"/>
      <c r="AI185" s="28"/>
      <c r="AJ185" s="28"/>
      <c r="AK185" s="29">
        <f t="shared" si="260"/>
        <v>1993450</v>
      </c>
      <c r="AL185" s="47">
        <v>0</v>
      </c>
      <c r="AM185" s="28"/>
      <c r="AN185" s="28"/>
      <c r="AO185" s="28"/>
      <c r="AP185" s="29">
        <f t="shared" si="261"/>
        <v>0</v>
      </c>
      <c r="AQ185" s="49">
        <v>900000</v>
      </c>
      <c r="AR185" s="28">
        <f>300000+300000+300000+300000+200000</f>
        <v>1400000</v>
      </c>
      <c r="AS185" s="28">
        <f>1970000+765000</f>
        <v>2735000</v>
      </c>
      <c r="AT185" s="28">
        <f>255000+765000+510000+255000+255000+510000+255000</f>
        <v>2805000</v>
      </c>
      <c r="AU185" s="29">
        <f t="shared" si="262"/>
        <v>7840000</v>
      </c>
      <c r="AV185" s="47"/>
      <c r="AW185" s="49">
        <f>100000+276000</f>
        <v>376000</v>
      </c>
      <c r="AX185" s="47"/>
      <c r="AY185" s="47"/>
      <c r="AZ185" s="28"/>
      <c r="BA185" s="28"/>
      <c r="BB185" s="28"/>
      <c r="BC185" s="29">
        <f t="shared" si="263"/>
        <v>376000</v>
      </c>
      <c r="BD185" s="24">
        <f t="shared" si="264"/>
        <v>350000</v>
      </c>
      <c r="BE185" s="24">
        <f t="shared" si="264"/>
        <v>4488700</v>
      </c>
      <c r="BF185" s="24">
        <f t="shared" si="264"/>
        <v>3620750</v>
      </c>
      <c r="BG185" s="24">
        <f t="shared" si="265"/>
        <v>1700000</v>
      </c>
      <c r="BH185" s="30">
        <f t="shared" si="265"/>
        <v>1400000</v>
      </c>
      <c r="BI185" s="30">
        <f t="shared" si="265"/>
        <v>2735000</v>
      </c>
      <c r="BJ185" s="30">
        <f t="shared" si="265"/>
        <v>2805000</v>
      </c>
      <c r="BK185" s="25">
        <f t="shared" si="266"/>
        <v>17099450</v>
      </c>
    </row>
    <row r="186" spans="1:63" ht="31.5">
      <c r="A186" s="32"/>
      <c r="B186" s="22">
        <v>14</v>
      </c>
      <c r="C186" s="23" t="s">
        <v>355</v>
      </c>
      <c r="D186" s="36" t="s">
        <v>356</v>
      </c>
      <c r="E186" s="24" t="s">
        <v>331</v>
      </c>
      <c r="F186" s="24"/>
      <c r="G186" s="24"/>
      <c r="H186" s="24"/>
      <c r="I186" s="24"/>
      <c r="J186" s="24"/>
      <c r="K186" s="24"/>
      <c r="L186" s="24"/>
      <c r="M186" s="25">
        <f t="shared" si="257"/>
        <v>0</v>
      </c>
      <c r="N186" s="24"/>
      <c r="O186" s="24"/>
      <c r="P186" s="24"/>
      <c r="Q186" s="24"/>
      <c r="R186" s="24"/>
      <c r="S186" s="24"/>
      <c r="T186" s="24"/>
      <c r="U186" s="25">
        <f t="shared" si="258"/>
        <v>0</v>
      </c>
      <c r="V186" s="28"/>
      <c r="W186" s="28"/>
      <c r="X186" s="24"/>
      <c r="Y186" s="28"/>
      <c r="Z186" s="28"/>
      <c r="AA186" s="28"/>
      <c r="AB186" s="28"/>
      <c r="AC186" s="25">
        <f t="shared" si="259"/>
        <v>0</v>
      </c>
      <c r="AD186" s="28"/>
      <c r="AE186" s="47">
        <v>195000</v>
      </c>
      <c r="AF186" s="49">
        <v>275000</v>
      </c>
      <c r="AG186" s="49">
        <v>1010000</v>
      </c>
      <c r="AH186" s="28">
        <f>70000+210000+210000+210000+140000</f>
        <v>840000</v>
      </c>
      <c r="AI186" s="28">
        <f>797050+195500+99700</f>
        <v>1092250</v>
      </c>
      <c r="AJ186" s="28">
        <v>1444850</v>
      </c>
      <c r="AK186" s="29">
        <f t="shared" si="260"/>
        <v>4857100</v>
      </c>
      <c r="AL186" s="47">
        <v>0</v>
      </c>
      <c r="AM186" s="28"/>
      <c r="AN186" s="28"/>
      <c r="AO186" s="28"/>
      <c r="AP186" s="29">
        <f t="shared" si="261"/>
        <v>0</v>
      </c>
      <c r="AQ186" s="47"/>
      <c r="AR186" s="28"/>
      <c r="AS186" s="28"/>
      <c r="AT186" s="28"/>
      <c r="AU186" s="29">
        <f t="shared" si="262"/>
        <v>0</v>
      </c>
      <c r="AV186" s="47"/>
      <c r="AW186" s="47">
        <v>100000</v>
      </c>
      <c r="AX186" s="47">
        <v>239200</v>
      </c>
      <c r="AY186" s="47"/>
      <c r="AZ186" s="28"/>
      <c r="BA186" s="28"/>
      <c r="BB186" s="28"/>
      <c r="BC186" s="29">
        <f t="shared" si="263"/>
        <v>339200</v>
      </c>
      <c r="BD186" s="24">
        <f t="shared" si="264"/>
        <v>0</v>
      </c>
      <c r="BE186" s="24">
        <f t="shared" si="264"/>
        <v>295000</v>
      </c>
      <c r="BF186" s="24">
        <f t="shared" si="264"/>
        <v>514200</v>
      </c>
      <c r="BG186" s="24">
        <f t="shared" si="265"/>
        <v>1010000</v>
      </c>
      <c r="BH186" s="30">
        <f t="shared" si="265"/>
        <v>840000</v>
      </c>
      <c r="BI186" s="30">
        <f t="shared" si="265"/>
        <v>1092250</v>
      </c>
      <c r="BJ186" s="30">
        <f t="shared" si="265"/>
        <v>1444850</v>
      </c>
      <c r="BK186" s="25">
        <f t="shared" si="266"/>
        <v>5196300</v>
      </c>
    </row>
    <row r="187" spans="1:63">
      <c r="A187" s="32"/>
      <c r="B187" s="22">
        <v>15</v>
      </c>
      <c r="C187" s="23" t="s">
        <v>357</v>
      </c>
      <c r="D187" s="24" t="s">
        <v>358</v>
      </c>
      <c r="E187" s="24" t="s">
        <v>331</v>
      </c>
      <c r="F187" s="24"/>
      <c r="G187" s="24">
        <v>741983</v>
      </c>
      <c r="H187" s="24">
        <f>88000+110000+220000</f>
        <v>418000</v>
      </c>
      <c r="I187" s="24"/>
      <c r="J187" s="24"/>
      <c r="K187" s="24"/>
      <c r="L187" s="24">
        <v>180000</v>
      </c>
      <c r="M187" s="25">
        <f t="shared" si="257"/>
        <v>1339983</v>
      </c>
      <c r="N187" s="24"/>
      <c r="O187" s="24"/>
      <c r="P187" s="24"/>
      <c r="Q187" s="24"/>
      <c r="R187" s="24"/>
      <c r="S187" s="24"/>
      <c r="T187" s="24"/>
      <c r="U187" s="25">
        <f t="shared" si="258"/>
        <v>0</v>
      </c>
      <c r="V187" s="28"/>
      <c r="W187" s="48">
        <v>1078065</v>
      </c>
      <c r="X187" s="24">
        <v>2130000</v>
      </c>
      <c r="Y187" s="78"/>
      <c r="Z187" s="78"/>
      <c r="AA187" s="78"/>
      <c r="AB187" s="78">
        <v>300000</v>
      </c>
      <c r="AC187" s="25">
        <f t="shared" si="259"/>
        <v>3508065</v>
      </c>
      <c r="AD187" s="28"/>
      <c r="AE187" s="47">
        <v>1012650</v>
      </c>
      <c r="AF187" s="49">
        <v>477000</v>
      </c>
      <c r="AG187" s="49"/>
      <c r="AH187" s="28"/>
      <c r="AI187" s="28"/>
      <c r="AJ187" s="28">
        <v>270000</v>
      </c>
      <c r="AK187" s="29">
        <f t="shared" si="260"/>
        <v>1759650</v>
      </c>
      <c r="AL187" s="47">
        <v>0</v>
      </c>
      <c r="AM187" s="28"/>
      <c r="AN187" s="28"/>
      <c r="AO187" s="28"/>
      <c r="AP187" s="29">
        <f t="shared" si="261"/>
        <v>0</v>
      </c>
      <c r="AQ187" s="47"/>
      <c r="AR187" s="28"/>
      <c r="AS187" s="28"/>
      <c r="AT187" s="28"/>
      <c r="AU187" s="29">
        <f t="shared" si="262"/>
        <v>0</v>
      </c>
      <c r="AV187" s="47"/>
      <c r="AW187" s="47"/>
      <c r="AX187" s="47"/>
      <c r="AY187" s="47"/>
      <c r="AZ187" s="28"/>
      <c r="BA187" s="28"/>
      <c r="BB187" s="28"/>
      <c r="BC187" s="29">
        <f t="shared" si="263"/>
        <v>0</v>
      </c>
      <c r="BD187" s="24">
        <f t="shared" si="264"/>
        <v>0</v>
      </c>
      <c r="BE187" s="24">
        <f t="shared" si="264"/>
        <v>2832698</v>
      </c>
      <c r="BF187" s="24">
        <f t="shared" si="264"/>
        <v>3025000</v>
      </c>
      <c r="BG187" s="24">
        <f t="shared" si="265"/>
        <v>0</v>
      </c>
      <c r="BH187" s="30">
        <f t="shared" si="265"/>
        <v>0</v>
      </c>
      <c r="BI187" s="30">
        <f t="shared" si="265"/>
        <v>0</v>
      </c>
      <c r="BJ187" s="30">
        <f t="shared" si="265"/>
        <v>750000</v>
      </c>
      <c r="BK187" s="25">
        <f t="shared" si="266"/>
        <v>6607698</v>
      </c>
    </row>
    <row r="188" spans="1:63">
      <c r="A188" s="32"/>
      <c r="B188" s="22">
        <v>16</v>
      </c>
      <c r="C188" s="23" t="s">
        <v>359</v>
      </c>
      <c r="D188" s="24" t="s">
        <v>360</v>
      </c>
      <c r="E188" s="24" t="s">
        <v>331</v>
      </c>
      <c r="F188" s="24"/>
      <c r="G188" s="24">
        <v>155000</v>
      </c>
      <c r="H188" s="24"/>
      <c r="I188" s="24"/>
      <c r="J188" s="24"/>
      <c r="K188" s="24"/>
      <c r="L188" s="24"/>
      <c r="M188" s="25">
        <f t="shared" si="257"/>
        <v>155000</v>
      </c>
      <c r="N188" s="24"/>
      <c r="O188" s="24"/>
      <c r="P188" s="24"/>
      <c r="Q188" s="24"/>
      <c r="R188" s="24"/>
      <c r="S188" s="24"/>
      <c r="T188" s="24"/>
      <c r="U188" s="25">
        <f t="shared" si="258"/>
        <v>0</v>
      </c>
      <c r="V188" s="28"/>
      <c r="W188" s="28"/>
      <c r="X188" s="28"/>
      <c r="Y188" s="28"/>
      <c r="Z188" s="28"/>
      <c r="AA188" s="28"/>
      <c r="AB188" s="28"/>
      <c r="AC188" s="25">
        <f t="shared" si="259"/>
        <v>0</v>
      </c>
      <c r="AD188" s="28"/>
      <c r="AE188" s="47">
        <v>841750</v>
      </c>
      <c r="AF188" s="28"/>
      <c r="AG188" s="28"/>
      <c r="AH188" s="28"/>
      <c r="AI188" s="28"/>
      <c r="AJ188" s="28"/>
      <c r="AK188" s="29">
        <f t="shared" si="260"/>
        <v>841750</v>
      </c>
      <c r="AL188" s="47">
        <v>0</v>
      </c>
      <c r="AM188" s="28"/>
      <c r="AN188" s="28"/>
      <c r="AO188" s="28"/>
      <c r="AP188" s="29">
        <f t="shared" si="261"/>
        <v>0</v>
      </c>
      <c r="AQ188" s="47"/>
      <c r="AR188" s="28"/>
      <c r="AS188" s="28"/>
      <c r="AT188" s="28"/>
      <c r="AU188" s="29">
        <f t="shared" si="262"/>
        <v>0</v>
      </c>
      <c r="AV188" s="47"/>
      <c r="AW188" s="47">
        <v>100000</v>
      </c>
      <c r="AX188" s="47"/>
      <c r="AY188" s="47"/>
      <c r="AZ188" s="28"/>
      <c r="BA188" s="28"/>
      <c r="BB188" s="28"/>
      <c r="BC188" s="29">
        <f t="shared" si="263"/>
        <v>100000</v>
      </c>
      <c r="BD188" s="24">
        <f t="shared" si="264"/>
        <v>0</v>
      </c>
      <c r="BE188" s="24">
        <f t="shared" si="264"/>
        <v>1096750</v>
      </c>
      <c r="BF188" s="24">
        <f t="shared" si="264"/>
        <v>0</v>
      </c>
      <c r="BG188" s="24">
        <f t="shared" si="265"/>
        <v>0</v>
      </c>
      <c r="BH188" s="30">
        <f t="shared" si="265"/>
        <v>0</v>
      </c>
      <c r="BI188" s="30">
        <f t="shared" si="265"/>
        <v>0</v>
      </c>
      <c r="BJ188" s="30">
        <f t="shared" si="265"/>
        <v>0</v>
      </c>
      <c r="BK188" s="25">
        <f t="shared" si="266"/>
        <v>1096750</v>
      </c>
    </row>
    <row r="189" spans="1:63">
      <c r="A189" s="32"/>
      <c r="B189" s="22">
        <v>17</v>
      </c>
      <c r="C189" s="23" t="s">
        <v>361</v>
      </c>
      <c r="D189" s="24" t="s">
        <v>339</v>
      </c>
      <c r="E189" s="24" t="s">
        <v>331</v>
      </c>
      <c r="F189" s="24">
        <v>155000</v>
      </c>
      <c r="G189" s="24">
        <v>412000</v>
      </c>
      <c r="H189" s="24">
        <f>38500+209000</f>
        <v>247500</v>
      </c>
      <c r="I189" s="24"/>
      <c r="J189" s="24"/>
      <c r="K189" s="24"/>
      <c r="L189" s="24"/>
      <c r="M189" s="25">
        <f t="shared" si="257"/>
        <v>814500</v>
      </c>
      <c r="N189" s="24"/>
      <c r="O189" s="24"/>
      <c r="P189" s="24"/>
      <c r="Q189" s="24"/>
      <c r="R189" s="24"/>
      <c r="S189" s="24"/>
      <c r="T189" s="24"/>
      <c r="U189" s="25">
        <f t="shared" si="258"/>
        <v>0</v>
      </c>
      <c r="V189" s="28"/>
      <c r="W189" s="28"/>
      <c r="X189" s="28"/>
      <c r="Y189" s="28"/>
      <c r="Z189" s="28"/>
      <c r="AA189" s="28"/>
      <c r="AB189" s="28"/>
      <c r="AC189" s="25">
        <f t="shared" si="259"/>
        <v>0</v>
      </c>
      <c r="AD189" s="28">
        <v>195000</v>
      </c>
      <c r="AE189" s="47">
        <v>689400</v>
      </c>
      <c r="AF189" s="49">
        <v>235500</v>
      </c>
      <c r="AG189" s="47"/>
      <c r="AH189" s="28"/>
      <c r="AI189" s="28"/>
      <c r="AJ189" s="28"/>
      <c r="AK189" s="29">
        <f t="shared" si="260"/>
        <v>1119900</v>
      </c>
      <c r="AL189" s="47">
        <v>0</v>
      </c>
      <c r="AM189" s="28"/>
      <c r="AN189" s="28">
        <f>1288000+280500+140000</f>
        <v>1708500</v>
      </c>
      <c r="AO189" s="28">
        <v>1725000</v>
      </c>
      <c r="AP189" s="29">
        <f t="shared" si="261"/>
        <v>3433500</v>
      </c>
      <c r="AQ189" s="47"/>
      <c r="AR189" s="28"/>
      <c r="AS189" s="28"/>
      <c r="AT189" s="28"/>
      <c r="AU189" s="29">
        <f t="shared" si="262"/>
        <v>0</v>
      </c>
      <c r="AV189" s="47"/>
      <c r="AW189" s="47">
        <v>100000</v>
      </c>
      <c r="AX189" s="47">
        <v>432000</v>
      </c>
      <c r="AY189" s="47"/>
      <c r="AZ189" s="28"/>
      <c r="BA189" s="28"/>
      <c r="BB189" s="28"/>
      <c r="BC189" s="29">
        <f t="shared" si="263"/>
        <v>532000</v>
      </c>
      <c r="BD189" s="24">
        <f t="shared" si="264"/>
        <v>350000</v>
      </c>
      <c r="BE189" s="24">
        <f t="shared" si="264"/>
        <v>1201400</v>
      </c>
      <c r="BF189" s="24">
        <f t="shared" si="264"/>
        <v>915000</v>
      </c>
      <c r="BG189" s="24">
        <f t="shared" si="265"/>
        <v>0</v>
      </c>
      <c r="BH189" s="30">
        <f t="shared" si="265"/>
        <v>0</v>
      </c>
      <c r="BI189" s="30">
        <f t="shared" si="265"/>
        <v>1708500</v>
      </c>
      <c r="BJ189" s="30">
        <f t="shared" si="265"/>
        <v>1725000</v>
      </c>
      <c r="BK189" s="25">
        <f t="shared" si="266"/>
        <v>5899900</v>
      </c>
    </row>
    <row r="190" spans="1:63">
      <c r="A190" s="32"/>
      <c r="B190" s="22">
        <v>18</v>
      </c>
      <c r="C190" s="23" t="s">
        <v>362</v>
      </c>
      <c r="D190" s="36" t="s">
        <v>360</v>
      </c>
      <c r="E190" s="24" t="s">
        <v>331</v>
      </c>
      <c r="F190" s="24"/>
      <c r="G190" s="24"/>
      <c r="H190" s="24"/>
      <c r="I190" s="24"/>
      <c r="J190" s="24"/>
      <c r="K190" s="24"/>
      <c r="L190" s="24"/>
      <c r="M190" s="25">
        <f t="shared" si="257"/>
        <v>0</v>
      </c>
      <c r="N190" s="24"/>
      <c r="O190" s="24"/>
      <c r="P190" s="24"/>
      <c r="Q190" s="24"/>
      <c r="R190" s="24"/>
      <c r="S190" s="24"/>
      <c r="T190" s="24"/>
      <c r="U190" s="25">
        <f t="shared" si="258"/>
        <v>0</v>
      </c>
      <c r="V190" s="28"/>
      <c r="W190" s="28"/>
      <c r="X190" s="28"/>
      <c r="Y190" s="28"/>
      <c r="Z190" s="28"/>
      <c r="AA190" s="28"/>
      <c r="AB190" s="28"/>
      <c r="AC190" s="25">
        <f t="shared" si="259"/>
        <v>0</v>
      </c>
      <c r="AD190" s="28"/>
      <c r="AE190" s="47">
        <v>195000</v>
      </c>
      <c r="AF190" s="28"/>
      <c r="AG190" s="28"/>
      <c r="AH190" s="28"/>
      <c r="AI190" s="28"/>
      <c r="AJ190" s="28"/>
      <c r="AK190" s="29">
        <f t="shared" si="260"/>
        <v>195000</v>
      </c>
      <c r="AL190" s="47">
        <v>0</v>
      </c>
      <c r="AM190" s="28"/>
      <c r="AN190" s="28"/>
      <c r="AO190" s="28"/>
      <c r="AP190" s="29">
        <f t="shared" si="261"/>
        <v>0</v>
      </c>
      <c r="AQ190" s="47"/>
      <c r="AR190" s="28"/>
      <c r="AS190" s="28"/>
      <c r="AT190" s="28"/>
      <c r="AU190" s="29">
        <f t="shared" si="262"/>
        <v>0</v>
      </c>
      <c r="AV190" s="47"/>
      <c r="AW190" s="47"/>
      <c r="AX190" s="47"/>
      <c r="AY190" s="47"/>
      <c r="AZ190" s="28"/>
      <c r="BA190" s="28"/>
      <c r="BB190" s="28"/>
      <c r="BC190" s="29">
        <f t="shared" si="263"/>
        <v>0</v>
      </c>
      <c r="BD190" s="24">
        <f t="shared" si="264"/>
        <v>0</v>
      </c>
      <c r="BE190" s="24">
        <f t="shared" si="264"/>
        <v>195000</v>
      </c>
      <c r="BF190" s="24">
        <f t="shared" si="264"/>
        <v>0</v>
      </c>
      <c r="BG190" s="24">
        <f t="shared" si="265"/>
        <v>0</v>
      </c>
      <c r="BH190" s="30">
        <f t="shared" si="265"/>
        <v>0</v>
      </c>
      <c r="BI190" s="30">
        <f t="shared" si="265"/>
        <v>0</v>
      </c>
      <c r="BJ190" s="30">
        <f t="shared" si="265"/>
        <v>0</v>
      </c>
      <c r="BK190" s="25">
        <f t="shared" si="266"/>
        <v>195000</v>
      </c>
    </row>
    <row r="191" spans="1:63" ht="31.5">
      <c r="A191" s="32"/>
      <c r="B191" s="22">
        <v>19</v>
      </c>
      <c r="C191" s="23" t="s">
        <v>363</v>
      </c>
      <c r="D191" s="24" t="s">
        <v>339</v>
      </c>
      <c r="E191" s="24" t="s">
        <v>331</v>
      </c>
      <c r="F191" s="24">
        <v>155000</v>
      </c>
      <c r="G191" s="24">
        <v>343000</v>
      </c>
      <c r="H191" s="24">
        <f>77000+38500</f>
        <v>115500</v>
      </c>
      <c r="I191" s="24">
        <f>126000+14000</f>
        <v>140000</v>
      </c>
      <c r="J191" s="24"/>
      <c r="K191" s="24"/>
      <c r="L191" s="24"/>
      <c r="M191" s="25">
        <f t="shared" si="257"/>
        <v>753500</v>
      </c>
      <c r="N191" s="24"/>
      <c r="O191" s="24"/>
      <c r="P191" s="24"/>
      <c r="Q191" s="24"/>
      <c r="R191" s="24"/>
      <c r="S191" s="24"/>
      <c r="T191" s="24"/>
      <c r="U191" s="25">
        <f t="shared" si="258"/>
        <v>0</v>
      </c>
      <c r="V191" s="28"/>
      <c r="W191" s="28"/>
      <c r="X191" s="28"/>
      <c r="Y191" s="28"/>
      <c r="Z191" s="28"/>
      <c r="AA191" s="28"/>
      <c r="AB191" s="28"/>
      <c r="AC191" s="25">
        <f t="shared" si="259"/>
        <v>0</v>
      </c>
      <c r="AD191" s="28">
        <v>195000</v>
      </c>
      <c r="AE191" s="47">
        <v>835150</v>
      </c>
      <c r="AF191" s="49">
        <v>494400</v>
      </c>
      <c r="AG191" s="47">
        <v>150000</v>
      </c>
      <c r="AH191" s="28"/>
      <c r="AI191" s="28"/>
      <c r="AJ191" s="28"/>
      <c r="AK191" s="29">
        <f t="shared" si="260"/>
        <v>1674550</v>
      </c>
      <c r="AL191" s="47">
        <v>946000</v>
      </c>
      <c r="AM191" s="28">
        <f>101000+301500+200000+100500+300000+201000</f>
        <v>1204000</v>
      </c>
      <c r="AN191" s="28">
        <f>1359200+295600+147800</f>
        <v>1802600</v>
      </c>
      <c r="AO191" s="28">
        <v>1767000</v>
      </c>
      <c r="AP191" s="29">
        <f t="shared" si="261"/>
        <v>5719600</v>
      </c>
      <c r="AQ191" s="47"/>
      <c r="AR191" s="28"/>
      <c r="AS191" s="28"/>
      <c r="AT191" s="28"/>
      <c r="AU191" s="29">
        <f t="shared" si="262"/>
        <v>0</v>
      </c>
      <c r="AV191" s="47"/>
      <c r="AW191" s="47"/>
      <c r="AX191" s="47"/>
      <c r="AY191" s="47"/>
      <c r="AZ191" s="28"/>
      <c r="BA191" s="28"/>
      <c r="BB191" s="28"/>
      <c r="BC191" s="29">
        <f t="shared" si="263"/>
        <v>0</v>
      </c>
      <c r="BD191" s="24">
        <f t="shared" si="264"/>
        <v>350000</v>
      </c>
      <c r="BE191" s="24">
        <f t="shared" si="264"/>
        <v>1178150</v>
      </c>
      <c r="BF191" s="24">
        <f t="shared" si="264"/>
        <v>609900</v>
      </c>
      <c r="BG191" s="24">
        <f t="shared" si="265"/>
        <v>1236000</v>
      </c>
      <c r="BH191" s="30">
        <f t="shared" si="265"/>
        <v>1204000</v>
      </c>
      <c r="BI191" s="30">
        <f t="shared" si="265"/>
        <v>1802600</v>
      </c>
      <c r="BJ191" s="30">
        <f t="shared" si="265"/>
        <v>1767000</v>
      </c>
      <c r="BK191" s="25">
        <f t="shared" si="266"/>
        <v>8147650</v>
      </c>
    </row>
    <row r="192" spans="1:63">
      <c r="A192" s="32"/>
      <c r="B192" s="22">
        <v>20</v>
      </c>
      <c r="C192" s="23" t="s">
        <v>364</v>
      </c>
      <c r="D192" s="24" t="s">
        <v>360</v>
      </c>
      <c r="E192" s="24" t="s">
        <v>331</v>
      </c>
      <c r="F192" s="24"/>
      <c r="G192" s="24">
        <v>155000</v>
      </c>
      <c r="H192" s="24">
        <f>397500+88000</f>
        <v>485500</v>
      </c>
      <c r="I192" s="24">
        <v>420000</v>
      </c>
      <c r="J192" s="24">
        <f>210000+210000+210000+210000+140000</f>
        <v>980000</v>
      </c>
      <c r="K192" s="24">
        <f>1000000+220000+110000</f>
        <v>1330000</v>
      </c>
      <c r="L192" s="24">
        <v>1281500</v>
      </c>
      <c r="M192" s="25">
        <f t="shared" si="257"/>
        <v>4652000</v>
      </c>
      <c r="N192" s="24"/>
      <c r="O192" s="24"/>
      <c r="P192" s="24"/>
      <c r="Q192" s="24"/>
      <c r="R192" s="24"/>
      <c r="S192" s="24"/>
      <c r="T192" s="24"/>
      <c r="U192" s="25">
        <f t="shared" si="258"/>
        <v>0</v>
      </c>
      <c r="V192" s="28"/>
      <c r="W192" s="28"/>
      <c r="X192" s="28"/>
      <c r="Y192" s="28"/>
      <c r="Z192" s="28"/>
      <c r="AA192" s="28"/>
      <c r="AB192" s="28"/>
      <c r="AC192" s="25">
        <f t="shared" si="259"/>
        <v>0</v>
      </c>
      <c r="AD192" s="28"/>
      <c r="AE192" s="28"/>
      <c r="AF192" s="28"/>
      <c r="AG192" s="28"/>
      <c r="AH192" s="28"/>
      <c r="AI192" s="28"/>
      <c r="AJ192" s="28"/>
      <c r="AK192" s="29">
        <f t="shared" si="260"/>
        <v>0</v>
      </c>
      <c r="AL192" s="47">
        <v>0</v>
      </c>
      <c r="AM192" s="28"/>
      <c r="AN192" s="28"/>
      <c r="AO192" s="28"/>
      <c r="AP192" s="29">
        <f t="shared" si="261"/>
        <v>0</v>
      </c>
      <c r="AQ192" s="47"/>
      <c r="AR192" s="28"/>
      <c r="AS192" s="28"/>
      <c r="AT192" s="28"/>
      <c r="AU192" s="29">
        <f t="shared" si="262"/>
        <v>0</v>
      </c>
      <c r="AV192" s="47"/>
      <c r="AW192" s="47"/>
      <c r="AX192" s="47">
        <v>100000</v>
      </c>
      <c r="AY192" s="47">
        <v>150000</v>
      </c>
      <c r="AZ192" s="28"/>
      <c r="BA192" s="28"/>
      <c r="BB192" s="28"/>
      <c r="BC192" s="29">
        <f t="shared" si="263"/>
        <v>250000</v>
      </c>
      <c r="BD192" s="24">
        <f t="shared" si="264"/>
        <v>0</v>
      </c>
      <c r="BE192" s="24">
        <f t="shared" si="264"/>
        <v>155000</v>
      </c>
      <c r="BF192" s="24">
        <f t="shared" si="264"/>
        <v>585500</v>
      </c>
      <c r="BG192" s="24">
        <f t="shared" si="265"/>
        <v>570000</v>
      </c>
      <c r="BH192" s="30">
        <f t="shared" si="265"/>
        <v>980000</v>
      </c>
      <c r="BI192" s="30">
        <f t="shared" si="265"/>
        <v>1330000</v>
      </c>
      <c r="BJ192" s="30">
        <f t="shared" si="265"/>
        <v>1281500</v>
      </c>
      <c r="BK192" s="25">
        <f t="shared" si="266"/>
        <v>4902000</v>
      </c>
    </row>
    <row r="193" spans="1:63">
      <c r="A193" s="32"/>
      <c r="B193" s="22">
        <v>21</v>
      </c>
      <c r="C193" s="23" t="s">
        <v>365</v>
      </c>
      <c r="D193" s="24" t="s">
        <v>366</v>
      </c>
      <c r="E193" s="24" t="s">
        <v>331</v>
      </c>
      <c r="F193" s="24">
        <v>155000</v>
      </c>
      <c r="G193" s="24">
        <v>762000</v>
      </c>
      <c r="H193" s="24">
        <f>93500+187000+291500</f>
        <v>572000</v>
      </c>
      <c r="I193" s="24">
        <v>225500</v>
      </c>
      <c r="J193" s="24"/>
      <c r="K193" s="24"/>
      <c r="L193" s="24"/>
      <c r="M193" s="25">
        <f t="shared" si="257"/>
        <v>1714500</v>
      </c>
      <c r="N193" s="34"/>
      <c r="O193" s="34">
        <v>290000</v>
      </c>
      <c r="P193" s="34">
        <v>800000</v>
      </c>
      <c r="Q193" s="34">
        <v>925000</v>
      </c>
      <c r="R193" s="24">
        <f>225000+225000+225000+225000+150000</f>
        <v>1050000</v>
      </c>
      <c r="S193" s="24">
        <f>1565000+400000</f>
        <v>1965000</v>
      </c>
      <c r="T193" s="24">
        <f>1000000+400000+200000+200000+400000+200000+200000</f>
        <v>2600000</v>
      </c>
      <c r="U193" s="25">
        <f t="shared" si="258"/>
        <v>7630000</v>
      </c>
      <c r="V193" s="28"/>
      <c r="W193" s="28"/>
      <c r="X193" s="28"/>
      <c r="Y193" s="28"/>
      <c r="Z193" s="28"/>
      <c r="AA193" s="28"/>
      <c r="AB193" s="28"/>
      <c r="AC193" s="25">
        <f t="shared" si="259"/>
        <v>0</v>
      </c>
      <c r="AD193" s="28">
        <v>195000</v>
      </c>
      <c r="AE193" s="47">
        <v>953000</v>
      </c>
      <c r="AF193" s="49">
        <v>722650</v>
      </c>
      <c r="AG193" s="47">
        <v>270000</v>
      </c>
      <c r="AH193" s="28"/>
      <c r="AI193" s="28"/>
      <c r="AJ193" s="28"/>
      <c r="AK193" s="29">
        <f t="shared" si="260"/>
        <v>2140650</v>
      </c>
      <c r="AL193" s="47">
        <v>0</v>
      </c>
      <c r="AM193" s="28"/>
      <c r="AN193" s="28"/>
      <c r="AO193" s="28"/>
      <c r="AP193" s="29">
        <f t="shared" si="261"/>
        <v>0</v>
      </c>
      <c r="AQ193" s="47"/>
      <c r="AR193" s="28"/>
      <c r="AS193" s="28"/>
      <c r="AT193" s="28"/>
      <c r="AU193" s="29">
        <f t="shared" si="262"/>
        <v>0</v>
      </c>
      <c r="AV193" s="47"/>
      <c r="AW193" s="47"/>
      <c r="AX193" s="47"/>
      <c r="AY193" s="47"/>
      <c r="AZ193" s="28"/>
      <c r="BA193" s="28"/>
      <c r="BB193" s="28"/>
      <c r="BC193" s="29">
        <f t="shared" si="263"/>
        <v>0</v>
      </c>
      <c r="BD193" s="24">
        <f t="shared" si="264"/>
        <v>350000</v>
      </c>
      <c r="BE193" s="24">
        <f t="shared" si="264"/>
        <v>2005000</v>
      </c>
      <c r="BF193" s="24">
        <f t="shared" si="264"/>
        <v>2094650</v>
      </c>
      <c r="BG193" s="24">
        <f t="shared" si="265"/>
        <v>1420500</v>
      </c>
      <c r="BH193" s="30">
        <f t="shared" si="265"/>
        <v>1050000</v>
      </c>
      <c r="BI193" s="30">
        <f t="shared" si="265"/>
        <v>1965000</v>
      </c>
      <c r="BJ193" s="30">
        <f t="shared" si="265"/>
        <v>2600000</v>
      </c>
      <c r="BK193" s="25">
        <f t="shared" si="266"/>
        <v>11485150</v>
      </c>
    </row>
    <row r="194" spans="1:63" ht="31.5">
      <c r="A194" s="32"/>
      <c r="B194" s="22">
        <v>22</v>
      </c>
      <c r="C194" s="23" t="s">
        <v>367</v>
      </c>
      <c r="D194" s="24" t="s">
        <v>368</v>
      </c>
      <c r="E194" s="24" t="s">
        <v>331</v>
      </c>
      <c r="F194" s="24"/>
      <c r="G194" s="24">
        <v>155000</v>
      </c>
      <c r="H194" s="24">
        <f>341000+214500</f>
        <v>555500</v>
      </c>
      <c r="I194" s="24">
        <v>180000</v>
      </c>
      <c r="J194" s="24"/>
      <c r="K194" s="24"/>
      <c r="L194" s="24"/>
      <c r="M194" s="25">
        <f t="shared" si="257"/>
        <v>890500</v>
      </c>
      <c r="N194" s="34"/>
      <c r="O194" s="34">
        <v>1140000</v>
      </c>
      <c r="P194" s="34">
        <v>670000</v>
      </c>
      <c r="Q194" s="34">
        <v>975000</v>
      </c>
      <c r="R194" s="24">
        <f>225000+225000+225000+225000+150000</f>
        <v>1050000</v>
      </c>
      <c r="S194" s="24">
        <v>2145000</v>
      </c>
      <c r="T194" s="24">
        <f>600000+800000+600000+200000+200000</f>
        <v>2400000</v>
      </c>
      <c r="U194" s="25">
        <f t="shared" si="258"/>
        <v>8380000</v>
      </c>
      <c r="V194" s="28"/>
      <c r="W194" s="28"/>
      <c r="X194" s="28"/>
      <c r="Y194" s="28"/>
      <c r="Z194" s="28"/>
      <c r="AA194" s="28"/>
      <c r="AB194" s="28"/>
      <c r="AC194" s="25">
        <f t="shared" si="259"/>
        <v>0</v>
      </c>
      <c r="AD194" s="28"/>
      <c r="AE194" s="28"/>
      <c r="AF194" s="28"/>
      <c r="AG194" s="28"/>
      <c r="AH194" s="28"/>
      <c r="AI194" s="28"/>
      <c r="AJ194" s="28"/>
      <c r="AK194" s="29">
        <f t="shared" si="260"/>
        <v>0</v>
      </c>
      <c r="AL194" s="47">
        <v>0</v>
      </c>
      <c r="AM194" s="28"/>
      <c r="AN194" s="28"/>
      <c r="AO194" s="28"/>
      <c r="AP194" s="29">
        <f t="shared" si="261"/>
        <v>0</v>
      </c>
      <c r="AQ194" s="47"/>
      <c r="AR194" s="28"/>
      <c r="AS194" s="28"/>
      <c r="AT194" s="28"/>
      <c r="AU194" s="29">
        <f t="shared" si="262"/>
        <v>0</v>
      </c>
      <c r="AV194" s="47"/>
      <c r="AW194" s="47"/>
      <c r="AX194" s="47"/>
      <c r="AY194" s="47"/>
      <c r="AZ194" s="28"/>
      <c r="BA194" s="28"/>
      <c r="BB194" s="28"/>
      <c r="BC194" s="29">
        <f t="shared" si="263"/>
        <v>0</v>
      </c>
      <c r="BD194" s="24">
        <f t="shared" si="264"/>
        <v>0</v>
      </c>
      <c r="BE194" s="24">
        <f t="shared" si="264"/>
        <v>1295000</v>
      </c>
      <c r="BF194" s="24">
        <f t="shared" si="264"/>
        <v>1225500</v>
      </c>
      <c r="BG194" s="24">
        <f t="shared" si="265"/>
        <v>1155000</v>
      </c>
      <c r="BH194" s="30">
        <f t="shared" si="265"/>
        <v>1050000</v>
      </c>
      <c r="BI194" s="30">
        <f t="shared" si="265"/>
        <v>2145000</v>
      </c>
      <c r="BJ194" s="30">
        <f t="shared" si="265"/>
        <v>2400000</v>
      </c>
      <c r="BK194" s="25">
        <f t="shared" si="266"/>
        <v>9270500</v>
      </c>
    </row>
    <row r="195" spans="1:63" ht="47.25">
      <c r="A195" s="32"/>
      <c r="B195" s="22">
        <v>23</v>
      </c>
      <c r="C195" s="23" t="s">
        <v>369</v>
      </c>
      <c r="D195" s="24" t="s">
        <v>370</v>
      </c>
      <c r="E195" s="24" t="s">
        <v>331</v>
      </c>
      <c r="F195" s="24"/>
      <c r="G195" s="24"/>
      <c r="H195" s="24">
        <v>155000</v>
      </c>
      <c r="I195" s="24"/>
      <c r="J195" s="24"/>
      <c r="K195" s="24"/>
      <c r="L195" s="24"/>
      <c r="M195" s="25">
        <f t="shared" si="257"/>
        <v>155000</v>
      </c>
      <c r="N195" s="24"/>
      <c r="O195" s="24"/>
      <c r="P195" s="24"/>
      <c r="Q195" s="24"/>
      <c r="R195" s="24"/>
      <c r="S195" s="24"/>
      <c r="T195" s="24"/>
      <c r="U195" s="25">
        <f t="shared" si="258"/>
        <v>0</v>
      </c>
      <c r="V195" s="28"/>
      <c r="W195" s="28"/>
      <c r="X195" s="28"/>
      <c r="Y195" s="28"/>
      <c r="Z195" s="28"/>
      <c r="AA195" s="28"/>
      <c r="AB195" s="28"/>
      <c r="AC195" s="25">
        <f t="shared" si="259"/>
        <v>0</v>
      </c>
      <c r="AD195" s="28"/>
      <c r="AE195" s="28">
        <v>195000</v>
      </c>
      <c r="AF195" s="28"/>
      <c r="AG195" s="28"/>
      <c r="AH195" s="28"/>
      <c r="AI195" s="28"/>
      <c r="AJ195" s="28">
        <v>310400</v>
      </c>
      <c r="AK195" s="29">
        <f t="shared" si="260"/>
        <v>505400</v>
      </c>
      <c r="AL195" s="47">
        <v>0</v>
      </c>
      <c r="AM195" s="28"/>
      <c r="AN195" s="28"/>
      <c r="AO195" s="28"/>
      <c r="AP195" s="29">
        <f t="shared" si="261"/>
        <v>0</v>
      </c>
      <c r="AQ195" s="47"/>
      <c r="AR195" s="28"/>
      <c r="AS195" s="28"/>
      <c r="AT195" s="28"/>
      <c r="AU195" s="29">
        <f t="shared" si="262"/>
        <v>0</v>
      </c>
      <c r="AV195" s="47"/>
      <c r="AW195" s="47"/>
      <c r="AX195" s="47"/>
      <c r="AY195" s="47"/>
      <c r="AZ195" s="28"/>
      <c r="BA195" s="28"/>
      <c r="BB195" s="28"/>
      <c r="BC195" s="29">
        <f t="shared" si="263"/>
        <v>0</v>
      </c>
      <c r="BD195" s="24">
        <f t="shared" si="264"/>
        <v>0</v>
      </c>
      <c r="BE195" s="24">
        <f t="shared" si="264"/>
        <v>195000</v>
      </c>
      <c r="BF195" s="24">
        <f t="shared" si="264"/>
        <v>155000</v>
      </c>
      <c r="BG195" s="24">
        <f t="shared" si="265"/>
        <v>0</v>
      </c>
      <c r="BH195" s="30">
        <f t="shared" si="265"/>
        <v>0</v>
      </c>
      <c r="BI195" s="30">
        <f t="shared" si="265"/>
        <v>0</v>
      </c>
      <c r="BJ195" s="30">
        <f t="shared" si="265"/>
        <v>310400</v>
      </c>
      <c r="BK195" s="25">
        <f t="shared" si="266"/>
        <v>660400</v>
      </c>
    </row>
    <row r="196" spans="1:63">
      <c r="A196" s="32"/>
      <c r="B196" s="22">
        <v>24</v>
      </c>
      <c r="C196" s="23" t="s">
        <v>371</v>
      </c>
      <c r="D196" s="24" t="s">
        <v>372</v>
      </c>
      <c r="E196" s="24" t="s">
        <v>331</v>
      </c>
      <c r="F196" s="24">
        <v>155000</v>
      </c>
      <c r="G196" s="24">
        <v>927000</v>
      </c>
      <c r="H196" s="24">
        <f>209000+313500</f>
        <v>522500</v>
      </c>
      <c r="I196" s="24">
        <f>160000+20000</f>
        <v>180000</v>
      </c>
      <c r="J196" s="24"/>
      <c r="K196" s="24"/>
      <c r="L196" s="24"/>
      <c r="M196" s="25">
        <f t="shared" si="257"/>
        <v>1784500</v>
      </c>
      <c r="N196" s="34"/>
      <c r="O196" s="34">
        <v>1340000</v>
      </c>
      <c r="P196" s="34">
        <v>980000</v>
      </c>
      <c r="Q196" s="34">
        <v>250000</v>
      </c>
      <c r="R196" s="24"/>
      <c r="S196" s="24"/>
      <c r="T196" s="24"/>
      <c r="U196" s="25">
        <f t="shared" si="258"/>
        <v>2570000</v>
      </c>
      <c r="V196" s="28">
        <v>290000</v>
      </c>
      <c r="W196" s="48">
        <v>1323000</v>
      </c>
      <c r="X196" s="24">
        <v>741000</v>
      </c>
      <c r="Y196" s="78">
        <v>300000</v>
      </c>
      <c r="Z196" s="78"/>
      <c r="AA196" s="78"/>
      <c r="AB196" s="78"/>
      <c r="AC196" s="25">
        <f t="shared" si="259"/>
        <v>2654000</v>
      </c>
      <c r="AD196" s="28"/>
      <c r="AE196" s="28">
        <v>195000</v>
      </c>
      <c r="AF196" s="49">
        <v>297250</v>
      </c>
      <c r="AG196" s="47">
        <v>142000</v>
      </c>
      <c r="AH196" s="28"/>
      <c r="AI196" s="28"/>
      <c r="AJ196" s="28"/>
      <c r="AK196" s="29">
        <f t="shared" si="260"/>
        <v>634250</v>
      </c>
      <c r="AL196" s="47">
        <v>0</v>
      </c>
      <c r="AM196" s="28"/>
      <c r="AN196" s="28"/>
      <c r="AO196" s="28"/>
      <c r="AP196" s="29">
        <f t="shared" si="261"/>
        <v>0</v>
      </c>
      <c r="AQ196" s="49">
        <v>890000</v>
      </c>
      <c r="AR196" s="28">
        <f>300000+300000+280000+285000+190000</f>
        <v>1355000</v>
      </c>
      <c r="AS196" s="28">
        <f>1633500+612000</f>
        <v>2245500</v>
      </c>
      <c r="AT196" s="28">
        <f>204000+612000+408000+204000+204000+416500+212500</f>
        <v>2261000</v>
      </c>
      <c r="AU196" s="29">
        <f t="shared" si="262"/>
        <v>6751500</v>
      </c>
      <c r="AV196" s="47"/>
      <c r="AW196" s="47">
        <v>100000</v>
      </c>
      <c r="AX196" s="47">
        <v>220800</v>
      </c>
      <c r="AY196" s="47"/>
      <c r="AZ196" s="28"/>
      <c r="BA196" s="28"/>
      <c r="BB196" s="28"/>
      <c r="BC196" s="29">
        <f t="shared" si="263"/>
        <v>320800</v>
      </c>
      <c r="BD196" s="24">
        <f t="shared" si="264"/>
        <v>445000</v>
      </c>
      <c r="BE196" s="24">
        <f t="shared" si="264"/>
        <v>3885000</v>
      </c>
      <c r="BF196" s="24">
        <f t="shared" si="264"/>
        <v>2761550</v>
      </c>
      <c r="BG196" s="24">
        <f t="shared" si="265"/>
        <v>1762000</v>
      </c>
      <c r="BH196" s="30">
        <f t="shared" si="265"/>
        <v>1355000</v>
      </c>
      <c r="BI196" s="30">
        <f t="shared" si="265"/>
        <v>2245500</v>
      </c>
      <c r="BJ196" s="30">
        <f t="shared" si="265"/>
        <v>2261000</v>
      </c>
      <c r="BK196" s="25">
        <f t="shared" si="266"/>
        <v>14715050</v>
      </c>
    </row>
    <row r="197" spans="1:63">
      <c r="A197" s="32"/>
      <c r="B197" s="22">
        <v>25</v>
      </c>
      <c r="C197" s="23" t="s">
        <v>373</v>
      </c>
      <c r="D197" s="36" t="s">
        <v>374</v>
      </c>
      <c r="E197" s="24" t="s">
        <v>331</v>
      </c>
      <c r="F197" s="24"/>
      <c r="G197" s="24"/>
      <c r="H197" s="24"/>
      <c r="I197" s="24"/>
      <c r="J197" s="24"/>
      <c r="K197" s="24"/>
      <c r="L197" s="24"/>
      <c r="M197" s="25">
        <f t="shared" si="257"/>
        <v>0</v>
      </c>
      <c r="N197" s="24"/>
      <c r="O197" s="24"/>
      <c r="P197" s="24"/>
      <c r="Q197" s="24"/>
      <c r="R197" s="24"/>
      <c r="S197" s="24"/>
      <c r="T197" s="24"/>
      <c r="U197" s="25">
        <f t="shared" si="258"/>
        <v>0</v>
      </c>
      <c r="V197" s="28"/>
      <c r="W197" s="28"/>
      <c r="X197" s="28"/>
      <c r="Y197" s="28"/>
      <c r="Z197" s="28"/>
      <c r="AA197" s="28"/>
      <c r="AB197" s="28"/>
      <c r="AC197" s="25">
        <f t="shared" si="259"/>
        <v>0</v>
      </c>
      <c r="AD197" s="28"/>
      <c r="AE197" s="28">
        <v>195000</v>
      </c>
      <c r="AF197" s="49"/>
      <c r="AG197" s="47"/>
      <c r="AH197" s="28"/>
      <c r="AI197" s="28">
        <f>638500+76800</f>
        <v>715300</v>
      </c>
      <c r="AJ197" s="28"/>
      <c r="AK197" s="29">
        <f t="shared" si="260"/>
        <v>910300</v>
      </c>
      <c r="AL197" s="47">
        <v>0</v>
      </c>
      <c r="AM197" s="28"/>
      <c r="AN197" s="28"/>
      <c r="AO197" s="28"/>
      <c r="AP197" s="29">
        <f t="shared" si="261"/>
        <v>0</v>
      </c>
      <c r="AQ197" s="47"/>
      <c r="AR197" s="28"/>
      <c r="AS197" s="28"/>
      <c r="AT197" s="28"/>
      <c r="AU197" s="29">
        <f t="shared" si="262"/>
        <v>0</v>
      </c>
      <c r="AV197" s="47"/>
      <c r="AW197" s="47"/>
      <c r="AX197" s="47"/>
      <c r="AY197" s="47"/>
      <c r="AZ197" s="28"/>
      <c r="BA197" s="28"/>
      <c r="BB197" s="28"/>
      <c r="BC197" s="29">
        <f t="shared" si="263"/>
        <v>0</v>
      </c>
      <c r="BD197" s="24">
        <f t="shared" si="264"/>
        <v>0</v>
      </c>
      <c r="BE197" s="24">
        <f t="shared" si="264"/>
        <v>195000</v>
      </c>
      <c r="BF197" s="24">
        <f t="shared" si="264"/>
        <v>0</v>
      </c>
      <c r="BG197" s="24">
        <f t="shared" si="265"/>
        <v>0</v>
      </c>
      <c r="BH197" s="30">
        <f t="shared" si="265"/>
        <v>0</v>
      </c>
      <c r="BI197" s="30">
        <f t="shared" si="265"/>
        <v>715300</v>
      </c>
      <c r="BJ197" s="30">
        <f t="shared" si="265"/>
        <v>0</v>
      </c>
      <c r="BK197" s="25">
        <f t="shared" si="266"/>
        <v>910300</v>
      </c>
    </row>
    <row r="198" spans="1:63">
      <c r="A198" s="32"/>
      <c r="B198" s="22">
        <v>26</v>
      </c>
      <c r="C198" s="79" t="s">
        <v>375</v>
      </c>
      <c r="D198" s="36" t="s">
        <v>376</v>
      </c>
      <c r="E198" s="24" t="s">
        <v>331</v>
      </c>
      <c r="F198" s="24"/>
      <c r="G198" s="24"/>
      <c r="H198" s="24"/>
      <c r="I198" s="24"/>
      <c r="J198" s="24"/>
      <c r="K198" s="24"/>
      <c r="L198" s="24"/>
      <c r="M198" s="25">
        <f t="shared" si="257"/>
        <v>0</v>
      </c>
      <c r="N198" s="24"/>
      <c r="O198" s="24"/>
      <c r="P198" s="24"/>
      <c r="Q198" s="24"/>
      <c r="R198" s="24"/>
      <c r="S198" s="24"/>
      <c r="T198" s="24"/>
      <c r="U198" s="25">
        <f t="shared" si="258"/>
        <v>0</v>
      </c>
      <c r="V198" s="28"/>
      <c r="W198" s="28"/>
      <c r="X198" s="28"/>
      <c r="Y198" s="28"/>
      <c r="Z198" s="28"/>
      <c r="AA198" s="28"/>
      <c r="AB198" s="28"/>
      <c r="AC198" s="25">
        <f t="shared" si="259"/>
        <v>0</v>
      </c>
      <c r="AD198" s="28"/>
      <c r="AE198" s="28">
        <v>258750</v>
      </c>
      <c r="AF198" s="49">
        <v>359000</v>
      </c>
      <c r="AG198" s="47">
        <v>876000</v>
      </c>
      <c r="AH198" s="28">
        <v>742000</v>
      </c>
      <c r="AI198" s="28"/>
      <c r="AJ198" s="28">
        <v>1732550</v>
      </c>
      <c r="AK198" s="29">
        <f t="shared" si="260"/>
        <v>3968300</v>
      </c>
      <c r="AL198" s="47">
        <v>0</v>
      </c>
      <c r="AM198" s="28"/>
      <c r="AN198" s="28"/>
      <c r="AO198" s="28"/>
      <c r="AP198" s="29">
        <f t="shared" si="261"/>
        <v>0</v>
      </c>
      <c r="AQ198" s="47"/>
      <c r="AR198" s="28"/>
      <c r="AS198" s="28"/>
      <c r="AT198" s="28"/>
      <c r="AU198" s="29">
        <f t="shared" si="262"/>
        <v>0</v>
      </c>
      <c r="AV198" s="47"/>
      <c r="AW198" s="47"/>
      <c r="AX198" s="47"/>
      <c r="AY198" s="47"/>
      <c r="AZ198" s="28"/>
      <c r="BA198" s="28"/>
      <c r="BB198" s="28"/>
      <c r="BC198" s="29">
        <f t="shared" si="263"/>
        <v>0</v>
      </c>
      <c r="BD198" s="24">
        <f t="shared" si="264"/>
        <v>0</v>
      </c>
      <c r="BE198" s="24">
        <f t="shared" si="264"/>
        <v>258750</v>
      </c>
      <c r="BF198" s="24">
        <f t="shared" si="264"/>
        <v>359000</v>
      </c>
      <c r="BG198" s="24">
        <f t="shared" si="265"/>
        <v>876000</v>
      </c>
      <c r="BH198" s="30">
        <f t="shared" si="265"/>
        <v>742000</v>
      </c>
      <c r="BI198" s="30">
        <f t="shared" si="265"/>
        <v>0</v>
      </c>
      <c r="BJ198" s="30">
        <f t="shared" si="265"/>
        <v>1732550</v>
      </c>
      <c r="BK198" s="25">
        <f t="shared" si="266"/>
        <v>3968300</v>
      </c>
    </row>
    <row r="199" spans="1:63">
      <c r="A199" s="32"/>
      <c r="B199" s="22">
        <v>27</v>
      </c>
      <c r="C199" s="46" t="s">
        <v>377</v>
      </c>
      <c r="D199" s="24" t="s">
        <v>372</v>
      </c>
      <c r="E199" s="24" t="s">
        <v>331</v>
      </c>
      <c r="F199" s="24"/>
      <c r="G199" s="24"/>
      <c r="H199" s="24"/>
      <c r="I199" s="24"/>
      <c r="J199" s="24"/>
      <c r="K199" s="24"/>
      <c r="L199" s="24"/>
      <c r="M199" s="25">
        <f t="shared" si="257"/>
        <v>0</v>
      </c>
      <c r="N199" s="24"/>
      <c r="O199" s="24"/>
      <c r="P199" s="24"/>
      <c r="Q199" s="24"/>
      <c r="R199" s="24"/>
      <c r="S199" s="24"/>
      <c r="T199" s="24"/>
      <c r="U199" s="25">
        <f t="shared" si="258"/>
        <v>0</v>
      </c>
      <c r="V199" s="28"/>
      <c r="W199" s="28"/>
      <c r="X199" s="28"/>
      <c r="Y199" s="28"/>
      <c r="Z199" s="28"/>
      <c r="AA199" s="28"/>
      <c r="AB199" s="28"/>
      <c r="AC199" s="25">
        <f t="shared" si="259"/>
        <v>0</v>
      </c>
      <c r="AD199" s="28"/>
      <c r="AE199" s="28"/>
      <c r="AF199" s="49"/>
      <c r="AG199" s="47"/>
      <c r="AH199" s="28"/>
      <c r="AI199" s="28"/>
      <c r="AJ199" s="28"/>
      <c r="AK199" s="29">
        <f t="shared" si="260"/>
        <v>0</v>
      </c>
      <c r="AL199" s="47">
        <v>0</v>
      </c>
      <c r="AM199" s="28"/>
      <c r="AN199" s="28"/>
      <c r="AO199" s="28"/>
      <c r="AP199" s="29">
        <f t="shared" si="261"/>
        <v>0</v>
      </c>
      <c r="AQ199" s="47"/>
      <c r="AR199" s="28"/>
      <c r="AS199" s="28"/>
      <c r="AT199" s="28"/>
      <c r="AU199" s="29">
        <f t="shared" si="262"/>
        <v>0</v>
      </c>
      <c r="AV199" s="47"/>
      <c r="AW199" s="47">
        <v>100000</v>
      </c>
      <c r="AX199" s="47">
        <v>540000</v>
      </c>
      <c r="AY199" s="47"/>
      <c r="AZ199" s="28"/>
      <c r="BA199" s="28"/>
      <c r="BB199" s="28"/>
      <c r="BC199" s="29">
        <f t="shared" si="263"/>
        <v>640000</v>
      </c>
      <c r="BD199" s="24">
        <f t="shared" si="264"/>
        <v>0</v>
      </c>
      <c r="BE199" s="24">
        <f t="shared" si="264"/>
        <v>100000</v>
      </c>
      <c r="BF199" s="24">
        <f t="shared" si="264"/>
        <v>540000</v>
      </c>
      <c r="BG199" s="24">
        <f t="shared" si="265"/>
        <v>0</v>
      </c>
      <c r="BH199" s="30">
        <f t="shared" si="265"/>
        <v>0</v>
      </c>
      <c r="BI199" s="30">
        <f t="shared" si="265"/>
        <v>0</v>
      </c>
      <c r="BJ199" s="30">
        <f t="shared" si="265"/>
        <v>0</v>
      </c>
      <c r="BK199" s="25">
        <f t="shared" si="266"/>
        <v>640000</v>
      </c>
    </row>
    <row r="200" spans="1:63" ht="31.5">
      <c r="A200" s="32"/>
      <c r="B200" s="22">
        <v>28</v>
      </c>
      <c r="C200" s="23" t="s">
        <v>378</v>
      </c>
      <c r="D200" s="36" t="s">
        <v>379</v>
      </c>
      <c r="E200" s="24" t="s">
        <v>331</v>
      </c>
      <c r="F200" s="24"/>
      <c r="G200" s="24"/>
      <c r="H200" s="24"/>
      <c r="I200" s="24"/>
      <c r="J200" s="24"/>
      <c r="K200" s="24"/>
      <c r="L200" s="24"/>
      <c r="M200" s="25">
        <f t="shared" si="257"/>
        <v>0</v>
      </c>
      <c r="N200" s="24"/>
      <c r="O200" s="24"/>
      <c r="P200" s="24"/>
      <c r="Q200" s="24"/>
      <c r="R200" s="24"/>
      <c r="S200" s="24"/>
      <c r="T200" s="24"/>
      <c r="U200" s="25">
        <f t="shared" si="258"/>
        <v>0</v>
      </c>
      <c r="V200" s="28"/>
      <c r="W200" s="28"/>
      <c r="X200" s="28"/>
      <c r="Y200" s="28"/>
      <c r="Z200" s="28"/>
      <c r="AA200" s="28"/>
      <c r="AB200" s="28"/>
      <c r="AC200" s="25">
        <f t="shared" si="259"/>
        <v>0</v>
      </c>
      <c r="AD200" s="28"/>
      <c r="AE200" s="28"/>
      <c r="AF200" s="49">
        <v>195000</v>
      </c>
      <c r="AG200" s="47">
        <v>959500</v>
      </c>
      <c r="AH200" s="28">
        <f>140000+210000+171500+210000+140000</f>
        <v>871500</v>
      </c>
      <c r="AI200" s="28">
        <f>1087600+267000+133500</f>
        <v>1488100</v>
      </c>
      <c r="AJ200" s="28">
        <v>1682150</v>
      </c>
      <c r="AK200" s="29">
        <f t="shared" si="260"/>
        <v>5196250</v>
      </c>
      <c r="AL200" s="47">
        <v>0</v>
      </c>
      <c r="AM200" s="28"/>
      <c r="AN200" s="28"/>
      <c r="AO200" s="28"/>
      <c r="AP200" s="29">
        <f t="shared" si="261"/>
        <v>0</v>
      </c>
      <c r="AQ200" s="47"/>
      <c r="AR200" s="28"/>
      <c r="AS200" s="28"/>
      <c r="AT200" s="28"/>
      <c r="AU200" s="29">
        <f t="shared" si="262"/>
        <v>0</v>
      </c>
      <c r="AV200" s="47"/>
      <c r="AW200" s="47"/>
      <c r="AX200" s="47"/>
      <c r="AY200" s="47"/>
      <c r="AZ200" s="28"/>
      <c r="BA200" s="28"/>
      <c r="BB200" s="28"/>
      <c r="BC200" s="29">
        <f t="shared" si="263"/>
        <v>0</v>
      </c>
      <c r="BD200" s="24">
        <f t="shared" si="264"/>
        <v>0</v>
      </c>
      <c r="BE200" s="24">
        <f t="shared" si="264"/>
        <v>0</v>
      </c>
      <c r="BF200" s="24">
        <f t="shared" si="264"/>
        <v>195000</v>
      </c>
      <c r="BG200" s="24">
        <f t="shared" si="265"/>
        <v>959500</v>
      </c>
      <c r="BH200" s="30">
        <f t="shared" si="265"/>
        <v>871500</v>
      </c>
      <c r="BI200" s="30">
        <f t="shared" si="265"/>
        <v>1488100</v>
      </c>
      <c r="BJ200" s="30">
        <f t="shared" si="265"/>
        <v>1682150</v>
      </c>
      <c r="BK200" s="25">
        <f t="shared" si="266"/>
        <v>5196250</v>
      </c>
    </row>
    <row r="201" spans="1:63" ht="31.5">
      <c r="A201" s="32"/>
      <c r="B201" s="22">
        <v>29</v>
      </c>
      <c r="C201" s="23" t="s">
        <v>380</v>
      </c>
      <c r="D201" s="24" t="s">
        <v>333</v>
      </c>
      <c r="E201" s="24" t="s">
        <v>331</v>
      </c>
      <c r="F201" s="24"/>
      <c r="G201" s="24"/>
      <c r="H201" s="24">
        <v>155000</v>
      </c>
      <c r="I201" s="24"/>
      <c r="J201" s="24"/>
      <c r="K201" s="24"/>
      <c r="L201" s="24"/>
      <c r="M201" s="25">
        <f t="shared" si="257"/>
        <v>155000</v>
      </c>
      <c r="N201" s="24"/>
      <c r="O201" s="24"/>
      <c r="P201" s="24"/>
      <c r="Q201" s="24"/>
      <c r="R201" s="24"/>
      <c r="S201" s="24"/>
      <c r="T201" s="24"/>
      <c r="U201" s="25">
        <f t="shared" si="258"/>
        <v>0</v>
      </c>
      <c r="V201" s="28"/>
      <c r="W201" s="28"/>
      <c r="X201" s="28"/>
      <c r="Y201" s="28"/>
      <c r="Z201" s="28"/>
      <c r="AA201" s="28"/>
      <c r="AB201" s="28"/>
      <c r="AC201" s="25">
        <f t="shared" si="259"/>
        <v>0</v>
      </c>
      <c r="AD201" s="28"/>
      <c r="AE201" s="28"/>
      <c r="AF201" s="28">
        <v>195000</v>
      </c>
      <c r="AG201" s="28"/>
      <c r="AH201" s="28"/>
      <c r="AI201" s="28"/>
      <c r="AJ201" s="28"/>
      <c r="AK201" s="29">
        <f t="shared" si="260"/>
        <v>195000</v>
      </c>
      <c r="AL201" s="47">
        <v>0</v>
      </c>
      <c r="AM201" s="28"/>
      <c r="AN201" s="28"/>
      <c r="AO201" s="28"/>
      <c r="AP201" s="29">
        <f t="shared" si="261"/>
        <v>0</v>
      </c>
      <c r="AQ201" s="47"/>
      <c r="AR201" s="28"/>
      <c r="AS201" s="28"/>
      <c r="AT201" s="28"/>
      <c r="AU201" s="29">
        <f t="shared" si="262"/>
        <v>0</v>
      </c>
      <c r="AV201" s="47"/>
      <c r="AW201" s="47"/>
      <c r="AX201" s="47">
        <v>100000</v>
      </c>
      <c r="AY201" s="47"/>
      <c r="AZ201" s="28"/>
      <c r="BA201" s="28"/>
      <c r="BB201" s="28">
        <v>266800</v>
      </c>
      <c r="BC201" s="29">
        <f t="shared" si="263"/>
        <v>366800</v>
      </c>
      <c r="BD201" s="24">
        <f t="shared" si="264"/>
        <v>0</v>
      </c>
      <c r="BE201" s="24">
        <f t="shared" si="264"/>
        <v>0</v>
      </c>
      <c r="BF201" s="24">
        <f t="shared" si="264"/>
        <v>450000</v>
      </c>
      <c r="BG201" s="24">
        <f t="shared" si="265"/>
        <v>0</v>
      </c>
      <c r="BH201" s="30">
        <f t="shared" si="265"/>
        <v>0</v>
      </c>
      <c r="BI201" s="30">
        <f t="shared" si="265"/>
        <v>0</v>
      </c>
      <c r="BJ201" s="30">
        <f t="shared" si="265"/>
        <v>266800</v>
      </c>
      <c r="BK201" s="25">
        <f t="shared" si="266"/>
        <v>716800</v>
      </c>
    </row>
    <row r="202" spans="1:63" ht="31.5">
      <c r="A202" s="32"/>
      <c r="B202" s="22">
        <v>30</v>
      </c>
      <c r="C202" s="23" t="s">
        <v>381</v>
      </c>
      <c r="D202" s="62" t="s">
        <v>382</v>
      </c>
      <c r="E202" s="24" t="s">
        <v>331</v>
      </c>
      <c r="F202" s="24"/>
      <c r="G202" s="24"/>
      <c r="H202" s="24"/>
      <c r="I202" s="24"/>
      <c r="J202" s="24"/>
      <c r="K202" s="24"/>
      <c r="L202" s="24"/>
      <c r="M202" s="25">
        <f t="shared" si="257"/>
        <v>0</v>
      </c>
      <c r="N202" s="24"/>
      <c r="O202" s="24"/>
      <c r="P202" s="24"/>
      <c r="Q202" s="24"/>
      <c r="R202" s="24"/>
      <c r="S202" s="24"/>
      <c r="T202" s="24"/>
      <c r="U202" s="25">
        <f t="shared" si="258"/>
        <v>0</v>
      </c>
      <c r="V202" s="28">
        <v>290000</v>
      </c>
      <c r="W202" s="48">
        <v>1092000</v>
      </c>
      <c r="X202" s="24">
        <v>196000</v>
      </c>
      <c r="Y202" s="78"/>
      <c r="Z202" s="78"/>
      <c r="AA202" s="78"/>
      <c r="AB202" s="78"/>
      <c r="AC202" s="25">
        <f t="shared" si="259"/>
        <v>1578000</v>
      </c>
      <c r="AD202" s="28">
        <v>195000</v>
      </c>
      <c r="AE202" s="47">
        <v>1321050</v>
      </c>
      <c r="AF202" s="49">
        <v>562600</v>
      </c>
      <c r="AG202" s="47">
        <v>490000</v>
      </c>
      <c r="AH202" s="28">
        <f>140000+210000+210000+210000+140000</f>
        <v>910000</v>
      </c>
      <c r="AI202" s="28">
        <f>930100+334650+111550</f>
        <v>1376300</v>
      </c>
      <c r="AJ202" s="28">
        <v>1700571</v>
      </c>
      <c r="AK202" s="29">
        <f t="shared" si="260"/>
        <v>6555521</v>
      </c>
      <c r="AL202" s="47">
        <v>0</v>
      </c>
      <c r="AM202" s="28"/>
      <c r="AN202" s="28"/>
      <c r="AO202" s="28"/>
      <c r="AP202" s="29">
        <f t="shared" si="261"/>
        <v>0</v>
      </c>
      <c r="AQ202" s="47"/>
      <c r="AR202" s="28"/>
      <c r="AS202" s="28"/>
      <c r="AT202" s="28"/>
      <c r="AU202" s="29">
        <f t="shared" si="262"/>
        <v>0</v>
      </c>
      <c r="AV202" s="47"/>
      <c r="AW202" s="47"/>
      <c r="AX202" s="47"/>
      <c r="AY202" s="47"/>
      <c r="AZ202" s="28"/>
      <c r="BA202" s="28"/>
      <c r="BB202" s="28"/>
      <c r="BC202" s="29">
        <f t="shared" si="263"/>
        <v>0</v>
      </c>
      <c r="BD202" s="24">
        <f t="shared" si="264"/>
        <v>485000</v>
      </c>
      <c r="BE202" s="24">
        <f t="shared" si="264"/>
        <v>2413050</v>
      </c>
      <c r="BF202" s="24">
        <f t="shared" si="264"/>
        <v>758600</v>
      </c>
      <c r="BG202" s="24">
        <f t="shared" si="265"/>
        <v>490000</v>
      </c>
      <c r="BH202" s="30">
        <f t="shared" si="265"/>
        <v>910000</v>
      </c>
      <c r="BI202" s="30">
        <f t="shared" si="265"/>
        <v>1376300</v>
      </c>
      <c r="BJ202" s="30">
        <f t="shared" si="265"/>
        <v>1700571</v>
      </c>
      <c r="BK202" s="25">
        <f t="shared" si="266"/>
        <v>8133521</v>
      </c>
    </row>
    <row r="203" spans="1:63" ht="31.5">
      <c r="A203" s="32"/>
      <c r="B203" s="22">
        <v>31</v>
      </c>
      <c r="C203" s="23" t="s">
        <v>383</v>
      </c>
      <c r="D203" s="24" t="s">
        <v>360</v>
      </c>
      <c r="E203" s="24" t="s">
        <v>331</v>
      </c>
      <c r="F203" s="24">
        <v>155000</v>
      </c>
      <c r="G203" s="24">
        <v>247000</v>
      </c>
      <c r="H203" s="24"/>
      <c r="I203" s="24"/>
      <c r="J203" s="24"/>
      <c r="K203" s="24"/>
      <c r="L203" s="24"/>
      <c r="M203" s="25">
        <f t="shared" si="257"/>
        <v>402000</v>
      </c>
      <c r="N203" s="34">
        <v>290000</v>
      </c>
      <c r="O203" s="34">
        <v>990000</v>
      </c>
      <c r="P203" s="34"/>
      <c r="Q203" s="34"/>
      <c r="R203" s="24"/>
      <c r="S203" s="24"/>
      <c r="T203" s="24"/>
      <c r="U203" s="25">
        <f t="shared" si="258"/>
        <v>1280000</v>
      </c>
      <c r="V203" s="28">
        <v>290000</v>
      </c>
      <c r="W203" s="48">
        <v>177414</v>
      </c>
      <c r="X203" s="24"/>
      <c r="Y203" s="28"/>
      <c r="Z203" s="28"/>
      <c r="AA203" s="28"/>
      <c r="AB203" s="28"/>
      <c r="AC203" s="25">
        <f t="shared" si="259"/>
        <v>467414</v>
      </c>
      <c r="AD203" s="28">
        <v>195000</v>
      </c>
      <c r="AE203" s="47">
        <v>1144000</v>
      </c>
      <c r="AF203" s="28"/>
      <c r="AG203" s="28"/>
      <c r="AH203" s="28"/>
      <c r="AI203" s="28"/>
      <c r="AJ203" s="28"/>
      <c r="AK203" s="29">
        <f t="shared" si="260"/>
        <v>1339000</v>
      </c>
      <c r="AL203" s="47">
        <v>0</v>
      </c>
      <c r="AM203" s="28"/>
      <c r="AN203" s="28"/>
      <c r="AO203" s="28"/>
      <c r="AP203" s="29">
        <f t="shared" si="261"/>
        <v>0</v>
      </c>
      <c r="AQ203" s="47"/>
      <c r="AR203" s="28"/>
      <c r="AS203" s="28"/>
      <c r="AT203" s="28"/>
      <c r="AU203" s="29">
        <f t="shared" si="262"/>
        <v>0</v>
      </c>
      <c r="AV203" s="47"/>
      <c r="AW203" s="47">
        <v>100000</v>
      </c>
      <c r="AX203" s="47"/>
      <c r="AY203" s="47"/>
      <c r="AZ203" s="28"/>
      <c r="BA203" s="28"/>
      <c r="BB203" s="28"/>
      <c r="BC203" s="29">
        <f t="shared" si="263"/>
        <v>100000</v>
      </c>
      <c r="BD203" s="24">
        <f t="shared" si="264"/>
        <v>930000</v>
      </c>
      <c r="BE203" s="24">
        <f t="shared" si="264"/>
        <v>2658414</v>
      </c>
      <c r="BF203" s="24">
        <f t="shared" si="264"/>
        <v>0</v>
      </c>
      <c r="BG203" s="24">
        <f t="shared" si="265"/>
        <v>0</v>
      </c>
      <c r="BH203" s="30">
        <f t="shared" si="265"/>
        <v>0</v>
      </c>
      <c r="BI203" s="30">
        <f t="shared" si="265"/>
        <v>0</v>
      </c>
      <c r="BJ203" s="30">
        <f t="shared" si="265"/>
        <v>0</v>
      </c>
      <c r="BK203" s="25">
        <f t="shared" si="266"/>
        <v>3588414</v>
      </c>
    </row>
    <row r="204" spans="1:63">
      <c r="A204" s="32"/>
      <c r="B204" s="22">
        <v>32</v>
      </c>
      <c r="C204" s="23" t="s">
        <v>384</v>
      </c>
      <c r="D204" s="24" t="s">
        <v>337</v>
      </c>
      <c r="E204" s="24" t="s">
        <v>331</v>
      </c>
      <c r="F204" s="24"/>
      <c r="G204" s="24"/>
      <c r="H204" s="24">
        <v>155000</v>
      </c>
      <c r="I204" s="24"/>
      <c r="J204" s="24"/>
      <c r="K204" s="24"/>
      <c r="L204" s="24"/>
      <c r="M204" s="25">
        <f t="shared" si="257"/>
        <v>155000</v>
      </c>
      <c r="N204" s="24"/>
      <c r="O204" s="24"/>
      <c r="P204" s="24"/>
      <c r="Q204" s="24"/>
      <c r="R204" s="24"/>
      <c r="S204" s="24"/>
      <c r="T204" s="24"/>
      <c r="U204" s="25">
        <f t="shared" si="258"/>
        <v>0</v>
      </c>
      <c r="V204" s="28"/>
      <c r="W204" s="28"/>
      <c r="X204" s="24"/>
      <c r="Y204" s="28"/>
      <c r="Z204" s="28"/>
      <c r="AA204" s="28"/>
      <c r="AB204" s="28"/>
      <c r="AC204" s="25">
        <f t="shared" si="259"/>
        <v>0</v>
      </c>
      <c r="AD204" s="28"/>
      <c r="AE204" s="28">
        <v>195000</v>
      </c>
      <c r="AF204" s="28"/>
      <c r="AG204" s="28"/>
      <c r="AH204" s="28"/>
      <c r="AI204" s="28"/>
      <c r="AJ204" s="28"/>
      <c r="AK204" s="29">
        <f t="shared" si="260"/>
        <v>195000</v>
      </c>
      <c r="AL204" s="47">
        <v>0</v>
      </c>
      <c r="AM204" s="28"/>
      <c r="AN204" s="28"/>
      <c r="AO204" s="28"/>
      <c r="AP204" s="29">
        <f t="shared" si="261"/>
        <v>0</v>
      </c>
      <c r="AQ204" s="47"/>
      <c r="AR204" s="28"/>
      <c r="AS204" s="28"/>
      <c r="AT204" s="28"/>
      <c r="AU204" s="29">
        <f t="shared" si="262"/>
        <v>0</v>
      </c>
      <c r="AV204" s="47"/>
      <c r="AW204" s="47"/>
      <c r="AX204" s="47"/>
      <c r="AY204" s="47"/>
      <c r="AZ204" s="28"/>
      <c r="BA204" s="28"/>
      <c r="BB204" s="28"/>
      <c r="BC204" s="29">
        <f t="shared" si="263"/>
        <v>0</v>
      </c>
      <c r="BD204" s="24">
        <f t="shared" si="264"/>
        <v>0</v>
      </c>
      <c r="BE204" s="24">
        <f t="shared" si="264"/>
        <v>195000</v>
      </c>
      <c r="BF204" s="24">
        <f t="shared" si="264"/>
        <v>155000</v>
      </c>
      <c r="BG204" s="24">
        <f t="shared" si="265"/>
        <v>0</v>
      </c>
      <c r="BH204" s="30">
        <f t="shared" si="265"/>
        <v>0</v>
      </c>
      <c r="BI204" s="30">
        <f t="shared" si="265"/>
        <v>0</v>
      </c>
      <c r="BJ204" s="30">
        <f t="shared" si="265"/>
        <v>0</v>
      </c>
      <c r="BK204" s="25">
        <f t="shared" si="266"/>
        <v>350000</v>
      </c>
    </row>
    <row r="205" spans="1:63">
      <c r="A205" s="32"/>
      <c r="B205" s="22">
        <v>33</v>
      </c>
      <c r="C205" s="23" t="s">
        <v>385</v>
      </c>
      <c r="D205" s="24" t="s">
        <v>333</v>
      </c>
      <c r="E205" s="24" t="s">
        <v>331</v>
      </c>
      <c r="F205" s="24"/>
      <c r="G205" s="24">
        <v>155000</v>
      </c>
      <c r="H205" s="24"/>
      <c r="I205" s="24"/>
      <c r="J205" s="24"/>
      <c r="K205" s="24"/>
      <c r="L205" s="24"/>
      <c r="M205" s="25">
        <f t="shared" si="257"/>
        <v>155000</v>
      </c>
      <c r="N205" s="24"/>
      <c r="O205" s="24"/>
      <c r="P205" s="24"/>
      <c r="Q205" s="24"/>
      <c r="R205" s="24"/>
      <c r="S205" s="24"/>
      <c r="T205" s="24"/>
      <c r="U205" s="25">
        <f t="shared" si="258"/>
        <v>0</v>
      </c>
      <c r="V205" s="28"/>
      <c r="W205" s="28"/>
      <c r="X205" s="28"/>
      <c r="Y205" s="28"/>
      <c r="Z205" s="28"/>
      <c r="AA205" s="28"/>
      <c r="AB205" s="28"/>
      <c r="AC205" s="25">
        <f t="shared" si="259"/>
        <v>0</v>
      </c>
      <c r="AD205" s="28"/>
      <c r="AE205" s="28"/>
      <c r="AF205" s="28"/>
      <c r="AG205" s="28"/>
      <c r="AH205" s="28"/>
      <c r="AI205" s="28"/>
      <c r="AJ205" s="28"/>
      <c r="AK205" s="29">
        <f t="shared" si="260"/>
        <v>0</v>
      </c>
      <c r="AL205" s="47"/>
      <c r="AM205" s="28"/>
      <c r="AN205" s="28"/>
      <c r="AO205" s="28"/>
      <c r="AP205" s="29">
        <f t="shared" si="261"/>
        <v>0</v>
      </c>
      <c r="AQ205" s="47"/>
      <c r="AR205" s="28"/>
      <c r="AS205" s="28"/>
      <c r="AT205" s="28"/>
      <c r="AU205" s="29">
        <f t="shared" si="262"/>
        <v>0</v>
      </c>
      <c r="AV205" s="47"/>
      <c r="AW205" s="47">
        <v>100000</v>
      </c>
      <c r="AX205" s="47">
        <v>239200</v>
      </c>
      <c r="AY205" s="47"/>
      <c r="AZ205" s="28"/>
      <c r="BA205" s="28"/>
      <c r="BB205" s="28"/>
      <c r="BC205" s="29">
        <f t="shared" si="263"/>
        <v>339200</v>
      </c>
      <c r="BD205" s="24">
        <f t="shared" si="264"/>
        <v>0</v>
      </c>
      <c r="BE205" s="24">
        <f t="shared" si="264"/>
        <v>255000</v>
      </c>
      <c r="BF205" s="24">
        <f t="shared" si="264"/>
        <v>239200</v>
      </c>
      <c r="BG205" s="24">
        <f t="shared" si="265"/>
        <v>0</v>
      </c>
      <c r="BH205" s="30">
        <f t="shared" si="265"/>
        <v>0</v>
      </c>
      <c r="BI205" s="30">
        <f t="shared" si="265"/>
        <v>0</v>
      </c>
      <c r="BJ205" s="30">
        <f t="shared" si="265"/>
        <v>0</v>
      </c>
      <c r="BK205" s="25">
        <f t="shared" si="266"/>
        <v>494200</v>
      </c>
    </row>
    <row r="206" spans="1:63" ht="31.5">
      <c r="A206" s="32"/>
      <c r="B206" s="22">
        <v>34</v>
      </c>
      <c r="C206" s="23" t="s">
        <v>386</v>
      </c>
      <c r="D206" s="54" t="s">
        <v>387</v>
      </c>
      <c r="E206" s="24" t="s">
        <v>331</v>
      </c>
      <c r="F206" s="24">
        <v>155000</v>
      </c>
      <c r="G206" s="24">
        <v>566000</v>
      </c>
      <c r="H206" s="24">
        <f>88000+93500+308000+20000</f>
        <v>509500</v>
      </c>
      <c r="I206" s="24">
        <f>120000+40000</f>
        <v>160000</v>
      </c>
      <c r="J206" s="24"/>
      <c r="K206" s="24"/>
      <c r="L206" s="24"/>
      <c r="M206" s="25">
        <f t="shared" si="257"/>
        <v>1390500</v>
      </c>
      <c r="N206" s="34">
        <v>290000</v>
      </c>
      <c r="O206" s="34">
        <v>1620000</v>
      </c>
      <c r="P206" s="34">
        <v>1490000</v>
      </c>
      <c r="Q206" s="34">
        <v>925000</v>
      </c>
      <c r="R206" s="24">
        <f>225000+225000+220000+225000+150000</f>
        <v>1045000</v>
      </c>
      <c r="S206" s="24">
        <f>1505000+510000</f>
        <v>2015000</v>
      </c>
      <c r="T206" s="24">
        <f>510000+530000+190000+190000+360000+180000+180000</f>
        <v>2140000</v>
      </c>
      <c r="U206" s="25">
        <f t="shared" si="258"/>
        <v>9525000</v>
      </c>
      <c r="V206" s="28"/>
      <c r="W206" s="28"/>
      <c r="X206" s="24"/>
      <c r="Y206" s="28"/>
      <c r="Z206" s="28"/>
      <c r="AA206" s="28"/>
      <c r="AB206" s="28"/>
      <c r="AC206" s="25">
        <f t="shared" si="259"/>
        <v>0</v>
      </c>
      <c r="AD206" s="28">
        <v>195000</v>
      </c>
      <c r="AE206" s="47">
        <v>840750</v>
      </c>
      <c r="AF206" s="49">
        <v>537100</v>
      </c>
      <c r="AG206" s="47">
        <v>150000</v>
      </c>
      <c r="AH206" s="28"/>
      <c r="AI206" s="28"/>
      <c r="AJ206" s="28"/>
      <c r="AK206" s="29">
        <f t="shared" si="260"/>
        <v>1722850</v>
      </c>
      <c r="AL206" s="47">
        <v>0</v>
      </c>
      <c r="AM206" s="28"/>
      <c r="AN206" s="28"/>
      <c r="AO206" s="28"/>
      <c r="AP206" s="29">
        <f t="shared" si="261"/>
        <v>0</v>
      </c>
      <c r="AQ206" s="47"/>
      <c r="AR206" s="28"/>
      <c r="AS206" s="28"/>
      <c r="AT206" s="28"/>
      <c r="AU206" s="29">
        <f t="shared" si="262"/>
        <v>0</v>
      </c>
      <c r="AV206" s="47"/>
      <c r="AW206" s="47"/>
      <c r="AX206" s="47"/>
      <c r="AY206" s="47"/>
      <c r="AZ206" s="28"/>
      <c r="BA206" s="28"/>
      <c r="BB206" s="28"/>
      <c r="BC206" s="29">
        <f t="shared" si="263"/>
        <v>0</v>
      </c>
      <c r="BD206" s="24">
        <f t="shared" si="264"/>
        <v>640000</v>
      </c>
      <c r="BE206" s="24">
        <f t="shared" si="264"/>
        <v>3026750</v>
      </c>
      <c r="BF206" s="24">
        <f t="shared" si="264"/>
        <v>2536600</v>
      </c>
      <c r="BG206" s="24">
        <f t="shared" si="265"/>
        <v>1235000</v>
      </c>
      <c r="BH206" s="30">
        <f t="shared" si="265"/>
        <v>1045000</v>
      </c>
      <c r="BI206" s="30">
        <f t="shared" si="265"/>
        <v>2015000</v>
      </c>
      <c r="BJ206" s="30">
        <f t="shared" si="265"/>
        <v>2140000</v>
      </c>
      <c r="BK206" s="25">
        <f t="shared" si="266"/>
        <v>12638350</v>
      </c>
    </row>
    <row r="207" spans="1:63" ht="31.5">
      <c r="A207" s="32"/>
      <c r="B207" s="22">
        <v>35</v>
      </c>
      <c r="C207" s="56" t="s">
        <v>388</v>
      </c>
      <c r="D207" s="80" t="s">
        <v>389</v>
      </c>
      <c r="E207" s="24" t="s">
        <v>331</v>
      </c>
      <c r="F207" s="24"/>
      <c r="G207" s="24"/>
      <c r="H207" s="24"/>
      <c r="I207" s="24"/>
      <c r="J207" s="24"/>
      <c r="K207" s="24"/>
      <c r="L207" s="24"/>
      <c r="M207" s="25">
        <f t="shared" si="257"/>
        <v>0</v>
      </c>
      <c r="N207" s="24"/>
      <c r="O207" s="24"/>
      <c r="P207" s="24"/>
      <c r="Q207" s="24"/>
      <c r="R207" s="24"/>
      <c r="S207" s="24"/>
      <c r="T207" s="24"/>
      <c r="U207" s="25">
        <f t="shared" si="258"/>
        <v>0</v>
      </c>
      <c r="V207" s="28"/>
      <c r="W207" s="48">
        <v>1550000</v>
      </c>
      <c r="X207" s="24">
        <v>2160000</v>
      </c>
      <c r="Y207" s="78">
        <v>420000</v>
      </c>
      <c r="Z207" s="78">
        <f>225000+75000+120000+120000+120000+40000</f>
        <v>700000</v>
      </c>
      <c r="AA207" s="78">
        <f>780000+315000</f>
        <v>1095000</v>
      </c>
      <c r="AB207" s="78">
        <f>420000+315000+105000+210000+105000</f>
        <v>1155000</v>
      </c>
      <c r="AC207" s="25">
        <f t="shared" si="259"/>
        <v>7080000</v>
      </c>
      <c r="AD207" s="28"/>
      <c r="AE207" s="47"/>
      <c r="AF207" s="49"/>
      <c r="AG207" s="47"/>
      <c r="AH207" s="28"/>
      <c r="AI207" s="28"/>
      <c r="AJ207" s="28"/>
      <c r="AK207" s="29">
        <f t="shared" si="260"/>
        <v>0</v>
      </c>
      <c r="AL207" s="47">
        <v>0</v>
      </c>
      <c r="AM207" s="28"/>
      <c r="AN207" s="28"/>
      <c r="AO207" s="28"/>
      <c r="AP207" s="29">
        <f t="shared" si="261"/>
        <v>0</v>
      </c>
      <c r="AQ207" s="47"/>
      <c r="AR207" s="28"/>
      <c r="AS207" s="28"/>
      <c r="AT207" s="28"/>
      <c r="AU207" s="29">
        <f t="shared" si="262"/>
        <v>0</v>
      </c>
      <c r="AV207" s="47"/>
      <c r="AW207" s="47"/>
      <c r="AX207" s="47"/>
      <c r="AY207" s="47"/>
      <c r="AZ207" s="28"/>
      <c r="BA207" s="28"/>
      <c r="BB207" s="28"/>
      <c r="BC207" s="29">
        <f t="shared" si="263"/>
        <v>0</v>
      </c>
      <c r="BD207" s="24">
        <f t="shared" si="264"/>
        <v>0</v>
      </c>
      <c r="BE207" s="24">
        <f t="shared" si="264"/>
        <v>1550000</v>
      </c>
      <c r="BF207" s="24">
        <f t="shared" si="264"/>
        <v>2160000</v>
      </c>
      <c r="BG207" s="24">
        <f t="shared" si="265"/>
        <v>420000</v>
      </c>
      <c r="BH207" s="30">
        <f t="shared" si="265"/>
        <v>700000</v>
      </c>
      <c r="BI207" s="30">
        <f t="shared" si="265"/>
        <v>1095000</v>
      </c>
      <c r="BJ207" s="30">
        <f t="shared" si="265"/>
        <v>1155000</v>
      </c>
      <c r="BK207" s="25">
        <f t="shared" si="266"/>
        <v>7080000</v>
      </c>
    </row>
    <row r="208" spans="1:63">
      <c r="A208" s="32"/>
      <c r="B208" s="22">
        <v>36</v>
      </c>
      <c r="C208" s="46" t="s">
        <v>390</v>
      </c>
      <c r="D208" s="72" t="s">
        <v>339</v>
      </c>
      <c r="E208" s="24" t="s">
        <v>331</v>
      </c>
      <c r="F208" s="24"/>
      <c r="G208" s="24"/>
      <c r="H208" s="24"/>
      <c r="I208" s="24"/>
      <c r="J208" s="24"/>
      <c r="K208" s="24"/>
      <c r="L208" s="24"/>
      <c r="M208" s="25">
        <f t="shared" si="257"/>
        <v>0</v>
      </c>
      <c r="N208" s="24"/>
      <c r="O208" s="24"/>
      <c r="P208" s="24"/>
      <c r="Q208" s="24"/>
      <c r="R208" s="24"/>
      <c r="S208" s="24"/>
      <c r="T208" s="24"/>
      <c r="U208" s="25">
        <f t="shared" si="258"/>
        <v>0</v>
      </c>
      <c r="V208" s="28"/>
      <c r="W208" s="53"/>
      <c r="X208" s="78"/>
      <c r="Y208" s="78">
        <v>128000</v>
      </c>
      <c r="Z208" s="78"/>
      <c r="AA208" s="78"/>
      <c r="AB208" s="78"/>
      <c r="AC208" s="25">
        <f t="shared" si="259"/>
        <v>128000</v>
      </c>
      <c r="AD208" s="28"/>
      <c r="AE208" s="47"/>
      <c r="AF208" s="49"/>
      <c r="AG208" s="47"/>
      <c r="AH208" s="28"/>
      <c r="AI208" s="28"/>
      <c r="AJ208" s="28"/>
      <c r="AK208" s="29">
        <f t="shared" si="260"/>
        <v>0</v>
      </c>
      <c r="AL208" s="47">
        <v>0</v>
      </c>
      <c r="AM208" s="28"/>
      <c r="AN208" s="28"/>
      <c r="AO208" s="28"/>
      <c r="AP208" s="29">
        <f t="shared" si="261"/>
        <v>0</v>
      </c>
      <c r="AQ208" s="47"/>
      <c r="AR208" s="28"/>
      <c r="AS208" s="28"/>
      <c r="AT208" s="28"/>
      <c r="AU208" s="29">
        <f t="shared" si="262"/>
        <v>0</v>
      </c>
      <c r="AV208" s="47"/>
      <c r="AW208" s="47">
        <v>100000</v>
      </c>
      <c r="AX208" s="47"/>
      <c r="AY208" s="47"/>
      <c r="AZ208" s="28"/>
      <c r="BA208" s="28"/>
      <c r="BB208" s="28"/>
      <c r="BC208" s="29">
        <f t="shared" si="263"/>
        <v>100000</v>
      </c>
      <c r="BD208" s="24">
        <f t="shared" si="264"/>
        <v>0</v>
      </c>
      <c r="BE208" s="24">
        <f t="shared" si="264"/>
        <v>100000</v>
      </c>
      <c r="BF208" s="24">
        <f t="shared" si="264"/>
        <v>0</v>
      </c>
      <c r="BG208" s="24">
        <f t="shared" si="265"/>
        <v>128000</v>
      </c>
      <c r="BH208" s="30">
        <f t="shared" si="265"/>
        <v>0</v>
      </c>
      <c r="BI208" s="30">
        <f t="shared" si="265"/>
        <v>0</v>
      </c>
      <c r="BJ208" s="30">
        <f t="shared" si="265"/>
        <v>0</v>
      </c>
      <c r="BK208" s="25">
        <f t="shared" si="266"/>
        <v>228000</v>
      </c>
    </row>
    <row r="209" spans="1:63" ht="18.75">
      <c r="A209" s="14"/>
      <c r="B209" s="22">
        <v>37</v>
      </c>
      <c r="C209" s="23" t="s">
        <v>391</v>
      </c>
      <c r="D209" s="71" t="s">
        <v>392</v>
      </c>
      <c r="E209" s="24" t="s">
        <v>331</v>
      </c>
      <c r="F209" s="24"/>
      <c r="G209" s="24"/>
      <c r="H209" s="24"/>
      <c r="I209" s="24"/>
      <c r="J209" s="24"/>
      <c r="K209" s="24"/>
      <c r="L209" s="24"/>
      <c r="M209" s="25">
        <f t="shared" si="257"/>
        <v>0</v>
      </c>
      <c r="N209" s="24"/>
      <c r="O209" s="24"/>
      <c r="P209" s="24"/>
      <c r="Q209" s="24"/>
      <c r="R209" s="24"/>
      <c r="S209" s="24"/>
      <c r="T209" s="24"/>
      <c r="U209" s="25">
        <f t="shared" si="258"/>
        <v>0</v>
      </c>
      <c r="V209" s="28"/>
      <c r="W209" s="28"/>
      <c r="X209" s="28"/>
      <c r="Y209" s="28"/>
      <c r="Z209" s="28"/>
      <c r="AA209" s="28"/>
      <c r="AB209" s="28"/>
      <c r="AC209" s="25">
        <f t="shared" si="259"/>
        <v>0</v>
      </c>
      <c r="AD209" s="28"/>
      <c r="AE209" s="47"/>
      <c r="AF209" s="49">
        <v>627400</v>
      </c>
      <c r="AG209" s="47">
        <v>950000</v>
      </c>
      <c r="AH209" s="28">
        <f>70000+207000+208500+208500+139000</f>
        <v>833000</v>
      </c>
      <c r="AI209" s="28">
        <f>1196900+271600+135800</f>
        <v>1604300</v>
      </c>
      <c r="AJ209" s="28">
        <v>1561700</v>
      </c>
      <c r="AK209" s="29">
        <f t="shared" si="260"/>
        <v>5576400</v>
      </c>
      <c r="AL209" s="47">
        <v>0</v>
      </c>
      <c r="AM209" s="28"/>
      <c r="AN209" s="28"/>
      <c r="AO209" s="28"/>
      <c r="AP209" s="29">
        <f t="shared" si="261"/>
        <v>0</v>
      </c>
      <c r="AQ209" s="47"/>
      <c r="AR209" s="28"/>
      <c r="AS209" s="28"/>
      <c r="AT209" s="28"/>
      <c r="AU209" s="29">
        <f t="shared" si="262"/>
        <v>0</v>
      </c>
      <c r="AV209" s="47"/>
      <c r="AW209" s="47"/>
      <c r="AX209" s="47"/>
      <c r="AY209" s="47"/>
      <c r="AZ209" s="28"/>
      <c r="BA209" s="28"/>
      <c r="BB209" s="28"/>
      <c r="BC209" s="29">
        <f t="shared" si="263"/>
        <v>0</v>
      </c>
      <c r="BD209" s="24">
        <f t="shared" si="264"/>
        <v>0</v>
      </c>
      <c r="BE209" s="24">
        <f t="shared" si="264"/>
        <v>0</v>
      </c>
      <c r="BF209" s="24">
        <f t="shared" si="264"/>
        <v>627400</v>
      </c>
      <c r="BG209" s="24">
        <f t="shared" si="265"/>
        <v>950000</v>
      </c>
      <c r="BH209" s="30">
        <f t="shared" si="265"/>
        <v>833000</v>
      </c>
      <c r="BI209" s="30">
        <f t="shared" si="265"/>
        <v>1604300</v>
      </c>
      <c r="BJ209" s="30">
        <f t="shared" si="265"/>
        <v>1561700</v>
      </c>
      <c r="BK209" s="25">
        <f t="shared" si="266"/>
        <v>5576400</v>
      </c>
    </row>
    <row r="210" spans="1:63" s="42" customFormat="1">
      <c r="A210" s="37"/>
      <c r="B210" s="37"/>
      <c r="C210" s="38" t="s">
        <v>393</v>
      </c>
      <c r="D210" s="40"/>
      <c r="E210" s="40"/>
      <c r="F210" s="40">
        <f>SUM(F173:F209)</f>
        <v>1395000</v>
      </c>
      <c r="G210" s="40">
        <f t="shared" ref="G210:BK210" si="267">SUM(G173:G209)</f>
        <v>7396483</v>
      </c>
      <c r="H210" s="40">
        <f t="shared" si="267"/>
        <v>6600000</v>
      </c>
      <c r="I210" s="40">
        <f t="shared" si="267"/>
        <v>2141500</v>
      </c>
      <c r="J210" s="40">
        <f t="shared" si="267"/>
        <v>980000</v>
      </c>
      <c r="K210" s="40">
        <f t="shared" si="267"/>
        <v>1330000</v>
      </c>
      <c r="L210" s="40">
        <f t="shared" si="267"/>
        <v>1461500</v>
      </c>
      <c r="M210" s="40">
        <f t="shared" si="267"/>
        <v>21304483</v>
      </c>
      <c r="N210" s="40">
        <f t="shared" si="267"/>
        <v>580000</v>
      </c>
      <c r="O210" s="40">
        <f t="shared" si="267"/>
        <v>6390000</v>
      </c>
      <c r="P210" s="40">
        <f t="shared" si="267"/>
        <v>5900000</v>
      </c>
      <c r="Q210" s="40">
        <f t="shared" si="267"/>
        <v>3325000</v>
      </c>
      <c r="R210" s="40">
        <f t="shared" si="267"/>
        <v>3145000</v>
      </c>
      <c r="S210" s="40">
        <f t="shared" si="267"/>
        <v>6125000</v>
      </c>
      <c r="T210" s="40">
        <f t="shared" si="267"/>
        <v>8015000</v>
      </c>
      <c r="U210" s="40">
        <f t="shared" si="267"/>
        <v>33480000</v>
      </c>
      <c r="V210" s="40">
        <f t="shared" si="267"/>
        <v>1740000</v>
      </c>
      <c r="W210" s="40">
        <f t="shared" si="267"/>
        <v>7050479</v>
      </c>
      <c r="X210" s="40">
        <f t="shared" si="267"/>
        <v>7679000</v>
      </c>
      <c r="Y210" s="40">
        <f t="shared" si="267"/>
        <v>1868000</v>
      </c>
      <c r="Z210" s="40">
        <f t="shared" si="267"/>
        <v>2425000</v>
      </c>
      <c r="AA210" s="40">
        <f t="shared" si="267"/>
        <v>2899000</v>
      </c>
      <c r="AB210" s="40">
        <f t="shared" si="267"/>
        <v>4375000</v>
      </c>
      <c r="AC210" s="40">
        <f t="shared" si="267"/>
        <v>28036479</v>
      </c>
      <c r="AD210" s="40">
        <f t="shared" si="267"/>
        <v>1950000</v>
      </c>
      <c r="AE210" s="40">
        <f t="shared" si="267"/>
        <v>14238850</v>
      </c>
      <c r="AF210" s="40">
        <f t="shared" si="267"/>
        <v>8484650</v>
      </c>
      <c r="AG210" s="40">
        <f t="shared" si="267"/>
        <v>6737500</v>
      </c>
      <c r="AH210" s="40">
        <f t="shared" si="267"/>
        <v>4767000</v>
      </c>
      <c r="AI210" s="40">
        <f t="shared" si="267"/>
        <v>7173350</v>
      </c>
      <c r="AJ210" s="40">
        <f>SUM(AJ173:AJ209)</f>
        <v>9808021</v>
      </c>
      <c r="AK210" s="40">
        <f t="shared" si="267"/>
        <v>53159371</v>
      </c>
      <c r="AL210" s="40">
        <f t="shared" si="267"/>
        <v>5735000</v>
      </c>
      <c r="AM210" s="40">
        <f t="shared" si="267"/>
        <v>7340500</v>
      </c>
      <c r="AN210" s="40">
        <f t="shared" si="267"/>
        <v>11665200</v>
      </c>
      <c r="AO210" s="40">
        <f t="shared" si="267"/>
        <v>11503000</v>
      </c>
      <c r="AP210" s="40">
        <f t="shared" si="267"/>
        <v>36243700</v>
      </c>
      <c r="AQ210" s="40">
        <f t="shared" si="267"/>
        <v>1790000</v>
      </c>
      <c r="AR210" s="40">
        <f t="shared" si="267"/>
        <v>2755000</v>
      </c>
      <c r="AS210" s="40">
        <f t="shared" si="267"/>
        <v>4980500</v>
      </c>
      <c r="AT210" s="40">
        <f t="shared" si="267"/>
        <v>5066000</v>
      </c>
      <c r="AU210" s="40">
        <f t="shared" si="267"/>
        <v>14591500</v>
      </c>
      <c r="AV210" s="40">
        <f t="shared" si="267"/>
        <v>0</v>
      </c>
      <c r="AW210" s="40">
        <f t="shared" si="267"/>
        <v>1576000</v>
      </c>
      <c r="AX210" s="40">
        <f t="shared" si="267"/>
        <v>3174950</v>
      </c>
      <c r="AY210" s="40">
        <f t="shared" si="267"/>
        <v>150000</v>
      </c>
      <c r="AZ210" s="40">
        <f t="shared" si="267"/>
        <v>0</v>
      </c>
      <c r="BA210" s="40">
        <f t="shared" si="267"/>
        <v>0</v>
      </c>
      <c r="BB210" s="40">
        <f t="shared" si="267"/>
        <v>266800</v>
      </c>
      <c r="BC210" s="40">
        <f t="shared" si="267"/>
        <v>5167750</v>
      </c>
      <c r="BD210" s="40">
        <f t="shared" si="267"/>
        <v>5665000</v>
      </c>
      <c r="BE210" s="40">
        <f t="shared" si="267"/>
        <v>36651812</v>
      </c>
      <c r="BF210" s="40">
        <f t="shared" si="267"/>
        <v>31838600</v>
      </c>
      <c r="BG210" s="40">
        <f t="shared" si="267"/>
        <v>21747000</v>
      </c>
      <c r="BH210" s="40">
        <f t="shared" si="267"/>
        <v>21412500</v>
      </c>
      <c r="BI210" s="41">
        <f>SUM(BI173:BI209)</f>
        <v>34173050</v>
      </c>
      <c r="BJ210" s="40">
        <f t="shared" ref="BJ210" si="268">SUM(BJ173:BJ209)</f>
        <v>40495321</v>
      </c>
      <c r="BK210" s="40">
        <f t="shared" si="267"/>
        <v>191983283</v>
      </c>
    </row>
    <row r="211" spans="1:63" ht="31.5">
      <c r="A211" s="15" t="s">
        <v>394</v>
      </c>
      <c r="B211" s="22">
        <v>1</v>
      </c>
      <c r="C211" s="23" t="s">
        <v>395</v>
      </c>
      <c r="D211" s="36" t="s">
        <v>396</v>
      </c>
      <c r="E211" s="24" t="s">
        <v>394</v>
      </c>
      <c r="F211" s="24"/>
      <c r="G211" s="24"/>
      <c r="H211" s="36"/>
      <c r="I211" s="24"/>
      <c r="J211" s="24"/>
      <c r="K211" s="24"/>
      <c r="L211" s="24"/>
      <c r="M211" s="25">
        <f>SUM(F211:L211)</f>
        <v>0</v>
      </c>
      <c r="N211" s="34"/>
      <c r="O211" s="34"/>
      <c r="P211" s="34">
        <v>351999</v>
      </c>
      <c r="Q211" s="34">
        <v>450000</v>
      </c>
      <c r="R211" s="24">
        <f>1050000+75000+225000+225000+150000</f>
        <v>1725000</v>
      </c>
      <c r="S211" s="24">
        <v>1485000</v>
      </c>
      <c r="T211" s="24">
        <f>320000+960000+160000+150000+300000+150000</f>
        <v>2040000</v>
      </c>
      <c r="U211" s="25">
        <f>SUM(N211:T211)</f>
        <v>6051999</v>
      </c>
      <c r="V211" s="28"/>
      <c r="W211" s="28"/>
      <c r="X211" s="28"/>
      <c r="Y211" s="28"/>
      <c r="Z211" s="28"/>
      <c r="AA211" s="28"/>
      <c r="AB211" s="28"/>
      <c r="AC211" s="25">
        <f>SUM(V211:AB211)</f>
        <v>0</v>
      </c>
      <c r="AD211" s="28"/>
      <c r="AE211" s="47">
        <v>195000</v>
      </c>
      <c r="AF211" s="28"/>
      <c r="AG211" s="28">
        <v>42000</v>
      </c>
      <c r="AH211" s="28"/>
      <c r="AI211" s="28"/>
      <c r="AJ211" s="28"/>
      <c r="AK211" s="29">
        <f>SUM(AD211:AJ211)</f>
        <v>237000</v>
      </c>
      <c r="AL211" s="47"/>
      <c r="AM211" s="28"/>
      <c r="AN211" s="28"/>
      <c r="AO211" s="28"/>
      <c r="AP211" s="29">
        <f>SUM(AL211:AO211)</f>
        <v>0</v>
      </c>
      <c r="AQ211" s="47"/>
      <c r="AR211" s="28"/>
      <c r="AS211" s="28"/>
      <c r="AT211" s="28"/>
      <c r="AU211" s="29">
        <f>SUM(AQ211:AT211)</f>
        <v>0</v>
      </c>
      <c r="AV211" s="47"/>
      <c r="AW211" s="47"/>
      <c r="AX211" s="47"/>
      <c r="AY211" s="47"/>
      <c r="AZ211" s="28"/>
      <c r="BA211" s="28"/>
      <c r="BB211" s="28"/>
      <c r="BC211" s="29">
        <f>SUM(AV211:BB211)</f>
        <v>0</v>
      </c>
      <c r="BD211" s="24">
        <f>F211+N211+V211+AD211+AV211</f>
        <v>0</v>
      </c>
      <c r="BE211" s="24">
        <f>G211+O211+W211+AE211+AW211</f>
        <v>195000</v>
      </c>
      <c r="BF211" s="24">
        <f>H211+P211+X211+AF211+AX211</f>
        <v>351999</v>
      </c>
      <c r="BG211" s="24">
        <f>I211+Q211+Y211+AG211+AL211+AQ211+AY211</f>
        <v>492000</v>
      </c>
      <c r="BH211" s="30">
        <f t="shared" ref="BH211" si="269">J211+R211+Z211+AH211+AM211+AR211+AZ211</f>
        <v>1725000</v>
      </c>
      <c r="BI211" s="30">
        <f>K211+S211+AA211+AI211+AN211+AS211+BA211</f>
        <v>1485000</v>
      </c>
      <c r="BJ211" s="30">
        <f>L211+T211+AB211+AJ211+AO211+AT211+BB211</f>
        <v>2040000</v>
      </c>
      <c r="BK211" s="25">
        <f>SUM(BD211:BJ211)</f>
        <v>6288999</v>
      </c>
    </row>
    <row r="212" spans="1:63" s="42" customFormat="1">
      <c r="A212" s="37"/>
      <c r="B212" s="37"/>
      <c r="C212" s="38" t="s">
        <v>397</v>
      </c>
      <c r="D212" s="40"/>
      <c r="E212" s="40"/>
      <c r="F212" s="40">
        <f>SUM(F211)</f>
        <v>0</v>
      </c>
      <c r="G212" s="40">
        <f t="shared" ref="G212:BK212" si="270">SUM(G211)</f>
        <v>0</v>
      </c>
      <c r="H212" s="40">
        <f t="shared" si="270"/>
        <v>0</v>
      </c>
      <c r="I212" s="40">
        <f t="shared" si="270"/>
        <v>0</v>
      </c>
      <c r="J212" s="40">
        <f t="shared" si="270"/>
        <v>0</v>
      </c>
      <c r="K212" s="40">
        <f t="shared" si="270"/>
        <v>0</v>
      </c>
      <c r="L212" s="40">
        <f t="shared" si="270"/>
        <v>0</v>
      </c>
      <c r="M212" s="40">
        <f t="shared" si="270"/>
        <v>0</v>
      </c>
      <c r="N212" s="40">
        <f t="shared" si="270"/>
        <v>0</v>
      </c>
      <c r="O212" s="40">
        <f t="shared" si="270"/>
        <v>0</v>
      </c>
      <c r="P212" s="40">
        <f t="shared" si="270"/>
        <v>351999</v>
      </c>
      <c r="Q212" s="40">
        <f t="shared" si="270"/>
        <v>450000</v>
      </c>
      <c r="R212" s="40">
        <f t="shared" si="270"/>
        <v>1725000</v>
      </c>
      <c r="S212" s="40">
        <f t="shared" si="270"/>
        <v>1485000</v>
      </c>
      <c r="T212" s="40">
        <f t="shared" si="270"/>
        <v>2040000</v>
      </c>
      <c r="U212" s="40">
        <f t="shared" si="270"/>
        <v>6051999</v>
      </c>
      <c r="V212" s="40">
        <f t="shared" si="270"/>
        <v>0</v>
      </c>
      <c r="W212" s="40">
        <f t="shared" si="270"/>
        <v>0</v>
      </c>
      <c r="X212" s="40">
        <f t="shared" si="270"/>
        <v>0</v>
      </c>
      <c r="Y212" s="40">
        <f t="shared" si="270"/>
        <v>0</v>
      </c>
      <c r="Z212" s="40">
        <f t="shared" si="270"/>
        <v>0</v>
      </c>
      <c r="AA212" s="40">
        <f t="shared" si="270"/>
        <v>0</v>
      </c>
      <c r="AB212" s="40">
        <f t="shared" si="270"/>
        <v>0</v>
      </c>
      <c r="AC212" s="40">
        <f t="shared" si="270"/>
        <v>0</v>
      </c>
      <c r="AD212" s="40">
        <f t="shared" si="270"/>
        <v>0</v>
      </c>
      <c r="AE212" s="40">
        <f t="shared" si="270"/>
        <v>195000</v>
      </c>
      <c r="AF212" s="40">
        <f t="shared" si="270"/>
        <v>0</v>
      </c>
      <c r="AG212" s="40">
        <f t="shared" si="270"/>
        <v>42000</v>
      </c>
      <c r="AH212" s="40">
        <f t="shared" si="270"/>
        <v>0</v>
      </c>
      <c r="AI212" s="40">
        <f t="shared" si="270"/>
        <v>0</v>
      </c>
      <c r="AJ212" s="40">
        <f t="shared" si="270"/>
        <v>0</v>
      </c>
      <c r="AK212" s="40">
        <f t="shared" si="270"/>
        <v>237000</v>
      </c>
      <c r="AL212" s="40">
        <f t="shared" si="270"/>
        <v>0</v>
      </c>
      <c r="AM212" s="40">
        <f t="shared" si="270"/>
        <v>0</v>
      </c>
      <c r="AN212" s="40">
        <f t="shared" si="270"/>
        <v>0</v>
      </c>
      <c r="AO212" s="40">
        <f t="shared" si="270"/>
        <v>0</v>
      </c>
      <c r="AP212" s="40">
        <f t="shared" si="270"/>
        <v>0</v>
      </c>
      <c r="AQ212" s="40">
        <f t="shared" si="270"/>
        <v>0</v>
      </c>
      <c r="AR212" s="40">
        <f t="shared" si="270"/>
        <v>0</v>
      </c>
      <c r="AS212" s="40">
        <f t="shared" si="270"/>
        <v>0</v>
      </c>
      <c r="AT212" s="40">
        <f t="shared" si="270"/>
        <v>0</v>
      </c>
      <c r="AU212" s="40">
        <f t="shared" si="270"/>
        <v>0</v>
      </c>
      <c r="AV212" s="40">
        <f t="shared" si="270"/>
        <v>0</v>
      </c>
      <c r="AW212" s="40">
        <f t="shared" si="270"/>
        <v>0</v>
      </c>
      <c r="AX212" s="40">
        <f t="shared" si="270"/>
        <v>0</v>
      </c>
      <c r="AY212" s="40">
        <f t="shared" si="270"/>
        <v>0</v>
      </c>
      <c r="AZ212" s="40">
        <f t="shared" si="270"/>
        <v>0</v>
      </c>
      <c r="BA212" s="40">
        <f t="shared" si="270"/>
        <v>0</v>
      </c>
      <c r="BB212" s="40">
        <f t="shared" si="270"/>
        <v>0</v>
      </c>
      <c r="BC212" s="40">
        <f t="shared" si="270"/>
        <v>0</v>
      </c>
      <c r="BD212" s="40">
        <f t="shared" si="270"/>
        <v>0</v>
      </c>
      <c r="BE212" s="40">
        <f t="shared" si="270"/>
        <v>195000</v>
      </c>
      <c r="BF212" s="40">
        <f t="shared" si="270"/>
        <v>351999</v>
      </c>
      <c r="BG212" s="40">
        <f t="shared" si="270"/>
        <v>492000</v>
      </c>
      <c r="BH212" s="40">
        <f t="shared" si="270"/>
        <v>1725000</v>
      </c>
      <c r="BI212" s="41">
        <f>SUM(BI211)</f>
        <v>1485000</v>
      </c>
      <c r="BJ212" s="40">
        <f t="shared" ref="BJ212" si="271">SUM(BJ211)</f>
        <v>2040000</v>
      </c>
      <c r="BK212" s="40">
        <f t="shared" si="270"/>
        <v>6288999</v>
      </c>
    </row>
    <row r="213" spans="1:63">
      <c r="A213" s="6" t="s">
        <v>398</v>
      </c>
      <c r="B213" s="22">
        <v>1</v>
      </c>
      <c r="C213" s="23" t="s">
        <v>399</v>
      </c>
      <c r="D213" s="24" t="s">
        <v>400</v>
      </c>
      <c r="E213" s="24" t="s">
        <v>398</v>
      </c>
      <c r="F213" s="24"/>
      <c r="G213" s="24"/>
      <c r="H213" s="24">
        <v>155000</v>
      </c>
      <c r="I213" s="24">
        <v>172000</v>
      </c>
      <c r="J213" s="24">
        <f>828000+140000+420000+140000</f>
        <v>1528000</v>
      </c>
      <c r="K213" s="24">
        <f>880000+183208+93208</f>
        <v>1156416</v>
      </c>
      <c r="L213" s="24">
        <v>1080000</v>
      </c>
      <c r="M213" s="25">
        <f t="shared" ref="M213:M225" si="272">SUM(F213:L213)</f>
        <v>4091416</v>
      </c>
      <c r="N213" s="34"/>
      <c r="O213" s="34"/>
      <c r="P213" s="34"/>
      <c r="Q213" s="34"/>
      <c r="R213" s="24"/>
      <c r="S213" s="24"/>
      <c r="T213" s="24"/>
      <c r="U213" s="25">
        <f t="shared" ref="U213:U225" si="273">SUM(N213:T213)</f>
        <v>0</v>
      </c>
      <c r="V213" s="28"/>
      <c r="W213" s="28"/>
      <c r="X213" s="28"/>
      <c r="Y213" s="28"/>
      <c r="Z213" s="28"/>
      <c r="AA213" s="28"/>
      <c r="AB213" s="28"/>
      <c r="AC213" s="25">
        <f t="shared" ref="AC213:AC225" si="274">SUM(V213:AB213)</f>
        <v>0</v>
      </c>
      <c r="AD213" s="28"/>
      <c r="AE213" s="28"/>
      <c r="AF213" s="28"/>
      <c r="AG213" s="28"/>
      <c r="AH213" s="28"/>
      <c r="AI213" s="28"/>
      <c r="AJ213" s="28"/>
      <c r="AK213" s="29">
        <f t="shared" ref="AK213:AK225" si="275">SUM(AD213:AJ213)</f>
        <v>0</v>
      </c>
      <c r="AL213" s="47">
        <v>0</v>
      </c>
      <c r="AM213" s="28"/>
      <c r="AN213" s="28"/>
      <c r="AO213" s="28"/>
      <c r="AP213" s="29">
        <f t="shared" ref="AP213:AP225" si="276">SUM(AL213:AO213)</f>
        <v>0</v>
      </c>
      <c r="AQ213" s="47"/>
      <c r="AR213" s="28"/>
      <c r="AS213" s="28"/>
      <c r="AT213" s="28"/>
      <c r="AU213" s="29">
        <f t="shared" ref="AU213:AU225" si="277">SUM(AQ213:AT213)</f>
        <v>0</v>
      </c>
      <c r="AV213" s="47"/>
      <c r="AW213" s="47"/>
      <c r="AX213" s="47">
        <v>100000</v>
      </c>
      <c r="AY213" s="47">
        <v>125000</v>
      </c>
      <c r="AZ213" s="28"/>
      <c r="BA213" s="28"/>
      <c r="BB213" s="28"/>
      <c r="BC213" s="29">
        <f t="shared" ref="BC213:BC225" si="278">SUM(AV213:BB213)</f>
        <v>225000</v>
      </c>
      <c r="BD213" s="24">
        <f t="shared" ref="BD213:BF225" si="279">F213+N213+V213+AD213+AV213</f>
        <v>0</v>
      </c>
      <c r="BE213" s="24">
        <f t="shared" si="279"/>
        <v>0</v>
      </c>
      <c r="BF213" s="24">
        <f t="shared" si="279"/>
        <v>255000</v>
      </c>
      <c r="BG213" s="24">
        <f t="shared" ref="BG213:BJ225" si="280">I213+Q213+Y213+AG213+AL213+AQ213+AY213</f>
        <v>297000</v>
      </c>
      <c r="BH213" s="30">
        <f t="shared" si="280"/>
        <v>1528000</v>
      </c>
      <c r="BI213" s="30">
        <f t="shared" si="280"/>
        <v>1156416</v>
      </c>
      <c r="BJ213" s="30">
        <f t="shared" si="280"/>
        <v>1080000</v>
      </c>
      <c r="BK213" s="25">
        <f t="shared" ref="BK213:BK225" si="281">SUM(BD213:BJ213)</f>
        <v>4316416</v>
      </c>
    </row>
    <row r="214" spans="1:63" ht="31.5">
      <c r="A214" s="32"/>
      <c r="B214" s="22">
        <v>2</v>
      </c>
      <c r="C214" s="23" t="s">
        <v>401</v>
      </c>
      <c r="D214" s="24" t="s">
        <v>402</v>
      </c>
      <c r="E214" s="24" t="s">
        <v>398</v>
      </c>
      <c r="F214" s="24"/>
      <c r="G214" s="24">
        <f>399694+3753</f>
        <v>403447</v>
      </c>
      <c r="H214" s="24">
        <f>114500+65000+219000</f>
        <v>398500</v>
      </c>
      <c r="I214" s="24"/>
      <c r="J214" s="24"/>
      <c r="K214" s="24"/>
      <c r="L214" s="24"/>
      <c r="M214" s="25">
        <f t="shared" si="272"/>
        <v>801947</v>
      </c>
      <c r="N214" s="24"/>
      <c r="O214" s="24"/>
      <c r="P214" s="24"/>
      <c r="Q214" s="24"/>
      <c r="R214" s="24"/>
      <c r="S214" s="24"/>
      <c r="T214" s="24"/>
      <c r="U214" s="25">
        <f t="shared" si="273"/>
        <v>0</v>
      </c>
      <c r="V214" s="28"/>
      <c r="W214" s="28"/>
      <c r="X214" s="28"/>
      <c r="Y214" s="28"/>
      <c r="Z214" s="28"/>
      <c r="AA214" s="28"/>
      <c r="AB214" s="28"/>
      <c r="AC214" s="25">
        <f t="shared" si="274"/>
        <v>0</v>
      </c>
      <c r="AD214" s="28">
        <v>195000</v>
      </c>
      <c r="AE214" s="47">
        <v>1079050</v>
      </c>
      <c r="AF214" s="47">
        <v>1013650</v>
      </c>
      <c r="AG214" s="49">
        <v>150000</v>
      </c>
      <c r="AH214" s="28"/>
      <c r="AI214" s="28"/>
      <c r="AJ214" s="28"/>
      <c r="AK214" s="29">
        <f t="shared" si="275"/>
        <v>2437700</v>
      </c>
      <c r="AL214" s="47">
        <v>838000</v>
      </c>
      <c r="AM214" s="28">
        <f>105000+315000+315000+315000+210000</f>
        <v>1260000</v>
      </c>
      <c r="AN214" s="28">
        <f>1386000+310000+155200</f>
        <v>1851200</v>
      </c>
      <c r="AO214" s="28">
        <v>1856550</v>
      </c>
      <c r="AP214" s="29">
        <f t="shared" si="276"/>
        <v>5805750</v>
      </c>
      <c r="AQ214" s="47"/>
      <c r="AR214" s="28"/>
      <c r="AS214" s="28"/>
      <c r="AT214" s="28"/>
      <c r="AU214" s="29">
        <f t="shared" si="277"/>
        <v>0</v>
      </c>
      <c r="AV214" s="47"/>
      <c r="AW214" s="47"/>
      <c r="AX214" s="47"/>
      <c r="AY214" s="47"/>
      <c r="AZ214" s="28"/>
      <c r="BA214" s="28"/>
      <c r="BB214" s="28"/>
      <c r="BC214" s="29">
        <f t="shared" si="278"/>
        <v>0</v>
      </c>
      <c r="BD214" s="24">
        <f t="shared" si="279"/>
        <v>195000</v>
      </c>
      <c r="BE214" s="24">
        <f t="shared" si="279"/>
        <v>1482497</v>
      </c>
      <c r="BF214" s="24">
        <f t="shared" si="279"/>
        <v>1412150</v>
      </c>
      <c r="BG214" s="24">
        <f t="shared" si="280"/>
        <v>988000</v>
      </c>
      <c r="BH214" s="30">
        <f t="shared" si="280"/>
        <v>1260000</v>
      </c>
      <c r="BI214" s="30">
        <f t="shared" si="280"/>
        <v>1851200</v>
      </c>
      <c r="BJ214" s="30">
        <f t="shared" si="280"/>
        <v>1856550</v>
      </c>
      <c r="BK214" s="25">
        <f t="shared" si="281"/>
        <v>9045397</v>
      </c>
    </row>
    <row r="215" spans="1:63">
      <c r="A215" s="32"/>
      <c r="B215" s="22">
        <v>3</v>
      </c>
      <c r="C215" s="23" t="s">
        <v>403</v>
      </c>
      <c r="D215" s="24" t="s">
        <v>404</v>
      </c>
      <c r="E215" s="24" t="s">
        <v>398</v>
      </c>
      <c r="F215" s="24"/>
      <c r="G215" s="24"/>
      <c r="H215" s="24">
        <v>155000</v>
      </c>
      <c r="I215" s="24"/>
      <c r="J215" s="24"/>
      <c r="K215" s="24"/>
      <c r="L215" s="24"/>
      <c r="M215" s="25">
        <f t="shared" si="272"/>
        <v>155000</v>
      </c>
      <c r="N215" s="24"/>
      <c r="O215" s="24"/>
      <c r="P215" s="24"/>
      <c r="Q215" s="24"/>
      <c r="R215" s="24"/>
      <c r="S215" s="24"/>
      <c r="T215" s="24"/>
      <c r="U215" s="25">
        <f t="shared" si="273"/>
        <v>0</v>
      </c>
      <c r="V215" s="28"/>
      <c r="W215" s="28"/>
      <c r="X215" s="28"/>
      <c r="Y215" s="28"/>
      <c r="Z215" s="28"/>
      <c r="AA215" s="28"/>
      <c r="AB215" s="28"/>
      <c r="AC215" s="25">
        <f t="shared" si="274"/>
        <v>0</v>
      </c>
      <c r="AD215" s="28"/>
      <c r="AE215" s="28"/>
      <c r="AF215" s="28"/>
      <c r="AG215" s="28"/>
      <c r="AH215" s="28"/>
      <c r="AI215" s="28"/>
      <c r="AJ215" s="28"/>
      <c r="AK215" s="29">
        <f t="shared" si="275"/>
        <v>0</v>
      </c>
      <c r="AL215" s="47">
        <v>0</v>
      </c>
      <c r="AM215" s="28"/>
      <c r="AN215" s="28"/>
      <c r="AO215" s="28"/>
      <c r="AP215" s="29">
        <f t="shared" si="276"/>
        <v>0</v>
      </c>
      <c r="AQ215" s="47"/>
      <c r="AR215" s="28"/>
      <c r="AS215" s="28"/>
      <c r="AT215" s="28"/>
      <c r="AU215" s="29">
        <f t="shared" si="277"/>
        <v>0</v>
      </c>
      <c r="AV215" s="47"/>
      <c r="AW215" s="47"/>
      <c r="AX215" s="47"/>
      <c r="AY215" s="47"/>
      <c r="AZ215" s="28"/>
      <c r="BA215" s="28"/>
      <c r="BB215" s="28"/>
      <c r="BC215" s="29">
        <f t="shared" si="278"/>
        <v>0</v>
      </c>
      <c r="BD215" s="24">
        <f t="shared" si="279"/>
        <v>0</v>
      </c>
      <c r="BE215" s="24">
        <f t="shared" si="279"/>
        <v>0</v>
      </c>
      <c r="BF215" s="24">
        <f t="shared" si="279"/>
        <v>155000</v>
      </c>
      <c r="BG215" s="24">
        <f t="shared" si="280"/>
        <v>0</v>
      </c>
      <c r="BH215" s="30">
        <f t="shared" si="280"/>
        <v>0</v>
      </c>
      <c r="BI215" s="30">
        <f t="shared" si="280"/>
        <v>0</v>
      </c>
      <c r="BJ215" s="30">
        <f t="shared" si="280"/>
        <v>0</v>
      </c>
      <c r="BK215" s="25">
        <f t="shared" si="281"/>
        <v>155000</v>
      </c>
    </row>
    <row r="216" spans="1:63">
      <c r="A216" s="32"/>
      <c r="B216" s="22">
        <v>4</v>
      </c>
      <c r="C216" s="23" t="s">
        <v>405</v>
      </c>
      <c r="D216" s="24" t="s">
        <v>406</v>
      </c>
      <c r="E216" s="24" t="s">
        <v>398</v>
      </c>
      <c r="F216" s="24"/>
      <c r="G216" s="24"/>
      <c r="H216" s="24">
        <v>155000</v>
      </c>
      <c r="I216" s="24"/>
      <c r="J216" s="24"/>
      <c r="K216" s="24"/>
      <c r="L216" s="24"/>
      <c r="M216" s="25">
        <f t="shared" si="272"/>
        <v>155000</v>
      </c>
      <c r="N216" s="24"/>
      <c r="O216" s="24"/>
      <c r="P216" s="24"/>
      <c r="Q216" s="24"/>
      <c r="R216" s="24"/>
      <c r="S216" s="24"/>
      <c r="T216" s="24"/>
      <c r="U216" s="25">
        <f t="shared" si="273"/>
        <v>0</v>
      </c>
      <c r="V216" s="28"/>
      <c r="W216" s="28"/>
      <c r="X216" s="28"/>
      <c r="Y216" s="28"/>
      <c r="Z216" s="28"/>
      <c r="AA216" s="28"/>
      <c r="AB216" s="28"/>
      <c r="AC216" s="25">
        <f t="shared" si="274"/>
        <v>0</v>
      </c>
      <c r="AD216" s="28"/>
      <c r="AE216" s="28">
        <v>195000</v>
      </c>
      <c r="AF216" s="47">
        <v>710800</v>
      </c>
      <c r="AG216" s="49">
        <v>210000</v>
      </c>
      <c r="AH216" s="28"/>
      <c r="AI216" s="28"/>
      <c r="AJ216" s="28"/>
      <c r="AK216" s="29">
        <f t="shared" si="275"/>
        <v>1115800</v>
      </c>
      <c r="AL216" s="47">
        <v>0</v>
      </c>
      <c r="AM216" s="28">
        <f>945000+315000+315000+315000+210000</f>
        <v>2100000</v>
      </c>
      <c r="AN216" s="28">
        <v>693900</v>
      </c>
      <c r="AO216" s="28">
        <v>1092000</v>
      </c>
      <c r="AP216" s="29">
        <f t="shared" si="276"/>
        <v>3885900</v>
      </c>
      <c r="AQ216" s="47"/>
      <c r="AR216" s="28"/>
      <c r="AS216" s="28"/>
      <c r="AT216" s="28"/>
      <c r="AU216" s="29">
        <f t="shared" si="277"/>
        <v>0</v>
      </c>
      <c r="AV216" s="47"/>
      <c r="AW216" s="47">
        <v>100000</v>
      </c>
      <c r="AX216" s="47">
        <v>540000</v>
      </c>
      <c r="AY216" s="47"/>
      <c r="AZ216" s="28"/>
      <c r="BA216" s="28"/>
      <c r="BB216" s="28"/>
      <c r="BC216" s="29">
        <f t="shared" si="278"/>
        <v>640000</v>
      </c>
      <c r="BD216" s="24">
        <f t="shared" si="279"/>
        <v>0</v>
      </c>
      <c r="BE216" s="24">
        <f t="shared" si="279"/>
        <v>295000</v>
      </c>
      <c r="BF216" s="24">
        <f t="shared" si="279"/>
        <v>1405800</v>
      </c>
      <c r="BG216" s="24">
        <f t="shared" si="280"/>
        <v>210000</v>
      </c>
      <c r="BH216" s="30">
        <f t="shared" si="280"/>
        <v>2100000</v>
      </c>
      <c r="BI216" s="30">
        <f t="shared" si="280"/>
        <v>693900</v>
      </c>
      <c r="BJ216" s="30">
        <f t="shared" si="280"/>
        <v>1092000</v>
      </c>
      <c r="BK216" s="25">
        <f t="shared" si="281"/>
        <v>5796700</v>
      </c>
    </row>
    <row r="217" spans="1:63">
      <c r="A217" s="32"/>
      <c r="B217" s="22">
        <v>5</v>
      </c>
      <c r="C217" s="23" t="s">
        <v>407</v>
      </c>
      <c r="D217" s="24" t="s">
        <v>408</v>
      </c>
      <c r="E217" s="24" t="s">
        <v>398</v>
      </c>
      <c r="F217" s="24"/>
      <c r="G217" s="24">
        <v>453500</v>
      </c>
      <c r="H217" s="24">
        <f>99000+203500</f>
        <v>302500</v>
      </c>
      <c r="I217" s="24">
        <v>160000</v>
      </c>
      <c r="J217" s="24"/>
      <c r="K217" s="24"/>
      <c r="L217" s="24"/>
      <c r="M217" s="25">
        <f t="shared" si="272"/>
        <v>916000</v>
      </c>
      <c r="N217" s="24"/>
      <c r="O217" s="24"/>
      <c r="P217" s="24"/>
      <c r="Q217" s="24"/>
      <c r="R217" s="24"/>
      <c r="S217" s="24"/>
      <c r="T217" s="24"/>
      <c r="U217" s="25">
        <f t="shared" si="273"/>
        <v>0</v>
      </c>
      <c r="V217" s="28"/>
      <c r="W217" s="28"/>
      <c r="X217" s="28"/>
      <c r="Y217" s="28"/>
      <c r="Z217" s="28"/>
      <c r="AA217" s="28"/>
      <c r="AB217" s="28"/>
      <c r="AC217" s="25">
        <f t="shared" si="274"/>
        <v>0</v>
      </c>
      <c r="AD217" s="28"/>
      <c r="AE217" s="47">
        <v>636450</v>
      </c>
      <c r="AF217" s="47">
        <v>252200</v>
      </c>
      <c r="AG217" s="49">
        <v>180000</v>
      </c>
      <c r="AH217" s="28"/>
      <c r="AI217" s="28"/>
      <c r="AJ217" s="28"/>
      <c r="AK217" s="29">
        <f t="shared" si="275"/>
        <v>1068650</v>
      </c>
      <c r="AL217" s="47">
        <v>823000</v>
      </c>
      <c r="AM217" s="28">
        <f>283500+273000+291500+293500+196000</f>
        <v>1337500</v>
      </c>
      <c r="AN217" s="28">
        <f>1224400+262200+129600</f>
        <v>1616200</v>
      </c>
      <c r="AO217" s="28">
        <v>1498300</v>
      </c>
      <c r="AP217" s="29">
        <f t="shared" si="276"/>
        <v>5275000</v>
      </c>
      <c r="AQ217" s="47"/>
      <c r="AR217" s="28"/>
      <c r="AS217" s="28"/>
      <c r="AT217" s="28"/>
      <c r="AU217" s="29">
        <f t="shared" si="277"/>
        <v>0</v>
      </c>
      <c r="AV217" s="47"/>
      <c r="AW217" s="47">
        <v>100000</v>
      </c>
      <c r="AX217" s="47">
        <v>230000</v>
      </c>
      <c r="AY217" s="47"/>
      <c r="AZ217" s="28"/>
      <c r="BA217" s="28"/>
      <c r="BB217" s="28"/>
      <c r="BC217" s="29">
        <f t="shared" si="278"/>
        <v>330000</v>
      </c>
      <c r="BD217" s="24">
        <f t="shared" si="279"/>
        <v>0</v>
      </c>
      <c r="BE217" s="24">
        <f t="shared" si="279"/>
        <v>1189950</v>
      </c>
      <c r="BF217" s="24">
        <f t="shared" si="279"/>
        <v>784700</v>
      </c>
      <c r="BG217" s="24">
        <f t="shared" si="280"/>
        <v>1163000</v>
      </c>
      <c r="BH217" s="30">
        <f t="shared" si="280"/>
        <v>1337500</v>
      </c>
      <c r="BI217" s="30">
        <f t="shared" si="280"/>
        <v>1616200</v>
      </c>
      <c r="BJ217" s="30">
        <f t="shared" si="280"/>
        <v>1498300</v>
      </c>
      <c r="BK217" s="25">
        <f t="shared" si="281"/>
        <v>7589650</v>
      </c>
    </row>
    <row r="218" spans="1:63">
      <c r="A218" s="32"/>
      <c r="B218" s="22">
        <v>6</v>
      </c>
      <c r="C218" s="23" t="s">
        <v>409</v>
      </c>
      <c r="D218" s="24" t="s">
        <v>408</v>
      </c>
      <c r="E218" s="24" t="s">
        <v>398</v>
      </c>
      <c r="F218" s="24"/>
      <c r="G218" s="24">
        <v>155000</v>
      </c>
      <c r="H218" s="24">
        <v>88000</v>
      </c>
      <c r="I218" s="24"/>
      <c r="J218" s="24"/>
      <c r="K218" s="24"/>
      <c r="L218" s="24"/>
      <c r="M218" s="25">
        <f t="shared" si="272"/>
        <v>243000</v>
      </c>
      <c r="N218" s="24"/>
      <c r="O218" s="24"/>
      <c r="P218" s="24"/>
      <c r="Q218" s="24"/>
      <c r="R218" s="24"/>
      <c r="S218" s="24"/>
      <c r="T218" s="24"/>
      <c r="U218" s="25">
        <f t="shared" si="273"/>
        <v>0</v>
      </c>
      <c r="V218" s="28"/>
      <c r="W218" s="28"/>
      <c r="X218" s="28"/>
      <c r="Y218" s="28"/>
      <c r="Z218" s="28"/>
      <c r="AA218" s="28"/>
      <c r="AB218" s="28"/>
      <c r="AC218" s="25">
        <f t="shared" si="274"/>
        <v>0</v>
      </c>
      <c r="AD218" s="28"/>
      <c r="AE218" s="47">
        <v>238650</v>
      </c>
      <c r="AF218" s="47">
        <v>601400</v>
      </c>
      <c r="AG218" s="49"/>
      <c r="AH218" s="28">
        <v>630000</v>
      </c>
      <c r="AI218" s="28"/>
      <c r="AJ218" s="28"/>
      <c r="AK218" s="29">
        <f t="shared" si="275"/>
        <v>1470050</v>
      </c>
      <c r="AL218" s="47">
        <v>0</v>
      </c>
      <c r="AM218" s="28">
        <f>850500+196000</f>
        <v>1046500</v>
      </c>
      <c r="AN218" s="28">
        <v>1234500</v>
      </c>
      <c r="AO218" s="28"/>
      <c r="AP218" s="29">
        <f t="shared" si="276"/>
        <v>2281000</v>
      </c>
      <c r="AQ218" s="47"/>
      <c r="AR218" s="28"/>
      <c r="AS218" s="28"/>
      <c r="AT218" s="28"/>
      <c r="AU218" s="29">
        <f t="shared" si="277"/>
        <v>0</v>
      </c>
      <c r="AV218" s="47"/>
      <c r="AW218" s="47"/>
      <c r="AX218" s="47"/>
      <c r="AY218" s="47"/>
      <c r="AZ218" s="28"/>
      <c r="BA218" s="28"/>
      <c r="BB218" s="28"/>
      <c r="BC218" s="29">
        <f t="shared" si="278"/>
        <v>0</v>
      </c>
      <c r="BD218" s="24">
        <f t="shared" si="279"/>
        <v>0</v>
      </c>
      <c r="BE218" s="24">
        <f t="shared" si="279"/>
        <v>393650</v>
      </c>
      <c r="BF218" s="24">
        <f t="shared" si="279"/>
        <v>689400</v>
      </c>
      <c r="BG218" s="24">
        <f t="shared" si="280"/>
        <v>0</v>
      </c>
      <c r="BH218" s="30">
        <f t="shared" si="280"/>
        <v>1676500</v>
      </c>
      <c r="BI218" s="30">
        <f t="shared" si="280"/>
        <v>1234500</v>
      </c>
      <c r="BJ218" s="30">
        <f t="shared" si="280"/>
        <v>0</v>
      </c>
      <c r="BK218" s="25">
        <f t="shared" si="281"/>
        <v>3994050</v>
      </c>
    </row>
    <row r="219" spans="1:63">
      <c r="A219" s="32"/>
      <c r="B219" s="22">
        <v>7</v>
      </c>
      <c r="C219" s="23" t="s">
        <v>410</v>
      </c>
      <c r="D219" s="24" t="s">
        <v>411</v>
      </c>
      <c r="E219" s="24" t="s">
        <v>398</v>
      </c>
      <c r="F219" s="24"/>
      <c r="G219" s="24">
        <v>719000</v>
      </c>
      <c r="H219" s="24">
        <f>282000+188000+80500+85000+80000</f>
        <v>715500</v>
      </c>
      <c r="I219" s="24">
        <v>673500</v>
      </c>
      <c r="J219" s="24">
        <f>181500+186000+186000+186000+121500</f>
        <v>861000</v>
      </c>
      <c r="K219" s="24">
        <f>848500+180000+90000</f>
        <v>1118500</v>
      </c>
      <c r="L219" s="24">
        <v>1065000</v>
      </c>
      <c r="M219" s="25">
        <f t="shared" si="272"/>
        <v>5152500</v>
      </c>
      <c r="N219" s="24"/>
      <c r="O219" s="24"/>
      <c r="P219" s="24"/>
      <c r="Q219" s="24"/>
      <c r="R219" s="24"/>
      <c r="S219" s="24"/>
      <c r="T219" s="24"/>
      <c r="U219" s="25">
        <f t="shared" si="273"/>
        <v>0</v>
      </c>
      <c r="V219" s="28"/>
      <c r="W219" s="28"/>
      <c r="X219" s="28"/>
      <c r="Y219" s="28"/>
      <c r="Z219" s="28"/>
      <c r="AA219" s="28"/>
      <c r="AB219" s="28"/>
      <c r="AC219" s="25">
        <f t="shared" si="274"/>
        <v>0</v>
      </c>
      <c r="AD219" s="28"/>
      <c r="AE219" s="28"/>
      <c r="AF219" s="28"/>
      <c r="AG219" s="28"/>
      <c r="AH219" s="28"/>
      <c r="AI219" s="28"/>
      <c r="AJ219" s="28"/>
      <c r="AK219" s="29">
        <f t="shared" si="275"/>
        <v>0</v>
      </c>
      <c r="AL219" s="47">
        <v>0</v>
      </c>
      <c r="AM219" s="28"/>
      <c r="AN219" s="28"/>
      <c r="AO219" s="28"/>
      <c r="AP219" s="29">
        <f t="shared" si="276"/>
        <v>0</v>
      </c>
      <c r="AQ219" s="47"/>
      <c r="AR219" s="28"/>
      <c r="AS219" s="28"/>
      <c r="AT219" s="28"/>
      <c r="AU219" s="29">
        <f t="shared" si="277"/>
        <v>0</v>
      </c>
      <c r="AV219" s="47"/>
      <c r="AW219" s="47">
        <v>100000</v>
      </c>
      <c r="AX219" s="47">
        <v>257600</v>
      </c>
      <c r="AY219" s="47"/>
      <c r="AZ219" s="28"/>
      <c r="BA219" s="28"/>
      <c r="BB219" s="28"/>
      <c r="BC219" s="29">
        <f t="shared" si="278"/>
        <v>357600</v>
      </c>
      <c r="BD219" s="24">
        <f t="shared" si="279"/>
        <v>0</v>
      </c>
      <c r="BE219" s="24">
        <f t="shared" si="279"/>
        <v>819000</v>
      </c>
      <c r="BF219" s="24">
        <f t="shared" si="279"/>
        <v>973100</v>
      </c>
      <c r="BG219" s="24">
        <f t="shared" si="280"/>
        <v>673500</v>
      </c>
      <c r="BH219" s="30">
        <f t="shared" si="280"/>
        <v>861000</v>
      </c>
      <c r="BI219" s="30">
        <f t="shared" si="280"/>
        <v>1118500</v>
      </c>
      <c r="BJ219" s="30">
        <f t="shared" si="280"/>
        <v>1065000</v>
      </c>
      <c r="BK219" s="25">
        <f t="shared" si="281"/>
        <v>5510100</v>
      </c>
    </row>
    <row r="220" spans="1:63">
      <c r="A220" s="32"/>
      <c r="B220" s="22">
        <v>8</v>
      </c>
      <c r="C220" s="23" t="s">
        <v>412</v>
      </c>
      <c r="D220" s="24" t="s">
        <v>413</v>
      </c>
      <c r="E220" s="24" t="s">
        <v>398</v>
      </c>
      <c r="F220" s="24"/>
      <c r="G220" s="24">
        <v>155000</v>
      </c>
      <c r="H220" s="24">
        <f>96000+48000</f>
        <v>144000</v>
      </c>
      <c r="I220" s="24">
        <f>68000+58000</f>
        <v>126000</v>
      </c>
      <c r="J220" s="24"/>
      <c r="K220" s="24"/>
      <c r="L220" s="24"/>
      <c r="M220" s="25">
        <f t="shared" si="272"/>
        <v>425000</v>
      </c>
      <c r="N220" s="24"/>
      <c r="O220" s="24"/>
      <c r="P220" s="24"/>
      <c r="Q220" s="24"/>
      <c r="R220" s="24"/>
      <c r="S220" s="24"/>
      <c r="T220" s="24"/>
      <c r="U220" s="25">
        <f t="shared" si="273"/>
        <v>0</v>
      </c>
      <c r="V220" s="28"/>
      <c r="W220" s="28"/>
      <c r="X220" s="28"/>
      <c r="Y220" s="28"/>
      <c r="Z220" s="28"/>
      <c r="AA220" s="28"/>
      <c r="AB220" s="28"/>
      <c r="AC220" s="25">
        <f t="shared" si="274"/>
        <v>0</v>
      </c>
      <c r="AD220" s="28"/>
      <c r="AE220" s="28">
        <v>195000</v>
      </c>
      <c r="AF220" s="47">
        <v>267300</v>
      </c>
      <c r="AG220" s="49">
        <v>262000</v>
      </c>
      <c r="AH220" s="28"/>
      <c r="AI220" s="28"/>
      <c r="AJ220" s="28"/>
      <c r="AK220" s="29">
        <f t="shared" si="275"/>
        <v>724300</v>
      </c>
      <c r="AL220" s="47">
        <v>910500</v>
      </c>
      <c r="AM220" s="28">
        <f>306500+310500+312000+312000+208000</f>
        <v>1449000</v>
      </c>
      <c r="AN220" s="28">
        <f>1365500+308000+154000</f>
        <v>1827500</v>
      </c>
      <c r="AO220" s="28">
        <v>1854000</v>
      </c>
      <c r="AP220" s="29">
        <f t="shared" si="276"/>
        <v>6041000</v>
      </c>
      <c r="AQ220" s="47"/>
      <c r="AR220" s="28"/>
      <c r="AS220" s="28"/>
      <c r="AT220" s="28"/>
      <c r="AU220" s="29">
        <f t="shared" si="277"/>
        <v>0</v>
      </c>
      <c r="AV220" s="47"/>
      <c r="AW220" s="47">
        <v>100000</v>
      </c>
      <c r="AX220" s="47">
        <v>230000</v>
      </c>
      <c r="AY220" s="47">
        <v>145000</v>
      </c>
      <c r="AZ220" s="28"/>
      <c r="BA220" s="28"/>
      <c r="BB220" s="28"/>
      <c r="BC220" s="29">
        <f t="shared" si="278"/>
        <v>475000</v>
      </c>
      <c r="BD220" s="24">
        <f t="shared" si="279"/>
        <v>0</v>
      </c>
      <c r="BE220" s="24">
        <f t="shared" si="279"/>
        <v>450000</v>
      </c>
      <c r="BF220" s="24">
        <f t="shared" si="279"/>
        <v>641300</v>
      </c>
      <c r="BG220" s="24">
        <f t="shared" si="280"/>
        <v>1443500</v>
      </c>
      <c r="BH220" s="30">
        <f t="shared" si="280"/>
        <v>1449000</v>
      </c>
      <c r="BI220" s="30">
        <f t="shared" si="280"/>
        <v>1827500</v>
      </c>
      <c r="BJ220" s="30">
        <f t="shared" si="280"/>
        <v>1854000</v>
      </c>
      <c r="BK220" s="25">
        <f t="shared" si="281"/>
        <v>7665300</v>
      </c>
    </row>
    <row r="221" spans="1:63" ht="31.5">
      <c r="A221" s="32"/>
      <c r="B221" s="22">
        <v>9</v>
      </c>
      <c r="C221" s="23" t="s">
        <v>414</v>
      </c>
      <c r="D221" s="24" t="s">
        <v>415</v>
      </c>
      <c r="E221" s="24" t="s">
        <v>398</v>
      </c>
      <c r="F221" s="24"/>
      <c r="G221" s="24">
        <v>529000</v>
      </c>
      <c r="H221" s="24">
        <v>330000</v>
      </c>
      <c r="I221" s="24"/>
      <c r="J221" s="24"/>
      <c r="K221" s="24"/>
      <c r="L221" s="24"/>
      <c r="M221" s="25">
        <f t="shared" si="272"/>
        <v>859000</v>
      </c>
      <c r="N221" s="24"/>
      <c r="O221" s="24"/>
      <c r="P221" s="24"/>
      <c r="Q221" s="24"/>
      <c r="R221" s="24"/>
      <c r="S221" s="24"/>
      <c r="T221" s="24"/>
      <c r="U221" s="25">
        <f t="shared" si="273"/>
        <v>0</v>
      </c>
      <c r="V221" s="28"/>
      <c r="W221" s="28"/>
      <c r="X221" s="24">
        <v>290000</v>
      </c>
      <c r="Y221" s="50"/>
      <c r="Z221" s="50"/>
      <c r="AA221" s="50"/>
      <c r="AB221" s="50"/>
      <c r="AC221" s="25">
        <f t="shared" si="274"/>
        <v>290000</v>
      </c>
      <c r="AD221" s="28"/>
      <c r="AE221" s="47">
        <v>787400</v>
      </c>
      <c r="AF221" s="47">
        <v>518950</v>
      </c>
      <c r="AG221" s="47"/>
      <c r="AH221" s="28"/>
      <c r="AI221" s="28"/>
      <c r="AJ221" s="28"/>
      <c r="AK221" s="29">
        <f t="shared" si="275"/>
        <v>1306350</v>
      </c>
      <c r="AL221" s="47">
        <v>0</v>
      </c>
      <c r="AM221" s="28">
        <f>525000+315000+315000+315000+210000</f>
        <v>1680000</v>
      </c>
      <c r="AN221" s="28">
        <f>1445782+312000+156000</f>
        <v>1913782</v>
      </c>
      <c r="AO221" s="28">
        <v>1560000</v>
      </c>
      <c r="AP221" s="29">
        <f t="shared" si="276"/>
        <v>5153782</v>
      </c>
      <c r="AQ221" s="47"/>
      <c r="AR221" s="28"/>
      <c r="AS221" s="28"/>
      <c r="AT221" s="28"/>
      <c r="AU221" s="29">
        <f t="shared" si="277"/>
        <v>0</v>
      </c>
      <c r="AV221" s="47"/>
      <c r="AW221" s="47"/>
      <c r="AX221" s="47"/>
      <c r="AY221" s="47"/>
      <c r="AZ221" s="28"/>
      <c r="BA221" s="28"/>
      <c r="BB221" s="28"/>
      <c r="BC221" s="29">
        <f t="shared" si="278"/>
        <v>0</v>
      </c>
      <c r="BD221" s="24">
        <f t="shared" si="279"/>
        <v>0</v>
      </c>
      <c r="BE221" s="24">
        <f t="shared" si="279"/>
        <v>1316400</v>
      </c>
      <c r="BF221" s="24">
        <f t="shared" si="279"/>
        <v>1138950</v>
      </c>
      <c r="BG221" s="24">
        <f t="shared" si="280"/>
        <v>0</v>
      </c>
      <c r="BH221" s="30">
        <f t="shared" si="280"/>
        <v>1680000</v>
      </c>
      <c r="BI221" s="30">
        <f t="shared" si="280"/>
        <v>1913782</v>
      </c>
      <c r="BJ221" s="30">
        <f t="shared" si="280"/>
        <v>1560000</v>
      </c>
      <c r="BK221" s="25">
        <f t="shared" si="281"/>
        <v>7609132</v>
      </c>
    </row>
    <row r="222" spans="1:63">
      <c r="A222" s="32"/>
      <c r="B222" s="22">
        <v>10</v>
      </c>
      <c r="C222" s="51" t="s">
        <v>416</v>
      </c>
      <c r="D222" s="52" t="s">
        <v>417</v>
      </c>
      <c r="E222" s="24" t="s">
        <v>398</v>
      </c>
      <c r="F222" s="24"/>
      <c r="G222" s="24"/>
      <c r="H222" s="24"/>
      <c r="I222" s="24"/>
      <c r="J222" s="24"/>
      <c r="K222" s="24"/>
      <c r="L222" s="24"/>
      <c r="M222" s="25">
        <f t="shared" si="272"/>
        <v>0</v>
      </c>
      <c r="N222" s="34">
        <v>290000</v>
      </c>
      <c r="O222" s="34">
        <f>1200000+70000</f>
        <v>1270000</v>
      </c>
      <c r="P222" s="34">
        <f>910000-60000</f>
        <v>850000</v>
      </c>
      <c r="Q222" s="34">
        <v>835000</v>
      </c>
      <c r="R222" s="24">
        <f>195000+130000+65000+195000+195000+130000</f>
        <v>910000</v>
      </c>
      <c r="S222" s="24">
        <f>1235000+520000</f>
        <v>1755000</v>
      </c>
      <c r="T222" s="24">
        <f>420000+280000+140000+140000+280000+140000+140000</f>
        <v>1540000</v>
      </c>
      <c r="U222" s="25">
        <f t="shared" si="273"/>
        <v>7450000</v>
      </c>
      <c r="V222" s="28"/>
      <c r="W222" s="28"/>
      <c r="X222" s="28"/>
      <c r="Y222" s="28"/>
      <c r="Z222" s="28"/>
      <c r="AA222" s="28"/>
      <c r="AB222" s="28"/>
      <c r="AC222" s="25">
        <f t="shared" si="274"/>
        <v>0</v>
      </c>
      <c r="AD222" s="28"/>
      <c r="AE222" s="47"/>
      <c r="AF222" s="28"/>
      <c r="AG222" s="28"/>
      <c r="AH222" s="28"/>
      <c r="AI222" s="28"/>
      <c r="AJ222" s="28"/>
      <c r="AK222" s="29">
        <f t="shared" si="275"/>
        <v>0</v>
      </c>
      <c r="AL222" s="47">
        <v>0</v>
      </c>
      <c r="AM222" s="28"/>
      <c r="AN222" s="28"/>
      <c r="AO222" s="28"/>
      <c r="AP222" s="29">
        <f t="shared" si="276"/>
        <v>0</v>
      </c>
      <c r="AQ222" s="47"/>
      <c r="AR222" s="28"/>
      <c r="AS222" s="28"/>
      <c r="AT222" s="28"/>
      <c r="AU222" s="29">
        <f t="shared" si="277"/>
        <v>0</v>
      </c>
      <c r="AV222" s="47"/>
      <c r="AW222" s="47"/>
      <c r="AX222" s="47">
        <f>330000</f>
        <v>330000</v>
      </c>
      <c r="AY222" s="47"/>
      <c r="AZ222" s="28"/>
      <c r="BA222" s="28"/>
      <c r="BB222" s="28"/>
      <c r="BC222" s="29">
        <f t="shared" si="278"/>
        <v>330000</v>
      </c>
      <c r="BD222" s="24">
        <f t="shared" si="279"/>
        <v>290000</v>
      </c>
      <c r="BE222" s="24">
        <f t="shared" si="279"/>
        <v>1270000</v>
      </c>
      <c r="BF222" s="24">
        <f t="shared" si="279"/>
        <v>1180000</v>
      </c>
      <c r="BG222" s="24">
        <f t="shared" si="280"/>
        <v>835000</v>
      </c>
      <c r="BH222" s="30">
        <f t="shared" si="280"/>
        <v>910000</v>
      </c>
      <c r="BI222" s="30">
        <f t="shared" si="280"/>
        <v>1755000</v>
      </c>
      <c r="BJ222" s="30">
        <f t="shared" si="280"/>
        <v>1540000</v>
      </c>
      <c r="BK222" s="25">
        <f t="shared" si="281"/>
        <v>7780000</v>
      </c>
    </row>
    <row r="223" spans="1:63" ht="31.5">
      <c r="A223" s="32"/>
      <c r="B223" s="22">
        <v>11</v>
      </c>
      <c r="C223" s="23" t="s">
        <v>418</v>
      </c>
      <c r="D223" s="24" t="s">
        <v>417</v>
      </c>
      <c r="E223" s="24" t="s">
        <v>398</v>
      </c>
      <c r="F223" s="24">
        <v>155000</v>
      </c>
      <c r="G223" s="24">
        <v>498500</v>
      </c>
      <c r="H223" s="24">
        <f>60500+126500+137500+258500+88000</f>
        <v>671000</v>
      </c>
      <c r="I223" s="24">
        <v>491000</v>
      </c>
      <c r="J223" s="24">
        <f>374500+182000+178500+192500+129500</f>
        <v>1057000</v>
      </c>
      <c r="K223" s="24">
        <f>905200+188000+93000</f>
        <v>1186200</v>
      </c>
      <c r="L223" s="24">
        <v>1142145</v>
      </c>
      <c r="M223" s="25">
        <f t="shared" si="272"/>
        <v>5200845</v>
      </c>
      <c r="N223" s="24"/>
      <c r="O223" s="24"/>
      <c r="P223" s="24"/>
      <c r="Q223" s="24"/>
      <c r="R223" s="24"/>
      <c r="S223" s="24"/>
      <c r="T223" s="24"/>
      <c r="U223" s="25">
        <f t="shared" si="273"/>
        <v>0</v>
      </c>
      <c r="V223" s="28"/>
      <c r="W223" s="28"/>
      <c r="X223" s="28"/>
      <c r="Y223" s="28"/>
      <c r="Z223" s="28"/>
      <c r="AA223" s="28"/>
      <c r="AB223" s="28"/>
      <c r="AC223" s="25">
        <f t="shared" si="274"/>
        <v>0</v>
      </c>
      <c r="AD223" s="28"/>
      <c r="AE223" s="28"/>
      <c r="AF223" s="28"/>
      <c r="AG223" s="28"/>
      <c r="AH223" s="28"/>
      <c r="AI223" s="28"/>
      <c r="AJ223" s="28"/>
      <c r="AK223" s="29">
        <f t="shared" si="275"/>
        <v>0</v>
      </c>
      <c r="AL223" s="47">
        <v>0</v>
      </c>
      <c r="AM223" s="28"/>
      <c r="AN223" s="28"/>
      <c r="AO223" s="28"/>
      <c r="AP223" s="29">
        <f t="shared" si="276"/>
        <v>0</v>
      </c>
      <c r="AQ223" s="47"/>
      <c r="AR223" s="28"/>
      <c r="AS223" s="28"/>
      <c r="AT223" s="28"/>
      <c r="AU223" s="29">
        <f t="shared" si="277"/>
        <v>0</v>
      </c>
      <c r="AV223" s="47"/>
      <c r="AW223" s="47"/>
      <c r="AX223" s="47"/>
      <c r="AY223" s="47"/>
      <c r="AZ223" s="28"/>
      <c r="BA223" s="28"/>
      <c r="BB223" s="28"/>
      <c r="BC223" s="29">
        <f t="shared" si="278"/>
        <v>0</v>
      </c>
      <c r="BD223" s="24">
        <f t="shared" si="279"/>
        <v>155000</v>
      </c>
      <c r="BE223" s="24">
        <f t="shared" si="279"/>
        <v>498500</v>
      </c>
      <c r="BF223" s="24">
        <f t="shared" si="279"/>
        <v>671000</v>
      </c>
      <c r="BG223" s="24">
        <f t="shared" si="280"/>
        <v>491000</v>
      </c>
      <c r="BH223" s="30">
        <f t="shared" si="280"/>
        <v>1057000</v>
      </c>
      <c r="BI223" s="30">
        <f t="shared" si="280"/>
        <v>1186200</v>
      </c>
      <c r="BJ223" s="30">
        <f t="shared" si="280"/>
        <v>1142145</v>
      </c>
      <c r="BK223" s="25">
        <f t="shared" si="281"/>
        <v>5200845</v>
      </c>
    </row>
    <row r="224" spans="1:63" ht="18.75">
      <c r="A224" s="32"/>
      <c r="B224" s="22">
        <v>12</v>
      </c>
      <c r="C224" s="23" t="s">
        <v>419</v>
      </c>
      <c r="D224" s="71" t="s">
        <v>420</v>
      </c>
      <c r="E224" s="24" t="s">
        <v>398</v>
      </c>
      <c r="F224" s="24"/>
      <c r="G224" s="24"/>
      <c r="H224" s="24"/>
      <c r="I224" s="24"/>
      <c r="J224" s="24"/>
      <c r="K224" s="24"/>
      <c r="L224" s="24"/>
      <c r="M224" s="25">
        <f t="shared" si="272"/>
        <v>0</v>
      </c>
      <c r="N224" s="24"/>
      <c r="O224" s="24"/>
      <c r="P224" s="24"/>
      <c r="Q224" s="24"/>
      <c r="R224" s="24"/>
      <c r="S224" s="24"/>
      <c r="T224" s="24"/>
      <c r="U224" s="25">
        <f t="shared" si="273"/>
        <v>0</v>
      </c>
      <c r="V224" s="28"/>
      <c r="W224" s="28"/>
      <c r="X224" s="28"/>
      <c r="Y224" s="28"/>
      <c r="Z224" s="28"/>
      <c r="AA224" s="28"/>
      <c r="AB224" s="28"/>
      <c r="AC224" s="25">
        <f t="shared" si="274"/>
        <v>0</v>
      </c>
      <c r="AD224" s="28"/>
      <c r="AE224" s="28"/>
      <c r="AF224" s="28">
        <v>227000</v>
      </c>
      <c r="AG224" s="28">
        <v>344000</v>
      </c>
      <c r="AH224" s="28">
        <f>500500+112000</f>
        <v>612500</v>
      </c>
      <c r="AI224" s="28">
        <f>692500+138600+69300</f>
        <v>900400</v>
      </c>
      <c r="AJ224" s="28">
        <v>1168250</v>
      </c>
      <c r="AK224" s="29">
        <f t="shared" si="275"/>
        <v>3252150</v>
      </c>
      <c r="AL224" s="47"/>
      <c r="AM224" s="28"/>
      <c r="AN224" s="28"/>
      <c r="AO224" s="28"/>
      <c r="AP224" s="29">
        <f t="shared" si="276"/>
        <v>0</v>
      </c>
      <c r="AQ224" s="47"/>
      <c r="AR224" s="28"/>
      <c r="AS224" s="28"/>
      <c r="AT224" s="28"/>
      <c r="AU224" s="29">
        <f t="shared" si="277"/>
        <v>0</v>
      </c>
      <c r="AV224" s="47"/>
      <c r="AW224" s="47"/>
      <c r="AX224" s="47"/>
      <c r="AY224" s="47"/>
      <c r="AZ224" s="28"/>
      <c r="BA224" s="28"/>
      <c r="BB224" s="28"/>
      <c r="BC224" s="29">
        <f t="shared" si="278"/>
        <v>0</v>
      </c>
      <c r="BD224" s="24">
        <f t="shared" si="279"/>
        <v>0</v>
      </c>
      <c r="BE224" s="24">
        <f t="shared" si="279"/>
        <v>0</v>
      </c>
      <c r="BF224" s="24">
        <f t="shared" si="279"/>
        <v>227000</v>
      </c>
      <c r="BG224" s="24">
        <f t="shared" si="280"/>
        <v>344000</v>
      </c>
      <c r="BH224" s="30">
        <f t="shared" si="280"/>
        <v>612500</v>
      </c>
      <c r="BI224" s="30">
        <f t="shared" si="280"/>
        <v>900400</v>
      </c>
      <c r="BJ224" s="30">
        <f t="shared" si="280"/>
        <v>1168250</v>
      </c>
      <c r="BK224" s="25">
        <f t="shared" si="281"/>
        <v>3252150</v>
      </c>
    </row>
    <row r="225" spans="1:63">
      <c r="A225" s="14"/>
      <c r="B225" s="22">
        <v>13</v>
      </c>
      <c r="C225" s="23" t="s">
        <v>421</v>
      </c>
      <c r="D225" s="24" t="s">
        <v>422</v>
      </c>
      <c r="E225" s="24" t="s">
        <v>398</v>
      </c>
      <c r="F225" s="24"/>
      <c r="G225" s="24">
        <v>155000</v>
      </c>
      <c r="H225" s="24"/>
      <c r="I225" s="24"/>
      <c r="J225" s="24"/>
      <c r="K225" s="24"/>
      <c r="L225" s="24"/>
      <c r="M225" s="25">
        <f t="shared" si="272"/>
        <v>155000</v>
      </c>
      <c r="N225" s="24"/>
      <c r="O225" s="24"/>
      <c r="P225" s="24"/>
      <c r="Q225" s="24"/>
      <c r="R225" s="24"/>
      <c r="S225" s="24"/>
      <c r="T225" s="24"/>
      <c r="U225" s="25">
        <f t="shared" si="273"/>
        <v>0</v>
      </c>
      <c r="V225" s="28"/>
      <c r="W225" s="28"/>
      <c r="X225" s="28"/>
      <c r="Y225" s="28"/>
      <c r="Z225" s="28"/>
      <c r="AA225" s="28"/>
      <c r="AB225" s="28"/>
      <c r="AC225" s="25">
        <f t="shared" si="274"/>
        <v>0</v>
      </c>
      <c r="AD225" s="28"/>
      <c r="AE225" s="28"/>
      <c r="AF225" s="28"/>
      <c r="AG225" s="28"/>
      <c r="AH225" s="28"/>
      <c r="AI225" s="28"/>
      <c r="AJ225" s="28"/>
      <c r="AK225" s="29">
        <f t="shared" si="275"/>
        <v>0</v>
      </c>
      <c r="AL225" s="47">
        <v>0</v>
      </c>
      <c r="AM225" s="28"/>
      <c r="AN225" s="28"/>
      <c r="AO225" s="28"/>
      <c r="AP225" s="29">
        <f t="shared" si="276"/>
        <v>0</v>
      </c>
      <c r="AQ225" s="47"/>
      <c r="AR225" s="28"/>
      <c r="AS225" s="28"/>
      <c r="AT225" s="28"/>
      <c r="AU225" s="29">
        <f t="shared" si="277"/>
        <v>0</v>
      </c>
      <c r="AV225" s="47"/>
      <c r="AW225" s="47"/>
      <c r="AX225" s="47"/>
      <c r="AY225" s="47"/>
      <c r="AZ225" s="28"/>
      <c r="BA225" s="28"/>
      <c r="BB225" s="28"/>
      <c r="BC225" s="29">
        <f t="shared" si="278"/>
        <v>0</v>
      </c>
      <c r="BD225" s="24">
        <f t="shared" si="279"/>
        <v>0</v>
      </c>
      <c r="BE225" s="24">
        <f t="shared" si="279"/>
        <v>155000</v>
      </c>
      <c r="BF225" s="24">
        <f t="shared" si="279"/>
        <v>0</v>
      </c>
      <c r="BG225" s="24">
        <f t="shared" si="280"/>
        <v>0</v>
      </c>
      <c r="BH225" s="30">
        <f t="shared" si="280"/>
        <v>0</v>
      </c>
      <c r="BI225" s="30">
        <f t="shared" si="280"/>
        <v>0</v>
      </c>
      <c r="BJ225" s="30">
        <f t="shared" si="280"/>
        <v>0</v>
      </c>
      <c r="BK225" s="25">
        <f t="shared" si="281"/>
        <v>155000</v>
      </c>
    </row>
    <row r="226" spans="1:63" s="42" customFormat="1">
      <c r="A226" s="37"/>
      <c r="B226" s="37"/>
      <c r="C226" s="38" t="s">
        <v>423</v>
      </c>
      <c r="D226" s="40"/>
      <c r="E226" s="40"/>
      <c r="F226" s="40">
        <f>SUM(F213:F225)</f>
        <v>155000</v>
      </c>
      <c r="G226" s="40">
        <f t="shared" ref="G226:BH226" si="282">SUM(G213:G225)</f>
        <v>3068447</v>
      </c>
      <c r="H226" s="40">
        <f t="shared" si="282"/>
        <v>3114500</v>
      </c>
      <c r="I226" s="40">
        <f t="shared" si="282"/>
        <v>1622500</v>
      </c>
      <c r="J226" s="40">
        <f t="shared" si="282"/>
        <v>3446000</v>
      </c>
      <c r="K226" s="40">
        <f t="shared" si="282"/>
        <v>3461116</v>
      </c>
      <c r="L226" s="40">
        <f t="shared" si="282"/>
        <v>3287145</v>
      </c>
      <c r="M226" s="40">
        <f t="shared" si="282"/>
        <v>18154708</v>
      </c>
      <c r="N226" s="40">
        <f t="shared" si="282"/>
        <v>290000</v>
      </c>
      <c r="O226" s="40">
        <f t="shared" si="282"/>
        <v>1270000</v>
      </c>
      <c r="P226" s="40">
        <f t="shared" si="282"/>
        <v>850000</v>
      </c>
      <c r="Q226" s="40">
        <f t="shared" si="282"/>
        <v>835000</v>
      </c>
      <c r="R226" s="40">
        <f t="shared" si="282"/>
        <v>910000</v>
      </c>
      <c r="S226" s="40">
        <f t="shared" si="282"/>
        <v>1755000</v>
      </c>
      <c r="T226" s="40">
        <f t="shared" si="282"/>
        <v>1540000</v>
      </c>
      <c r="U226" s="40">
        <f t="shared" si="282"/>
        <v>7450000</v>
      </c>
      <c r="V226" s="40">
        <f t="shared" si="282"/>
        <v>0</v>
      </c>
      <c r="W226" s="40">
        <f t="shared" si="282"/>
        <v>0</v>
      </c>
      <c r="X226" s="40">
        <f t="shared" si="282"/>
        <v>290000</v>
      </c>
      <c r="Y226" s="40">
        <f t="shared" si="282"/>
        <v>0</v>
      </c>
      <c r="Z226" s="40">
        <f t="shared" si="282"/>
        <v>0</v>
      </c>
      <c r="AA226" s="40">
        <f t="shared" si="282"/>
        <v>0</v>
      </c>
      <c r="AB226" s="40">
        <f t="shared" si="282"/>
        <v>0</v>
      </c>
      <c r="AC226" s="40">
        <f t="shared" si="282"/>
        <v>290000</v>
      </c>
      <c r="AD226" s="40">
        <f t="shared" si="282"/>
        <v>195000</v>
      </c>
      <c r="AE226" s="40">
        <f t="shared" si="282"/>
        <v>3131550</v>
      </c>
      <c r="AF226" s="40">
        <f t="shared" si="282"/>
        <v>3591300</v>
      </c>
      <c r="AG226" s="40">
        <f t="shared" si="282"/>
        <v>1146000</v>
      </c>
      <c r="AH226" s="40">
        <f t="shared" si="282"/>
        <v>1242500</v>
      </c>
      <c r="AI226" s="40">
        <f t="shared" si="282"/>
        <v>900400</v>
      </c>
      <c r="AJ226" s="40">
        <f t="shared" si="282"/>
        <v>1168250</v>
      </c>
      <c r="AK226" s="40">
        <f t="shared" si="282"/>
        <v>11375000</v>
      </c>
      <c r="AL226" s="40">
        <f t="shared" si="282"/>
        <v>2571500</v>
      </c>
      <c r="AM226" s="40">
        <f t="shared" si="282"/>
        <v>8873000</v>
      </c>
      <c r="AN226" s="40">
        <f t="shared" si="282"/>
        <v>9137082</v>
      </c>
      <c r="AO226" s="40">
        <f t="shared" si="282"/>
        <v>7860850</v>
      </c>
      <c r="AP226" s="40">
        <f t="shared" si="282"/>
        <v>28442432</v>
      </c>
      <c r="AQ226" s="40">
        <f t="shared" si="282"/>
        <v>0</v>
      </c>
      <c r="AR226" s="40">
        <f t="shared" si="282"/>
        <v>0</v>
      </c>
      <c r="AS226" s="40">
        <f t="shared" si="282"/>
        <v>0</v>
      </c>
      <c r="AT226" s="40">
        <f t="shared" si="282"/>
        <v>0</v>
      </c>
      <c r="AU226" s="40">
        <f t="shared" si="282"/>
        <v>0</v>
      </c>
      <c r="AV226" s="40">
        <f t="shared" si="282"/>
        <v>0</v>
      </c>
      <c r="AW226" s="40">
        <f t="shared" si="282"/>
        <v>400000</v>
      </c>
      <c r="AX226" s="40">
        <f t="shared" si="282"/>
        <v>1687600</v>
      </c>
      <c r="AY226" s="40">
        <f t="shared" si="282"/>
        <v>270000</v>
      </c>
      <c r="AZ226" s="40">
        <f t="shared" si="282"/>
        <v>0</v>
      </c>
      <c r="BA226" s="40">
        <f t="shared" si="282"/>
        <v>0</v>
      </c>
      <c r="BB226" s="40">
        <f t="shared" si="282"/>
        <v>0</v>
      </c>
      <c r="BC226" s="40">
        <f t="shared" si="282"/>
        <v>2357600</v>
      </c>
      <c r="BD226" s="40">
        <f t="shared" si="282"/>
        <v>640000</v>
      </c>
      <c r="BE226" s="40">
        <f t="shared" si="282"/>
        <v>7869997</v>
      </c>
      <c r="BF226" s="40">
        <f t="shared" si="282"/>
        <v>9533400</v>
      </c>
      <c r="BG226" s="40">
        <f t="shared" si="282"/>
        <v>6445000</v>
      </c>
      <c r="BH226" s="40">
        <f t="shared" si="282"/>
        <v>14471500</v>
      </c>
      <c r="BI226" s="41">
        <f>SUM(BI213:BI225)</f>
        <v>15253598</v>
      </c>
      <c r="BJ226" s="40">
        <f t="shared" ref="BJ226" si="283">SUM(BJ213:BJ225)</f>
        <v>13856245</v>
      </c>
      <c r="BK226" s="40">
        <f>SUM(BK213:BK225)</f>
        <v>68069740</v>
      </c>
    </row>
    <row r="227" spans="1:63" s="88" customFormat="1">
      <c r="A227" s="81"/>
      <c r="B227" s="82"/>
      <c r="C227" s="83"/>
      <c r="D227" s="84"/>
      <c r="E227" s="84"/>
      <c r="F227" s="84"/>
      <c r="G227" s="84"/>
      <c r="H227" s="85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7"/>
      <c r="BI227" s="87"/>
      <c r="BJ227" s="87"/>
      <c r="BK227" s="86"/>
    </row>
    <row r="228" spans="1:63" s="92" customFormat="1" ht="16.5" thickBot="1">
      <c r="A228" s="89"/>
      <c r="B228" s="90"/>
      <c r="C228" s="91" t="s">
        <v>424</v>
      </c>
      <c r="D228" s="89"/>
      <c r="E228" s="89"/>
      <c r="F228" s="89">
        <f t="shared" ref="F228:K228" si="284">F16+F21+F27+F30+F35+F45+F54+F63+F68+F70+F72+F82+F84+F116+F121+F125+F127+F129+F146+F149+F151+F157+F166+F172+F210+F212+F226</f>
        <v>5115000</v>
      </c>
      <c r="G228" s="89">
        <f t="shared" si="284"/>
        <v>31213052</v>
      </c>
      <c r="H228" s="89">
        <f t="shared" si="284"/>
        <v>33449181</v>
      </c>
      <c r="I228" s="89">
        <f t="shared" si="284"/>
        <v>16926000</v>
      </c>
      <c r="J228" s="89">
        <f t="shared" si="284"/>
        <v>12376000</v>
      </c>
      <c r="K228" s="89">
        <f t="shared" si="284"/>
        <v>15406301</v>
      </c>
      <c r="L228" s="89">
        <f>L16+L21+L27+L30+L35+L45+L54+L63+L68+L70+L72+L82+L84+L116+L121+L125+L127+L129+L146+L149+L151+L157+L166+L172+L210+L212+L226</f>
        <v>15250735</v>
      </c>
      <c r="M228" s="89">
        <f>M16+M21+M27+M30+M35+M45+M54+M63+M68+M70+M72+M82+M84+M116+M121+M125+M127+M129+M146+M149+M151+M157+M166+M172+M210+M212+M226</f>
        <v>129736269</v>
      </c>
      <c r="N228" s="89">
        <f t="shared" ref="N228:AJ228" si="285">N16+N21+N27+N30+N35+N45+N54+N63+N68+N70+N72+N82+N84+N116+N121+N125+N127+N129+N146+N149+N151+N157+N166+N172+N210+N212+N226</f>
        <v>3480000</v>
      </c>
      <c r="O228" s="89">
        <f t="shared" si="285"/>
        <v>36620000</v>
      </c>
      <c r="P228" s="89">
        <f t="shared" si="285"/>
        <v>40371999</v>
      </c>
      <c r="Q228" s="89">
        <f t="shared" si="285"/>
        <v>18123500</v>
      </c>
      <c r="R228" s="89">
        <f t="shared" si="285"/>
        <v>13675000</v>
      </c>
      <c r="S228" s="89">
        <f t="shared" si="285"/>
        <v>31550000</v>
      </c>
      <c r="T228" s="89">
        <f t="shared" si="285"/>
        <v>37320000</v>
      </c>
      <c r="U228" s="89">
        <f t="shared" si="285"/>
        <v>181140499</v>
      </c>
      <c r="V228" s="89">
        <f t="shared" si="285"/>
        <v>4060000</v>
      </c>
      <c r="W228" s="89">
        <f t="shared" si="285"/>
        <v>24874479</v>
      </c>
      <c r="X228" s="89">
        <f t="shared" si="285"/>
        <v>30501935</v>
      </c>
      <c r="Y228" s="89">
        <f t="shared" si="285"/>
        <v>11338000</v>
      </c>
      <c r="Z228" s="89">
        <f t="shared" si="285"/>
        <v>7805000</v>
      </c>
      <c r="AA228" s="89">
        <f t="shared" si="285"/>
        <v>12869000</v>
      </c>
      <c r="AB228" s="89">
        <f t="shared" si="285"/>
        <v>15301000</v>
      </c>
      <c r="AC228" s="89">
        <f t="shared" si="285"/>
        <v>106749414</v>
      </c>
      <c r="AD228" s="89">
        <f t="shared" si="285"/>
        <v>5265000</v>
      </c>
      <c r="AE228" s="89">
        <f t="shared" si="285"/>
        <v>62724231</v>
      </c>
      <c r="AF228" s="89">
        <f t="shared" si="285"/>
        <v>47459700</v>
      </c>
      <c r="AG228" s="89">
        <f t="shared" si="285"/>
        <v>28552500</v>
      </c>
      <c r="AH228" s="89">
        <f t="shared" si="285"/>
        <v>19982000</v>
      </c>
      <c r="AI228" s="89">
        <f t="shared" si="285"/>
        <v>26529856</v>
      </c>
      <c r="AJ228" s="89">
        <f t="shared" si="285"/>
        <v>33952208</v>
      </c>
      <c r="AK228" s="89">
        <f>AK16+AK21+AK27+AK30+AK35+AK45+AK54+AK63+AK68+AK70+AK72+AK82+AK84+AK116+AK121+AK125+AK127+AK129+AK146+AK149+AK151+AK157+AK166+AK172+AK210+AK212+AK226</f>
        <v>224465495</v>
      </c>
      <c r="AL228" s="89">
        <f t="shared" ref="AL228:BK228" si="286">AL16+AL21+AL27+AL30+AL35+AL45+AL54+AL63+AL68+AL70+AL72+AL82+AL84+AL116+AL121+AL125+AL127+AL129+AL146+AL149+AL151+AL157+AL166+AL172+AL210+AL212+AL226</f>
        <v>29535500</v>
      </c>
      <c r="AM228" s="89">
        <f t="shared" si="286"/>
        <v>42111500</v>
      </c>
      <c r="AN228" s="89">
        <f t="shared" si="286"/>
        <v>57648170</v>
      </c>
      <c r="AO228" s="89">
        <f t="shared" si="286"/>
        <v>57947176</v>
      </c>
      <c r="AP228" s="89">
        <f t="shared" si="286"/>
        <v>187242346</v>
      </c>
      <c r="AQ228" s="89">
        <f t="shared" si="286"/>
        <v>7090000</v>
      </c>
      <c r="AR228" s="89">
        <f t="shared" si="286"/>
        <v>13055000</v>
      </c>
      <c r="AS228" s="89">
        <f t="shared" si="286"/>
        <v>23552500</v>
      </c>
      <c r="AT228" s="89">
        <f t="shared" si="286"/>
        <v>29248000</v>
      </c>
      <c r="AU228" s="89">
        <f t="shared" si="286"/>
        <v>72945500</v>
      </c>
      <c r="AV228" s="89">
        <f t="shared" si="286"/>
        <v>0</v>
      </c>
      <c r="AW228" s="89">
        <f t="shared" si="286"/>
        <v>4682000</v>
      </c>
      <c r="AX228" s="89">
        <f t="shared" si="286"/>
        <v>11835750</v>
      </c>
      <c r="AY228" s="89">
        <f t="shared" si="286"/>
        <v>1463000</v>
      </c>
      <c r="AZ228" s="89">
        <f t="shared" si="286"/>
        <v>0</v>
      </c>
      <c r="BA228" s="89">
        <f t="shared" si="286"/>
        <v>0</v>
      </c>
      <c r="BB228" s="89">
        <f t="shared" si="286"/>
        <v>266800</v>
      </c>
      <c r="BC228" s="89">
        <f t="shared" si="286"/>
        <v>18247550</v>
      </c>
      <c r="BD228" s="89">
        <f t="shared" si="286"/>
        <v>17920000</v>
      </c>
      <c r="BE228" s="89">
        <f t="shared" si="286"/>
        <v>160113762</v>
      </c>
      <c r="BF228" s="89">
        <f t="shared" si="286"/>
        <v>163618565</v>
      </c>
      <c r="BG228" s="89">
        <f t="shared" si="286"/>
        <v>113028500</v>
      </c>
      <c r="BH228" s="89">
        <f t="shared" si="286"/>
        <v>109004500</v>
      </c>
      <c r="BI228" s="89">
        <f t="shared" si="286"/>
        <v>167555827</v>
      </c>
      <c r="BJ228" s="89">
        <f t="shared" si="286"/>
        <v>189285919</v>
      </c>
      <c r="BK228" s="89">
        <f t="shared" si="286"/>
        <v>920527073</v>
      </c>
    </row>
    <row r="229" spans="1:63" s="96" customFormat="1" ht="16.5" thickTop="1">
      <c r="A229" s="93"/>
      <c r="B229" s="94"/>
      <c r="C229" s="95" t="s">
        <v>425</v>
      </c>
      <c r="D229" s="93"/>
      <c r="E229" s="93"/>
      <c r="F229" s="93">
        <v>0</v>
      </c>
      <c r="G229" s="93">
        <v>0</v>
      </c>
      <c r="H229" s="93">
        <v>0</v>
      </c>
      <c r="I229" s="93">
        <v>0</v>
      </c>
      <c r="J229" s="93">
        <v>0</v>
      </c>
      <c r="K229" s="93">
        <v>5475198</v>
      </c>
      <c r="L229" s="93">
        <v>0</v>
      </c>
      <c r="M229" s="93">
        <f>SUM(F229:L229)</f>
        <v>5475198</v>
      </c>
      <c r="N229" s="93">
        <v>0</v>
      </c>
      <c r="O229" s="93">
        <v>0</v>
      </c>
      <c r="P229" s="93">
        <v>0</v>
      </c>
      <c r="Q229" s="93">
        <v>0</v>
      </c>
      <c r="R229" s="93">
        <v>0</v>
      </c>
      <c r="S229" s="93">
        <v>702778</v>
      </c>
      <c r="T229" s="93">
        <v>0</v>
      </c>
      <c r="U229" s="93">
        <f>SUM(N229:T229)</f>
        <v>702778</v>
      </c>
      <c r="V229" s="93">
        <v>0</v>
      </c>
      <c r="W229" s="93">
        <v>0</v>
      </c>
      <c r="X229" s="93">
        <v>0</v>
      </c>
      <c r="Y229" s="93">
        <v>0</v>
      </c>
      <c r="Z229" s="93">
        <v>0</v>
      </c>
      <c r="AA229" s="93">
        <v>593847</v>
      </c>
      <c r="AB229" s="93">
        <v>0</v>
      </c>
      <c r="AC229" s="93">
        <f>SUM(V229:AB229)</f>
        <v>593847</v>
      </c>
      <c r="AD229" s="93">
        <v>0</v>
      </c>
      <c r="AE229" s="93">
        <v>0</v>
      </c>
      <c r="AF229" s="93">
        <v>0</v>
      </c>
      <c r="AG229" s="93">
        <v>0</v>
      </c>
      <c r="AH229" s="93">
        <v>0</v>
      </c>
      <c r="AI229" s="93">
        <v>8231288</v>
      </c>
      <c r="AJ229" s="93">
        <v>0</v>
      </c>
      <c r="AK229" s="93">
        <f>SUM(AD229:AJ229)</f>
        <v>8231288</v>
      </c>
      <c r="AL229" s="93">
        <v>0</v>
      </c>
      <c r="AM229" s="93">
        <v>0</v>
      </c>
      <c r="AN229" s="93">
        <v>13759935</v>
      </c>
      <c r="AO229" s="93">
        <v>0</v>
      </c>
      <c r="AP229" s="93">
        <f>SUM(AL229:AO229)</f>
        <v>13759935</v>
      </c>
      <c r="AQ229" s="93">
        <v>0</v>
      </c>
      <c r="AR229" s="93">
        <v>0</v>
      </c>
      <c r="AS229" s="93">
        <v>671559</v>
      </c>
      <c r="AT229" s="93">
        <v>0</v>
      </c>
      <c r="AU229" s="93">
        <f>SUM(AQ229:AT229)</f>
        <v>671559</v>
      </c>
      <c r="AV229" s="93">
        <v>0</v>
      </c>
      <c r="AW229" s="93">
        <v>0</v>
      </c>
      <c r="AX229" s="93">
        <v>0</v>
      </c>
      <c r="AY229" s="93">
        <v>0</v>
      </c>
      <c r="AZ229" s="93">
        <v>0</v>
      </c>
      <c r="BA229" s="93">
        <v>0</v>
      </c>
      <c r="BB229" s="93">
        <v>0</v>
      </c>
      <c r="BC229" s="93">
        <f>SUM(AV229:BB229)</f>
        <v>0</v>
      </c>
      <c r="BD229" s="93">
        <f t="shared" ref="BD229:BF229" si="287">F229+N229+V229+AD229+AV229</f>
        <v>0</v>
      </c>
      <c r="BE229" s="93">
        <f t="shared" si="287"/>
        <v>0</v>
      </c>
      <c r="BF229" s="93">
        <f t="shared" si="287"/>
        <v>0</v>
      </c>
      <c r="BG229" s="93">
        <f t="shared" ref="BG229:BH229" si="288">I229+Q229+Y229+AG229+AL229+AQ229+AY229</f>
        <v>0</v>
      </c>
      <c r="BH229" s="93">
        <f t="shared" si="288"/>
        <v>0</v>
      </c>
      <c r="BI229" s="93">
        <f>K229+S229+AA229+AI229+AN229+AS229+BA229</f>
        <v>29434605</v>
      </c>
      <c r="BJ229" s="93">
        <f t="shared" ref="BJ229" si="289">L229+T229+AB229+AJ229+AO229+AT229+BB229</f>
        <v>0</v>
      </c>
      <c r="BK229" s="93">
        <f>SUM(BD229:BJ229)</f>
        <v>29434605</v>
      </c>
    </row>
    <row r="230" spans="1:63" s="92" customFormat="1">
      <c r="A230" s="97"/>
      <c r="B230" s="98"/>
      <c r="C230" s="99"/>
      <c r="D230" s="97"/>
      <c r="E230" s="97"/>
      <c r="F230" s="97">
        <f t="shared" ref="F230:J230" si="290">F228+F229</f>
        <v>5115000</v>
      </c>
      <c r="G230" s="97">
        <f t="shared" si="290"/>
        <v>31213052</v>
      </c>
      <c r="H230" s="97">
        <f t="shared" si="290"/>
        <v>33449181</v>
      </c>
      <c r="I230" s="97">
        <f t="shared" si="290"/>
        <v>16926000</v>
      </c>
      <c r="J230" s="97">
        <f t="shared" si="290"/>
        <v>12376000</v>
      </c>
      <c r="K230" s="97">
        <f>K228+K229</f>
        <v>20881499</v>
      </c>
      <c r="L230" s="97">
        <f>L228+L229</f>
        <v>15250735</v>
      </c>
      <c r="M230" s="97">
        <f t="shared" ref="M230:AJ230" si="291">M228+M229</f>
        <v>135211467</v>
      </c>
      <c r="N230" s="97">
        <f t="shared" si="291"/>
        <v>3480000</v>
      </c>
      <c r="O230" s="97">
        <f t="shared" si="291"/>
        <v>36620000</v>
      </c>
      <c r="P230" s="97">
        <f t="shared" si="291"/>
        <v>40371999</v>
      </c>
      <c r="Q230" s="97">
        <f t="shared" si="291"/>
        <v>18123500</v>
      </c>
      <c r="R230" s="97">
        <f t="shared" si="291"/>
        <v>13675000</v>
      </c>
      <c r="S230" s="97">
        <f t="shared" si="291"/>
        <v>32252778</v>
      </c>
      <c r="T230" s="97">
        <f t="shared" si="291"/>
        <v>37320000</v>
      </c>
      <c r="U230" s="97">
        <f t="shared" si="291"/>
        <v>181843277</v>
      </c>
      <c r="V230" s="97">
        <f t="shared" si="291"/>
        <v>4060000</v>
      </c>
      <c r="W230" s="97">
        <f t="shared" si="291"/>
        <v>24874479</v>
      </c>
      <c r="X230" s="97">
        <f t="shared" si="291"/>
        <v>30501935</v>
      </c>
      <c r="Y230" s="97">
        <f t="shared" si="291"/>
        <v>11338000</v>
      </c>
      <c r="Z230" s="97">
        <f t="shared" si="291"/>
        <v>7805000</v>
      </c>
      <c r="AA230" s="97">
        <f t="shared" si="291"/>
        <v>13462847</v>
      </c>
      <c r="AB230" s="97">
        <f t="shared" si="291"/>
        <v>15301000</v>
      </c>
      <c r="AC230" s="97">
        <f t="shared" si="291"/>
        <v>107343261</v>
      </c>
      <c r="AD230" s="97">
        <f t="shared" si="291"/>
        <v>5265000</v>
      </c>
      <c r="AE230" s="97">
        <f t="shared" si="291"/>
        <v>62724231</v>
      </c>
      <c r="AF230" s="97">
        <f t="shared" si="291"/>
        <v>47459700</v>
      </c>
      <c r="AG230" s="97">
        <f t="shared" si="291"/>
        <v>28552500</v>
      </c>
      <c r="AH230" s="97">
        <f t="shared" si="291"/>
        <v>19982000</v>
      </c>
      <c r="AI230" s="97">
        <f t="shared" si="291"/>
        <v>34761144</v>
      </c>
      <c r="AJ230" s="97">
        <f t="shared" si="291"/>
        <v>33952208</v>
      </c>
      <c r="AK230" s="97">
        <f>AK228+AK229</f>
        <v>232696783</v>
      </c>
      <c r="AL230" s="97">
        <f t="shared" ref="AL230:BB230" si="292">AL228+AL229</f>
        <v>29535500</v>
      </c>
      <c r="AM230" s="97">
        <f t="shared" si="292"/>
        <v>42111500</v>
      </c>
      <c r="AN230" s="97">
        <f t="shared" si="292"/>
        <v>71408105</v>
      </c>
      <c r="AO230" s="97">
        <f t="shared" si="292"/>
        <v>57947176</v>
      </c>
      <c r="AP230" s="97">
        <f t="shared" si="292"/>
        <v>201002281</v>
      </c>
      <c r="AQ230" s="97">
        <f t="shared" si="292"/>
        <v>7090000</v>
      </c>
      <c r="AR230" s="97">
        <f t="shared" si="292"/>
        <v>13055000</v>
      </c>
      <c r="AS230" s="97">
        <f t="shared" si="292"/>
        <v>24224059</v>
      </c>
      <c r="AT230" s="97">
        <f t="shared" si="292"/>
        <v>29248000</v>
      </c>
      <c r="AU230" s="97">
        <f t="shared" si="292"/>
        <v>73617059</v>
      </c>
      <c r="AV230" s="97">
        <f t="shared" si="292"/>
        <v>0</v>
      </c>
      <c r="AW230" s="97">
        <f t="shared" si="292"/>
        <v>4682000</v>
      </c>
      <c r="AX230" s="97">
        <f t="shared" si="292"/>
        <v>11835750</v>
      </c>
      <c r="AY230" s="97">
        <f t="shared" si="292"/>
        <v>1463000</v>
      </c>
      <c r="AZ230" s="97">
        <f t="shared" si="292"/>
        <v>0</v>
      </c>
      <c r="BA230" s="97">
        <f t="shared" si="292"/>
        <v>0</v>
      </c>
      <c r="BB230" s="97">
        <f t="shared" si="292"/>
        <v>266800</v>
      </c>
      <c r="BC230" s="97">
        <f>BC228+BC229</f>
        <v>18247550</v>
      </c>
      <c r="BD230" s="97">
        <f t="shared" ref="BD230:BK230" si="293">BD228+BD229</f>
        <v>17920000</v>
      </c>
      <c r="BE230" s="97">
        <f t="shared" si="293"/>
        <v>160113762</v>
      </c>
      <c r="BF230" s="97">
        <f t="shared" si="293"/>
        <v>163618565</v>
      </c>
      <c r="BG230" s="97">
        <f t="shared" si="293"/>
        <v>113028500</v>
      </c>
      <c r="BH230" s="97">
        <f t="shared" si="293"/>
        <v>109004500</v>
      </c>
      <c r="BI230" s="97">
        <f t="shared" si="293"/>
        <v>196990432</v>
      </c>
      <c r="BJ230" s="97">
        <f t="shared" si="293"/>
        <v>189285919</v>
      </c>
      <c r="BK230" s="97">
        <f t="shared" si="293"/>
        <v>949961678</v>
      </c>
    </row>
    <row r="231" spans="1:63">
      <c r="A231" s="31"/>
      <c r="B231" s="31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BK231" s="31"/>
    </row>
    <row r="233" spans="1:63">
      <c r="A233" s="31"/>
      <c r="B233" s="31"/>
      <c r="I233" s="88"/>
      <c r="BK233" s="31"/>
    </row>
  </sheetData>
  <mergeCells count="37">
    <mergeCell ref="A167:A171"/>
    <mergeCell ref="A173:A209"/>
    <mergeCell ref="A213:A225"/>
    <mergeCell ref="A117:A120"/>
    <mergeCell ref="A122:A124"/>
    <mergeCell ref="A130:A145"/>
    <mergeCell ref="A147:A148"/>
    <mergeCell ref="A152:A156"/>
    <mergeCell ref="A158:A165"/>
    <mergeCell ref="A36:A44"/>
    <mergeCell ref="A46:A53"/>
    <mergeCell ref="A55:A62"/>
    <mergeCell ref="A64:A67"/>
    <mergeCell ref="A73:A81"/>
    <mergeCell ref="A85:A115"/>
    <mergeCell ref="BD3:BK3"/>
    <mergeCell ref="A5:A15"/>
    <mergeCell ref="A17:A20"/>
    <mergeCell ref="A22:A26"/>
    <mergeCell ref="A28:A29"/>
    <mergeCell ref="A31:A34"/>
    <mergeCell ref="N3:U3"/>
    <mergeCell ref="V3:AC3"/>
    <mergeCell ref="AD3:AK3"/>
    <mergeCell ref="AL3:AP3"/>
    <mergeCell ref="AQ3:AU3"/>
    <mergeCell ref="AV3:BC3"/>
    <mergeCell ref="A1:AY1"/>
    <mergeCell ref="A2:E2"/>
    <mergeCell ref="F2:BC2"/>
    <mergeCell ref="BD2:BK2"/>
    <mergeCell ref="A3:A4"/>
    <mergeCell ref="B3:B4"/>
    <mergeCell ref="C3:C4"/>
    <mergeCell ref="D3:D4"/>
    <mergeCell ref="E3:E4"/>
    <mergeCell ref="F3:M3"/>
  </mergeCells>
  <conditionalFormatting sqref="C30">
    <cfRule type="duplicateValues" dxfId="9" priority="34"/>
  </conditionalFormatting>
  <conditionalFormatting sqref="C83">
    <cfRule type="duplicateValues" dxfId="8" priority="33"/>
  </conditionalFormatting>
  <conditionalFormatting sqref="A3:B3">
    <cfRule type="duplicateValues" dxfId="7" priority="30"/>
  </conditionalFormatting>
  <conditionalFormatting sqref="C229:E230">
    <cfRule type="duplicateValues" dxfId="6" priority="24"/>
  </conditionalFormatting>
  <conditionalFormatting sqref="D229:E230">
    <cfRule type="duplicateValues" dxfId="5" priority="22"/>
  </conditionalFormatting>
  <conditionalFormatting sqref="C168">
    <cfRule type="duplicateValues" dxfId="4" priority="20"/>
  </conditionalFormatting>
  <conditionalFormatting sqref="C231:E1048576 D228:E230 C200:C207 C132:C133 C5:C12 C84:C85 C176:C198 C145:C156 C158:C160 C31:C39 C135:C139 C209:C230 D3:E4 C3 C14:C28 C88:C123 C125:C130 C162:C174 C43:C82">
    <cfRule type="duplicateValues" dxfId="3" priority="37"/>
  </conditionalFormatting>
  <conditionalFormatting sqref="C228:E1048576">
    <cfRule type="duplicateValues" dxfId="2" priority="57"/>
  </conditionalFormatting>
  <conditionalFormatting sqref="D228:E230">
    <cfRule type="duplicateValues" dxfId="1" priority="63"/>
  </conditionalFormatting>
  <conditionalFormatting sqref="C228:E230">
    <cfRule type="duplicateValues" dxfId="0" priority="6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2022-11-11T09:07:05Z</dcterms:created>
  <dcterms:modified xsi:type="dcterms:W3CDTF">2022-11-11T09:12:15Z</dcterms:modified>
</cp:coreProperties>
</file>