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45" windowWidth="15600" windowHeight="11760" tabRatio="848" firstSheet="5" activeTab="15"/>
  </bookViews>
  <sheets>
    <sheet name="Only 2015-16" sheetId="23" r:id="rId1"/>
    <sheet name="Only 2016-17" sheetId="26" r:id="rId2"/>
    <sheet name="Only 2017-18" sheetId="27" r:id="rId3"/>
    <sheet name="Only 2018-19" sheetId="16" r:id="rId4"/>
    <sheet name="Only 2019-20" sheetId="19" r:id="rId5"/>
    <sheet name="Only 2020-21" sheetId="22" r:id="rId6"/>
    <sheet name="Only 2021-22" sheetId="25" r:id="rId7"/>
    <sheet name="only 2022-23" sheetId="30" r:id="rId8"/>
    <sheet name="only 2023-24" sheetId="35" r:id="rId9"/>
    <sheet name="2015-16 to 2017-18" sheetId="12" r:id="rId10"/>
    <sheet name="2015-16 to 2018-19 (till 12.04)" sheetId="15" r:id="rId11"/>
    <sheet name="2015-16 to 2019-20" sheetId="14" r:id="rId12"/>
    <sheet name="2015-16 to 2020-21" sheetId="20" r:id="rId13"/>
    <sheet name="2015-16 to 2021-22" sheetId="24" r:id="rId14"/>
    <sheet name="2015-16 to 2022-23" sheetId="32" r:id="rId15"/>
    <sheet name="2015-16 to 2023-24" sheetId="34" r:id="rId16"/>
  </sheets>
  <definedNames>
    <definedName name="_xlnm._FilterDatabase" localSheetId="10" hidden="1">'2015-16 to 2018-19 (till 12.04)'!$A$1:$AM$224</definedName>
    <definedName name="_xlnm._FilterDatabase" localSheetId="11" hidden="1">'2015-16 to 2019-20'!$A$4:$AU$222</definedName>
    <definedName name="_xlnm._FilterDatabase" localSheetId="13" hidden="1">'2015-16 to 2021-22'!$A$3:$BM$4</definedName>
    <definedName name="_xlnm._FilterDatabase" localSheetId="14" hidden="1">'2015-16 to 2022-23'!$A$4:$BS$228</definedName>
    <definedName name="_xlnm._FilterDatabase" localSheetId="15" hidden="1">'2015-16 to 2023-24'!$A$4:$CA$229</definedName>
    <definedName name="_xlnm._FilterDatabase" localSheetId="0" hidden="1">'Only 2015-16'!$A$3:$BM$53</definedName>
    <definedName name="_xlnm._FilterDatabase" localSheetId="1" hidden="1">'Only 2016-17'!$A$3:$BM$150</definedName>
    <definedName name="_xlnm._FilterDatabase" localSheetId="2" hidden="1">'Only 2017-18'!$A$3:$BM$181</definedName>
    <definedName name="_xlnm._FilterDatabase" localSheetId="4" hidden="1">'Only 2019-20'!$A$3:$AL$123</definedName>
    <definedName name="_xlnm._FilterDatabase" localSheetId="6" hidden="1">'Only 2021-22'!$A$2:$K$130</definedName>
    <definedName name="_xlnm._FilterDatabase" localSheetId="8" hidden="1">'only 2023-24'!$A$2:$K$2</definedName>
    <definedName name="_xlnm.Print_Titles" localSheetId="4">'Only 2019-20'!#REF!</definedName>
    <definedName name="_xlnm.Print_Titles" localSheetId="6">'Only 2021-22'!$2:$2</definedName>
  </definedNames>
  <calcPr calcId="124519"/>
</workbook>
</file>

<file path=xl/calcChain.xml><?xml version="1.0" encoding="utf-8"?>
<calcChain xmlns="http://schemas.openxmlformats.org/spreadsheetml/2006/main">
  <c r="N20" i="34"/>
  <c r="N18"/>
  <c r="BY72" l="1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AY72"/>
  <c r="BZ69"/>
  <c r="BY69"/>
  <c r="BX69"/>
  <c r="BW69"/>
  <c r="BV69"/>
  <c r="BU69"/>
  <c r="BT69"/>
  <c r="BS69"/>
  <c r="BR69"/>
  <c r="CA69" s="1"/>
  <c r="BQ69"/>
  <c r="BG69"/>
  <c r="AZ69"/>
  <c r="AP69"/>
  <c r="AF69"/>
  <c r="Y69"/>
  <c r="O69"/>
  <c r="N21"/>
  <c r="N27"/>
  <c r="N30"/>
  <c r="K199" i="35" l="1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4"/>
  <c r="K13"/>
  <c r="K12"/>
  <c r="K10"/>
  <c r="K9"/>
  <c r="K8"/>
  <c r="K7"/>
  <c r="K6"/>
  <c r="K5"/>
  <c r="K4"/>
  <c r="K3"/>
  <c r="K202"/>
  <c r="E15"/>
  <c r="K15" s="1"/>
  <c r="I11"/>
  <c r="K11" s="1"/>
  <c r="BF215" i="34"/>
  <c r="BF213"/>
  <c r="BF175"/>
  <c r="BF169"/>
  <c r="BF160"/>
  <c r="BF154"/>
  <c r="BF152"/>
  <c r="BF149"/>
  <c r="BF132"/>
  <c r="BF130"/>
  <c r="BF128"/>
  <c r="BF124"/>
  <c r="BF119"/>
  <c r="BF87"/>
  <c r="BF85"/>
  <c r="BF74"/>
  <c r="BF68"/>
  <c r="BF63"/>
  <c r="BF54"/>
  <c r="BF45"/>
  <c r="BF35"/>
  <c r="BF30"/>
  <c r="BF27"/>
  <c r="BF21"/>
  <c r="BF16"/>
  <c r="G201" i="35" l="1"/>
  <c r="G203" s="1"/>
  <c r="G205" s="1"/>
  <c r="I201"/>
  <c r="I203" s="1"/>
  <c r="I205" s="1"/>
  <c r="H201"/>
  <c r="H203" s="1"/>
  <c r="H205" s="1"/>
  <c r="F201"/>
  <c r="F203" s="1"/>
  <c r="F205" s="1"/>
  <c r="J201"/>
  <c r="J203" s="1"/>
  <c r="J205" s="1"/>
  <c r="AF222" i="34"/>
  <c r="E201" i="35" l="1"/>
  <c r="E203" s="1"/>
  <c r="E205" s="1"/>
  <c r="K201"/>
  <c r="K203" s="1"/>
  <c r="BZ131" i="34" l="1"/>
  <c r="BZ228"/>
  <c r="BZ225"/>
  <c r="BZ221"/>
  <c r="BZ218"/>
  <c r="BZ214"/>
  <c r="BZ215" s="1"/>
  <c r="BZ211"/>
  <c r="BZ210"/>
  <c r="BZ209"/>
  <c r="BZ208"/>
  <c r="BZ207"/>
  <c r="BZ206"/>
  <c r="BZ204"/>
  <c r="BZ202"/>
  <c r="BZ200"/>
  <c r="BZ199"/>
  <c r="BZ198"/>
  <c r="BZ197"/>
  <c r="BZ196"/>
  <c r="BZ193"/>
  <c r="BZ191"/>
  <c r="BZ190"/>
  <c r="BZ188"/>
  <c r="BZ186"/>
  <c r="BZ185"/>
  <c r="BZ184"/>
  <c r="BZ181"/>
  <c r="BZ178"/>
  <c r="BZ174"/>
  <c r="BZ173"/>
  <c r="BZ170"/>
  <c r="BZ168"/>
  <c r="BZ167"/>
  <c r="BZ166"/>
  <c r="BZ164"/>
  <c r="BZ163"/>
  <c r="BZ158"/>
  <c r="BZ157"/>
  <c r="BZ156"/>
  <c r="BZ155"/>
  <c r="BZ153"/>
  <c r="BZ154" s="1"/>
  <c r="BZ151"/>
  <c r="BZ148"/>
  <c r="BZ147"/>
  <c r="BZ146"/>
  <c r="BZ145"/>
  <c r="BZ144"/>
  <c r="BZ142"/>
  <c r="BZ141"/>
  <c r="BZ140"/>
  <c r="BZ139"/>
  <c r="BZ138"/>
  <c r="BZ137"/>
  <c r="BZ136"/>
  <c r="BZ134"/>
  <c r="BZ133"/>
  <c r="BZ125"/>
  <c r="BZ123"/>
  <c r="BZ121"/>
  <c r="BZ120"/>
  <c r="BZ118"/>
  <c r="BZ115"/>
  <c r="BZ114"/>
  <c r="BZ112"/>
  <c r="BZ108"/>
  <c r="BZ107"/>
  <c r="BZ106"/>
  <c r="BZ100"/>
  <c r="BZ99"/>
  <c r="BZ98"/>
  <c r="BZ97"/>
  <c r="BZ96"/>
  <c r="BZ92"/>
  <c r="BZ90"/>
  <c r="BZ89"/>
  <c r="BZ88"/>
  <c r="BZ84"/>
  <c r="BZ83"/>
  <c r="BZ82"/>
  <c r="BZ81"/>
  <c r="BZ78"/>
  <c r="BZ77"/>
  <c r="BZ76"/>
  <c r="BZ73"/>
  <c r="BZ74" s="1"/>
  <c r="BZ67"/>
  <c r="BZ64"/>
  <c r="BZ62"/>
  <c r="BZ59"/>
  <c r="BZ58"/>
  <c r="BZ57"/>
  <c r="BZ56"/>
  <c r="BZ52"/>
  <c r="BZ51"/>
  <c r="BZ49"/>
  <c r="BZ48"/>
  <c r="BZ44"/>
  <c r="BZ42"/>
  <c r="BZ41"/>
  <c r="BZ39"/>
  <c r="BZ38"/>
  <c r="BZ37"/>
  <c r="BZ36"/>
  <c r="BZ34"/>
  <c r="BZ33"/>
  <c r="BZ32"/>
  <c r="BZ31"/>
  <c r="BZ29"/>
  <c r="BZ19"/>
  <c r="BZ17"/>
  <c r="BZ15"/>
  <c r="BZ13"/>
  <c r="BZ9"/>
  <c r="BZ224"/>
  <c r="BZ223"/>
  <c r="BZ220"/>
  <c r="BZ219"/>
  <c r="BZ217"/>
  <c r="BZ194"/>
  <c r="BZ192"/>
  <c r="BZ187"/>
  <c r="BZ183"/>
  <c r="BZ182"/>
  <c r="BZ180"/>
  <c r="BZ179"/>
  <c r="BZ177"/>
  <c r="BZ143"/>
  <c r="BZ117"/>
  <c r="BZ116"/>
  <c r="BZ110"/>
  <c r="BZ109"/>
  <c r="BZ105"/>
  <c r="BZ104"/>
  <c r="BZ103"/>
  <c r="BZ102"/>
  <c r="BZ95"/>
  <c r="BZ66"/>
  <c r="BZ65"/>
  <c r="BZ53"/>
  <c r="BZ50"/>
  <c r="BZ47"/>
  <c r="BZ40"/>
  <c r="BZ26"/>
  <c r="BZ23"/>
  <c r="BZ22"/>
  <c r="BZ14"/>
  <c r="BZ11"/>
  <c r="BZ8"/>
  <c r="BZ7"/>
  <c r="BZ6"/>
  <c r="BZ5"/>
  <c r="BZ68" l="1"/>
  <c r="BZ35"/>
  <c r="BZ132"/>
  <c r="BZ227" l="1"/>
  <c r="BZ212"/>
  <c r="BZ205"/>
  <c r="BZ203"/>
  <c r="BZ201"/>
  <c r="BZ189"/>
  <c r="BZ176"/>
  <c r="BZ172"/>
  <c r="BZ171"/>
  <c r="BZ165"/>
  <c r="BZ162"/>
  <c r="BZ150"/>
  <c r="BZ152" s="1"/>
  <c r="BZ135"/>
  <c r="BZ149" s="1"/>
  <c r="BZ122"/>
  <c r="BZ124" s="1"/>
  <c r="BZ111"/>
  <c r="BZ94"/>
  <c r="BZ101"/>
  <c r="BZ93"/>
  <c r="BZ71"/>
  <c r="BZ70"/>
  <c r="BZ72" s="1"/>
  <c r="BZ60"/>
  <c r="BZ55"/>
  <c r="BZ46"/>
  <c r="BZ54" s="1"/>
  <c r="BZ25"/>
  <c r="BZ10"/>
  <c r="BZ12"/>
  <c r="BZ16" l="1"/>
  <c r="BZ175"/>
  <c r="BZ226"/>
  <c r="BZ222"/>
  <c r="BZ216"/>
  <c r="BZ195"/>
  <c r="BZ213" s="1"/>
  <c r="BZ161"/>
  <c r="BZ169" s="1"/>
  <c r="BZ159"/>
  <c r="BZ160" s="1"/>
  <c r="BZ129"/>
  <c r="BZ130" s="1"/>
  <c r="BZ127"/>
  <c r="BZ113"/>
  <c r="BZ91"/>
  <c r="BZ126"/>
  <c r="BZ86"/>
  <c r="BZ87" s="1"/>
  <c r="BZ80"/>
  <c r="BZ79"/>
  <c r="BZ75"/>
  <c r="BZ61"/>
  <c r="BZ63" s="1"/>
  <c r="BZ43"/>
  <c r="BZ45" s="1"/>
  <c r="BZ28"/>
  <c r="BZ30" s="1"/>
  <c r="BZ24"/>
  <c r="BZ27" s="1"/>
  <c r="BZ20"/>
  <c r="BZ18"/>
  <c r="BZ229" l="1"/>
  <c r="BZ119"/>
  <c r="BZ128"/>
  <c r="BZ21"/>
  <c r="BZ85"/>
  <c r="Y172"/>
  <c r="Y171"/>
  <c r="BZ231" l="1"/>
  <c r="BP68"/>
  <c r="BP27"/>
  <c r="BZ232"/>
  <c r="BY232"/>
  <c r="BY228"/>
  <c r="BY227"/>
  <c r="BY226"/>
  <c r="BY225"/>
  <c r="BY224"/>
  <c r="BY223"/>
  <c r="BY222"/>
  <c r="BY221"/>
  <c r="BY220"/>
  <c r="BY219"/>
  <c r="BY218"/>
  <c r="BY217"/>
  <c r="BY216"/>
  <c r="BY214"/>
  <c r="BY212"/>
  <c r="BY211"/>
  <c r="BY210"/>
  <c r="BY209"/>
  <c r="BY208"/>
  <c r="BY207"/>
  <c r="BY206"/>
  <c r="BY205"/>
  <c r="BY204"/>
  <c r="BY203"/>
  <c r="BY202"/>
  <c r="BY201"/>
  <c r="BY200"/>
  <c r="BY199"/>
  <c r="BY198"/>
  <c r="BY197"/>
  <c r="BY196"/>
  <c r="BY195"/>
  <c r="BY194"/>
  <c r="BY193"/>
  <c r="BY192"/>
  <c r="BY191"/>
  <c r="BY190"/>
  <c r="BY189"/>
  <c r="BY188"/>
  <c r="BY187"/>
  <c r="BY186"/>
  <c r="BY185"/>
  <c r="BY184"/>
  <c r="BY183"/>
  <c r="BY182"/>
  <c r="BY181"/>
  <c r="BY180"/>
  <c r="BY179"/>
  <c r="BY178"/>
  <c r="BY177"/>
  <c r="BY176"/>
  <c r="BY174"/>
  <c r="BY173"/>
  <c r="BY172"/>
  <c r="BY171"/>
  <c r="BY170"/>
  <c r="BY168"/>
  <c r="BY167"/>
  <c r="BY166"/>
  <c r="BY165"/>
  <c r="BY164"/>
  <c r="BY163"/>
  <c r="BY162"/>
  <c r="BY161"/>
  <c r="BY159"/>
  <c r="BY158"/>
  <c r="BY157"/>
  <c r="BY156"/>
  <c r="BY155"/>
  <c r="BY153"/>
  <c r="BY151"/>
  <c r="BY150"/>
  <c r="BY148"/>
  <c r="BY147"/>
  <c r="BY146"/>
  <c r="BY145"/>
  <c r="BY144"/>
  <c r="BY143"/>
  <c r="BY142"/>
  <c r="BY141"/>
  <c r="BY140"/>
  <c r="BY139"/>
  <c r="BY138"/>
  <c r="BY137"/>
  <c r="BY136"/>
  <c r="BY135"/>
  <c r="BY134"/>
  <c r="BY133"/>
  <c r="BY131"/>
  <c r="BY129"/>
  <c r="BY130" s="1"/>
  <c r="BY127"/>
  <c r="BY126"/>
  <c r="BY125"/>
  <c r="BY123"/>
  <c r="BY122"/>
  <c r="BY121"/>
  <c r="BY120"/>
  <c r="BY118"/>
  <c r="BY117"/>
  <c r="BY116"/>
  <c r="BY115"/>
  <c r="BY114"/>
  <c r="BY113"/>
  <c r="BY112"/>
  <c r="BY111"/>
  <c r="BY110"/>
  <c r="BY109"/>
  <c r="BY108"/>
  <c r="BY107"/>
  <c r="BY106"/>
  <c r="BY105"/>
  <c r="BY104"/>
  <c r="BY103"/>
  <c r="BY102"/>
  <c r="BY101"/>
  <c r="BY100"/>
  <c r="BY99"/>
  <c r="BY98"/>
  <c r="BY97"/>
  <c r="BY96"/>
  <c r="BY95"/>
  <c r="BY94"/>
  <c r="BY93"/>
  <c r="BY92"/>
  <c r="BY91"/>
  <c r="BY90"/>
  <c r="BY89"/>
  <c r="BY88"/>
  <c r="BY86"/>
  <c r="BY84"/>
  <c r="BY83"/>
  <c r="BY82"/>
  <c r="BY81"/>
  <c r="BY80"/>
  <c r="BY79"/>
  <c r="BY78"/>
  <c r="BY77"/>
  <c r="BY76"/>
  <c r="BY75"/>
  <c r="BY73"/>
  <c r="BY74" s="1"/>
  <c r="BY71"/>
  <c r="BY70"/>
  <c r="BY67"/>
  <c r="BY66"/>
  <c r="BY65"/>
  <c r="BY64"/>
  <c r="BY62"/>
  <c r="BY61"/>
  <c r="BY60"/>
  <c r="BY59"/>
  <c r="BY58"/>
  <c r="BY57"/>
  <c r="BY56"/>
  <c r="BY55"/>
  <c r="BY53"/>
  <c r="BY52"/>
  <c r="BY51"/>
  <c r="BY50"/>
  <c r="BY49"/>
  <c r="BY48"/>
  <c r="BY47"/>
  <c r="BY46"/>
  <c r="BY44"/>
  <c r="BY43"/>
  <c r="BY42"/>
  <c r="BY41"/>
  <c r="BY40"/>
  <c r="BY39"/>
  <c r="BY38"/>
  <c r="BY37"/>
  <c r="BY36"/>
  <c r="BY34"/>
  <c r="BY33"/>
  <c r="BY32"/>
  <c r="BY31"/>
  <c r="BY29"/>
  <c r="BY30" s="1"/>
  <c r="BY28"/>
  <c r="BY26"/>
  <c r="BY25"/>
  <c r="BY24"/>
  <c r="BY23"/>
  <c r="BY22"/>
  <c r="BY20"/>
  <c r="BY19"/>
  <c r="BY18"/>
  <c r="BY17"/>
  <c r="BY15"/>
  <c r="BY14"/>
  <c r="BY13"/>
  <c r="BY12"/>
  <c r="BY11"/>
  <c r="BY10"/>
  <c r="BY9"/>
  <c r="BY8"/>
  <c r="BY7"/>
  <c r="BY6"/>
  <c r="BY5"/>
  <c r="BX232"/>
  <c r="BX228"/>
  <c r="BX227"/>
  <c r="BX226"/>
  <c r="BX225"/>
  <c r="BX224"/>
  <c r="BX223"/>
  <c r="BX222"/>
  <c r="BX221"/>
  <c r="BX220"/>
  <c r="BX219"/>
  <c r="BX218"/>
  <c r="BX217"/>
  <c r="BX216"/>
  <c r="BX214"/>
  <c r="BX212"/>
  <c r="BX211"/>
  <c r="BX210"/>
  <c r="BX209"/>
  <c r="BX208"/>
  <c r="BX207"/>
  <c r="BX206"/>
  <c r="BX205"/>
  <c r="BX204"/>
  <c r="BX203"/>
  <c r="BX202"/>
  <c r="BX201"/>
  <c r="BX200"/>
  <c r="BX199"/>
  <c r="BX198"/>
  <c r="BX197"/>
  <c r="BX196"/>
  <c r="BX195"/>
  <c r="BX194"/>
  <c r="BX193"/>
  <c r="BX192"/>
  <c r="BX191"/>
  <c r="BX190"/>
  <c r="BX189"/>
  <c r="BX188"/>
  <c r="BX187"/>
  <c r="BX186"/>
  <c r="BX185"/>
  <c r="BX184"/>
  <c r="BX183"/>
  <c r="BX182"/>
  <c r="BX181"/>
  <c r="BX180"/>
  <c r="BX179"/>
  <c r="BX178"/>
  <c r="BX177"/>
  <c r="BX176"/>
  <c r="BX174"/>
  <c r="BX173"/>
  <c r="BX172"/>
  <c r="BX171"/>
  <c r="BX170"/>
  <c r="BX168"/>
  <c r="BX167"/>
  <c r="BX166"/>
  <c r="BX165"/>
  <c r="BX164"/>
  <c r="BX163"/>
  <c r="BX162"/>
  <c r="BX161"/>
  <c r="BX159"/>
  <c r="BX158"/>
  <c r="BX157"/>
  <c r="BX156"/>
  <c r="BX155"/>
  <c r="BX153"/>
  <c r="BX151"/>
  <c r="BX150"/>
  <c r="BX148"/>
  <c r="BX147"/>
  <c r="BX146"/>
  <c r="BX145"/>
  <c r="BX144"/>
  <c r="BX143"/>
  <c r="BX142"/>
  <c r="BX141"/>
  <c r="BX140"/>
  <c r="BX139"/>
  <c r="BX138"/>
  <c r="BX137"/>
  <c r="BX136"/>
  <c r="BX135"/>
  <c r="BX134"/>
  <c r="BX133"/>
  <c r="BX131"/>
  <c r="BX129"/>
  <c r="BX127"/>
  <c r="BX126"/>
  <c r="BX125"/>
  <c r="BX123"/>
  <c r="BX122"/>
  <c r="BX121"/>
  <c r="BX120"/>
  <c r="BX118"/>
  <c r="BX117"/>
  <c r="BX116"/>
  <c r="BX115"/>
  <c r="BX114"/>
  <c r="BX113"/>
  <c r="BX112"/>
  <c r="BX111"/>
  <c r="BX110"/>
  <c r="BX109"/>
  <c r="BX108"/>
  <c r="BX107"/>
  <c r="BX106"/>
  <c r="BX105"/>
  <c r="BX104"/>
  <c r="BX103"/>
  <c r="BX102"/>
  <c r="BX101"/>
  <c r="BX100"/>
  <c r="BX99"/>
  <c r="BX98"/>
  <c r="BX97"/>
  <c r="BX96"/>
  <c r="BX95"/>
  <c r="BX94"/>
  <c r="BX93"/>
  <c r="BX92"/>
  <c r="BX91"/>
  <c r="BX90"/>
  <c r="BX89"/>
  <c r="BX88"/>
  <c r="BX86"/>
  <c r="BX84"/>
  <c r="BX83"/>
  <c r="BX82"/>
  <c r="BX81"/>
  <c r="BX80"/>
  <c r="BX79"/>
  <c r="BX78"/>
  <c r="BX77"/>
  <c r="BX76"/>
  <c r="BX75"/>
  <c r="BX73"/>
  <c r="BX71"/>
  <c r="BX70"/>
  <c r="BX67"/>
  <c r="BX66"/>
  <c r="BX65"/>
  <c r="BX64"/>
  <c r="BX62"/>
  <c r="BX61"/>
  <c r="BX60"/>
  <c r="BX59"/>
  <c r="BX58"/>
  <c r="BX57"/>
  <c r="BX56"/>
  <c r="BX55"/>
  <c r="BX53"/>
  <c r="BX52"/>
  <c r="BX51"/>
  <c r="BX50"/>
  <c r="BX49"/>
  <c r="BX48"/>
  <c r="BX47"/>
  <c r="BX46"/>
  <c r="BX44"/>
  <c r="BX43"/>
  <c r="BX42"/>
  <c r="BX41"/>
  <c r="BX40"/>
  <c r="BX39"/>
  <c r="BX38"/>
  <c r="BX37"/>
  <c r="BX36"/>
  <c r="BX34"/>
  <c r="BX33"/>
  <c r="BX32"/>
  <c r="BX31"/>
  <c r="BX29"/>
  <c r="BX28"/>
  <c r="BX26"/>
  <c r="BX25"/>
  <c r="BX24"/>
  <c r="BX23"/>
  <c r="BX22"/>
  <c r="BX20"/>
  <c r="BX19"/>
  <c r="BX18"/>
  <c r="BX17"/>
  <c r="BX15"/>
  <c r="BX14"/>
  <c r="BX13"/>
  <c r="BX12"/>
  <c r="BX11"/>
  <c r="BX10"/>
  <c r="BX9"/>
  <c r="BX8"/>
  <c r="BX7"/>
  <c r="BX6"/>
  <c r="BX5"/>
  <c r="BW232"/>
  <c r="BW228"/>
  <c r="BW227"/>
  <c r="BW226"/>
  <c r="BW225"/>
  <c r="BW224"/>
  <c r="BW223"/>
  <c r="BW222"/>
  <c r="BW221"/>
  <c r="BW220"/>
  <c r="BW219"/>
  <c r="BW218"/>
  <c r="BW217"/>
  <c r="BW216"/>
  <c r="BW214"/>
  <c r="BW212"/>
  <c r="BW211"/>
  <c r="BW210"/>
  <c r="BW209"/>
  <c r="BW208"/>
  <c r="BW207"/>
  <c r="BW206"/>
  <c r="BW205"/>
  <c r="BW204"/>
  <c r="BW203"/>
  <c r="BW202"/>
  <c r="BW201"/>
  <c r="BW200"/>
  <c r="BW199"/>
  <c r="BW198"/>
  <c r="BW197"/>
  <c r="BW196"/>
  <c r="BW195"/>
  <c r="BW194"/>
  <c r="BW193"/>
  <c r="BW192"/>
  <c r="BW191"/>
  <c r="BW190"/>
  <c r="BW189"/>
  <c r="BW188"/>
  <c r="BW187"/>
  <c r="BW186"/>
  <c r="BW185"/>
  <c r="BW184"/>
  <c r="BW183"/>
  <c r="BW182"/>
  <c r="BW181"/>
  <c r="BW180"/>
  <c r="BW179"/>
  <c r="BW178"/>
  <c r="BW177"/>
  <c r="BW176"/>
  <c r="BW174"/>
  <c r="BW173"/>
  <c r="BW172"/>
  <c r="BW171"/>
  <c r="BW170"/>
  <c r="BW168"/>
  <c r="BW167"/>
  <c r="BW166"/>
  <c r="BW165"/>
  <c r="BW164"/>
  <c r="BW163"/>
  <c r="BW162"/>
  <c r="BW161"/>
  <c r="BW159"/>
  <c r="BW158"/>
  <c r="BW157"/>
  <c r="BW156"/>
  <c r="BW155"/>
  <c r="BW153"/>
  <c r="BW151"/>
  <c r="BW150"/>
  <c r="BW148"/>
  <c r="BW147"/>
  <c r="BW146"/>
  <c r="BW145"/>
  <c r="BW144"/>
  <c r="BW143"/>
  <c r="BW142"/>
  <c r="BW141"/>
  <c r="BW140"/>
  <c r="BW139"/>
  <c r="BW138"/>
  <c r="BW137"/>
  <c r="BW136"/>
  <c r="BW135"/>
  <c r="BW134"/>
  <c r="BW133"/>
  <c r="BW131"/>
  <c r="BW129"/>
  <c r="BW127"/>
  <c r="BW126"/>
  <c r="BW125"/>
  <c r="BW123"/>
  <c r="BW122"/>
  <c r="BW121"/>
  <c r="BW120"/>
  <c r="BW118"/>
  <c r="BW117"/>
  <c r="BW116"/>
  <c r="BW115"/>
  <c r="BW114"/>
  <c r="BW113"/>
  <c r="BW112"/>
  <c r="BW111"/>
  <c r="BW110"/>
  <c r="BW109"/>
  <c r="BW108"/>
  <c r="BW107"/>
  <c r="BW106"/>
  <c r="BW105"/>
  <c r="BW104"/>
  <c r="BW103"/>
  <c r="BW102"/>
  <c r="BW101"/>
  <c r="BW100"/>
  <c r="BW99"/>
  <c r="BW98"/>
  <c r="BW97"/>
  <c r="BW96"/>
  <c r="BW95"/>
  <c r="BW94"/>
  <c r="BW93"/>
  <c r="BW92"/>
  <c r="BW91"/>
  <c r="BW90"/>
  <c r="BW89"/>
  <c r="BW88"/>
  <c r="BW86"/>
  <c r="BW84"/>
  <c r="BW83"/>
  <c r="BW82"/>
  <c r="BW81"/>
  <c r="BW80"/>
  <c r="BW79"/>
  <c r="BW78"/>
  <c r="BW77"/>
  <c r="BW76"/>
  <c r="BW75"/>
  <c r="BW73"/>
  <c r="BW74" s="1"/>
  <c r="BW71"/>
  <c r="BW70"/>
  <c r="BW67"/>
  <c r="BW66"/>
  <c r="BW65"/>
  <c r="BW64"/>
  <c r="BW62"/>
  <c r="BW61"/>
  <c r="BW60"/>
  <c r="BW59"/>
  <c r="BW58"/>
  <c r="BW57"/>
  <c r="BW56"/>
  <c r="BW55"/>
  <c r="BW53"/>
  <c r="BW52"/>
  <c r="BW51"/>
  <c r="BW50"/>
  <c r="BW49"/>
  <c r="BW48"/>
  <c r="BW47"/>
  <c r="BW46"/>
  <c r="BW44"/>
  <c r="BW43"/>
  <c r="BW42"/>
  <c r="BW41"/>
  <c r="BW40"/>
  <c r="BW39"/>
  <c r="BW38"/>
  <c r="BW37"/>
  <c r="BW36"/>
  <c r="BW34"/>
  <c r="BW33"/>
  <c r="BW32"/>
  <c r="BW31"/>
  <c r="BW29"/>
  <c r="BW30" s="1"/>
  <c r="BW28"/>
  <c r="BW26"/>
  <c r="BW25"/>
  <c r="BW24"/>
  <c r="BW23"/>
  <c r="BW22"/>
  <c r="BW20"/>
  <c r="BW19"/>
  <c r="BW18"/>
  <c r="BW17"/>
  <c r="BW15"/>
  <c r="BW14"/>
  <c r="BW13"/>
  <c r="BW12"/>
  <c r="BW11"/>
  <c r="BW10"/>
  <c r="BW9"/>
  <c r="BW8"/>
  <c r="BW7"/>
  <c r="BW6"/>
  <c r="BW5"/>
  <c r="BV232"/>
  <c r="BV228"/>
  <c r="BV227"/>
  <c r="BV226"/>
  <c r="BV225"/>
  <c r="BV224"/>
  <c r="BV223"/>
  <c r="BV222"/>
  <c r="BV221"/>
  <c r="BV220"/>
  <c r="BV219"/>
  <c r="BV218"/>
  <c r="BV217"/>
  <c r="BV216"/>
  <c r="BV214"/>
  <c r="BV212"/>
  <c r="BV211"/>
  <c r="BV210"/>
  <c r="BV209"/>
  <c r="BV208"/>
  <c r="BV207"/>
  <c r="BV206"/>
  <c r="BV205"/>
  <c r="BV204"/>
  <c r="BV203"/>
  <c r="BV202"/>
  <c r="BV201"/>
  <c r="BV200"/>
  <c r="BV199"/>
  <c r="BV198"/>
  <c r="BV197"/>
  <c r="BV196"/>
  <c r="BV195"/>
  <c r="BV194"/>
  <c r="BV193"/>
  <c r="BV192"/>
  <c r="BV191"/>
  <c r="BV190"/>
  <c r="BV189"/>
  <c r="BV188"/>
  <c r="BV187"/>
  <c r="BV186"/>
  <c r="BV185"/>
  <c r="BV184"/>
  <c r="BV183"/>
  <c r="BV182"/>
  <c r="BV181"/>
  <c r="BV180"/>
  <c r="BV179"/>
  <c r="BV178"/>
  <c r="BV177"/>
  <c r="BV176"/>
  <c r="BV174"/>
  <c r="BV173"/>
  <c r="BV172"/>
  <c r="BV171"/>
  <c r="BV170"/>
  <c r="BV168"/>
  <c r="BV167"/>
  <c r="BV166"/>
  <c r="BV165"/>
  <c r="BV164"/>
  <c r="BV163"/>
  <c r="BV162"/>
  <c r="BV161"/>
  <c r="BV159"/>
  <c r="BV158"/>
  <c r="BV157"/>
  <c r="BV156"/>
  <c r="BV155"/>
  <c r="BV153"/>
  <c r="BV151"/>
  <c r="BV150"/>
  <c r="BV148"/>
  <c r="BV147"/>
  <c r="BV146"/>
  <c r="BV145"/>
  <c r="BV144"/>
  <c r="BV143"/>
  <c r="BV142"/>
  <c r="BV141"/>
  <c r="BV140"/>
  <c r="BV139"/>
  <c r="BV138"/>
  <c r="BV137"/>
  <c r="BV136"/>
  <c r="BV135"/>
  <c r="BV134"/>
  <c r="BV133"/>
  <c r="BV131"/>
  <c r="BV129"/>
  <c r="BV127"/>
  <c r="BV126"/>
  <c r="BV125"/>
  <c r="BV123"/>
  <c r="BV122"/>
  <c r="BV121"/>
  <c r="BV120"/>
  <c r="BV118"/>
  <c r="BV117"/>
  <c r="BV116"/>
  <c r="BV115"/>
  <c r="BV114"/>
  <c r="BV113"/>
  <c r="BV112"/>
  <c r="BV111"/>
  <c r="BV110"/>
  <c r="BV109"/>
  <c r="BV108"/>
  <c r="BV107"/>
  <c r="BV106"/>
  <c r="BV105"/>
  <c r="BV104"/>
  <c r="BV103"/>
  <c r="BV102"/>
  <c r="BV101"/>
  <c r="BV100"/>
  <c r="BV99"/>
  <c r="BV98"/>
  <c r="BV97"/>
  <c r="BV96"/>
  <c r="BV95"/>
  <c r="BV94"/>
  <c r="BV93"/>
  <c r="BV92"/>
  <c r="BV91"/>
  <c r="BV90"/>
  <c r="BV89"/>
  <c r="BV88"/>
  <c r="BV86"/>
  <c r="BV84"/>
  <c r="BV83"/>
  <c r="BV82"/>
  <c r="BV81"/>
  <c r="BV80"/>
  <c r="BV79"/>
  <c r="BV78"/>
  <c r="BV77"/>
  <c r="BV76"/>
  <c r="BV75"/>
  <c r="BV73"/>
  <c r="BV71"/>
  <c r="BV70"/>
  <c r="BV67"/>
  <c r="BV66"/>
  <c r="BV65"/>
  <c r="BV64"/>
  <c r="BV62"/>
  <c r="BV61"/>
  <c r="BV60"/>
  <c r="BV59"/>
  <c r="BV58"/>
  <c r="BV57"/>
  <c r="BV56"/>
  <c r="BV55"/>
  <c r="BV53"/>
  <c r="BV52"/>
  <c r="BV51"/>
  <c r="BV50"/>
  <c r="BV49"/>
  <c r="BV48"/>
  <c r="BV47"/>
  <c r="BV46"/>
  <c r="BV44"/>
  <c r="BV43"/>
  <c r="BV42"/>
  <c r="BV41"/>
  <c r="BV40"/>
  <c r="BV39"/>
  <c r="BV38"/>
  <c r="BV37"/>
  <c r="BV36"/>
  <c r="BV34"/>
  <c r="BV33"/>
  <c r="BV32"/>
  <c r="BV31"/>
  <c r="BV29"/>
  <c r="BV28"/>
  <c r="BV26"/>
  <c r="BV25"/>
  <c r="BV24"/>
  <c r="BV23"/>
  <c r="BV22"/>
  <c r="BV20"/>
  <c r="BV19"/>
  <c r="BV18"/>
  <c r="BV17"/>
  <c r="BV15"/>
  <c r="BV14"/>
  <c r="BV13"/>
  <c r="BV12"/>
  <c r="BV11"/>
  <c r="BV10"/>
  <c r="BV9"/>
  <c r="BV8"/>
  <c r="BV7"/>
  <c r="BV6"/>
  <c r="BV5"/>
  <c r="BU232"/>
  <c r="BU228"/>
  <c r="BU227"/>
  <c r="BU226"/>
  <c r="BU225"/>
  <c r="BU224"/>
  <c r="BU223"/>
  <c r="BU222"/>
  <c r="BU221"/>
  <c r="BU220"/>
  <c r="BU219"/>
  <c r="BU218"/>
  <c r="BU217"/>
  <c r="BU216"/>
  <c r="BU214"/>
  <c r="BU212"/>
  <c r="BU211"/>
  <c r="BU210"/>
  <c r="BU209"/>
  <c r="BU208"/>
  <c r="BU207"/>
  <c r="BU206"/>
  <c r="BU205"/>
  <c r="BU204"/>
  <c r="BU203"/>
  <c r="BU202"/>
  <c r="BU201"/>
  <c r="BU200"/>
  <c r="BU199"/>
  <c r="BU198"/>
  <c r="BU197"/>
  <c r="BU196"/>
  <c r="BU195"/>
  <c r="BU194"/>
  <c r="BU193"/>
  <c r="BU192"/>
  <c r="BU191"/>
  <c r="BU190"/>
  <c r="BU189"/>
  <c r="BU188"/>
  <c r="BU187"/>
  <c r="BU186"/>
  <c r="BU185"/>
  <c r="BU184"/>
  <c r="BU183"/>
  <c r="BU182"/>
  <c r="BU181"/>
  <c r="BU180"/>
  <c r="BU179"/>
  <c r="BU178"/>
  <c r="BU177"/>
  <c r="BU176"/>
  <c r="BU174"/>
  <c r="BU173"/>
  <c r="BU172"/>
  <c r="BU171"/>
  <c r="BU170"/>
  <c r="BU168"/>
  <c r="BU167"/>
  <c r="BU166"/>
  <c r="BU165"/>
  <c r="BU164"/>
  <c r="BU163"/>
  <c r="BU162"/>
  <c r="BU161"/>
  <c r="BU159"/>
  <c r="BU158"/>
  <c r="BU157"/>
  <c r="BU156"/>
  <c r="BU155"/>
  <c r="BU153"/>
  <c r="BU151"/>
  <c r="BU150"/>
  <c r="BU148"/>
  <c r="BU147"/>
  <c r="BU146"/>
  <c r="BU145"/>
  <c r="BU144"/>
  <c r="BU143"/>
  <c r="BU142"/>
  <c r="BU141"/>
  <c r="BU140"/>
  <c r="BU139"/>
  <c r="BU138"/>
  <c r="BU137"/>
  <c r="BU136"/>
  <c r="BU135"/>
  <c r="BU134"/>
  <c r="BU133"/>
  <c r="BU131"/>
  <c r="BU129"/>
  <c r="BU130" s="1"/>
  <c r="BU127"/>
  <c r="BU126"/>
  <c r="BU125"/>
  <c r="BU123"/>
  <c r="BU122"/>
  <c r="BU121"/>
  <c r="BU120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6"/>
  <c r="BU84"/>
  <c r="BU83"/>
  <c r="BU82"/>
  <c r="BU81"/>
  <c r="BU80"/>
  <c r="BU79"/>
  <c r="BU78"/>
  <c r="BU77"/>
  <c r="BU76"/>
  <c r="BU75"/>
  <c r="BU73"/>
  <c r="BU74" s="1"/>
  <c r="BU71"/>
  <c r="BU70"/>
  <c r="BU67"/>
  <c r="BU66"/>
  <c r="BU65"/>
  <c r="BU64"/>
  <c r="BU62"/>
  <c r="BU61"/>
  <c r="BU60"/>
  <c r="BU59"/>
  <c r="BU58"/>
  <c r="BU57"/>
  <c r="BU56"/>
  <c r="BU55"/>
  <c r="BU53"/>
  <c r="BU52"/>
  <c r="BU51"/>
  <c r="BU50"/>
  <c r="BU49"/>
  <c r="BU48"/>
  <c r="BU47"/>
  <c r="BU46"/>
  <c r="BU44"/>
  <c r="BU43"/>
  <c r="BU42"/>
  <c r="BU41"/>
  <c r="BU40"/>
  <c r="BU39"/>
  <c r="BU38"/>
  <c r="BU37"/>
  <c r="BU36"/>
  <c r="BU34"/>
  <c r="BU33"/>
  <c r="BU32"/>
  <c r="BU31"/>
  <c r="BU29"/>
  <c r="BU28"/>
  <c r="BU26"/>
  <c r="BU25"/>
  <c r="BU24"/>
  <c r="BU23"/>
  <c r="BU22"/>
  <c r="BU20"/>
  <c r="BU19"/>
  <c r="BU18"/>
  <c r="BU17"/>
  <c r="BU15"/>
  <c r="BU14"/>
  <c r="BU13"/>
  <c r="BU12"/>
  <c r="BU11"/>
  <c r="BU10"/>
  <c r="BU9"/>
  <c r="BU8"/>
  <c r="BU7"/>
  <c r="BU6"/>
  <c r="BU5"/>
  <c r="BT232"/>
  <c r="BT228"/>
  <c r="BT227"/>
  <c r="BT226"/>
  <c r="BT225"/>
  <c r="BT224"/>
  <c r="BT223"/>
  <c r="BT222"/>
  <c r="BT221"/>
  <c r="BT220"/>
  <c r="BT219"/>
  <c r="BT218"/>
  <c r="BT217"/>
  <c r="BT216"/>
  <c r="BT214"/>
  <c r="BT215" s="1"/>
  <c r="BT212"/>
  <c r="BT211"/>
  <c r="BT210"/>
  <c r="BT209"/>
  <c r="BT208"/>
  <c r="BT207"/>
  <c r="BT206"/>
  <c r="BT205"/>
  <c r="BT204"/>
  <c r="BT203"/>
  <c r="BT202"/>
  <c r="BT201"/>
  <c r="BT200"/>
  <c r="BT199"/>
  <c r="BT198"/>
  <c r="BT197"/>
  <c r="BT196"/>
  <c r="BT195"/>
  <c r="BT194"/>
  <c r="BT193"/>
  <c r="BT192"/>
  <c r="BT191"/>
  <c r="BT190"/>
  <c r="BT189"/>
  <c r="BT188"/>
  <c r="BT187"/>
  <c r="BT186"/>
  <c r="BT185"/>
  <c r="BT184"/>
  <c r="BT183"/>
  <c r="BT182"/>
  <c r="BT181"/>
  <c r="BT180"/>
  <c r="BT179"/>
  <c r="BT178"/>
  <c r="BT177"/>
  <c r="BT176"/>
  <c r="BT174"/>
  <c r="BT173"/>
  <c r="BT172"/>
  <c r="BT171"/>
  <c r="BT170"/>
  <c r="BT168"/>
  <c r="BT167"/>
  <c r="BT166"/>
  <c r="BT165"/>
  <c r="BT164"/>
  <c r="BT163"/>
  <c r="BT162"/>
  <c r="BT161"/>
  <c r="BT159"/>
  <c r="BT158"/>
  <c r="BT157"/>
  <c r="BT156"/>
  <c r="BT155"/>
  <c r="BT153"/>
  <c r="BT151"/>
  <c r="BT150"/>
  <c r="BT148"/>
  <c r="BT147"/>
  <c r="BT146"/>
  <c r="BT145"/>
  <c r="BT144"/>
  <c r="BT143"/>
  <c r="BT142"/>
  <c r="BT141"/>
  <c r="BT140"/>
  <c r="BT139"/>
  <c r="BT138"/>
  <c r="BT137"/>
  <c r="BT136"/>
  <c r="BT135"/>
  <c r="BT134"/>
  <c r="BT133"/>
  <c r="BT131"/>
  <c r="BT129"/>
  <c r="BT127"/>
  <c r="BT126"/>
  <c r="BT125"/>
  <c r="BT123"/>
  <c r="BT122"/>
  <c r="BT121"/>
  <c r="BT120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6"/>
  <c r="BT84"/>
  <c r="BT83"/>
  <c r="BT82"/>
  <c r="BT81"/>
  <c r="BT80"/>
  <c r="BT79"/>
  <c r="BT78"/>
  <c r="BT77"/>
  <c r="BT76"/>
  <c r="BT75"/>
  <c r="BT73"/>
  <c r="BT71"/>
  <c r="BT70"/>
  <c r="BT67"/>
  <c r="BT66"/>
  <c r="BT65"/>
  <c r="BT64"/>
  <c r="BT62"/>
  <c r="BT61"/>
  <c r="BT60"/>
  <c r="BT59"/>
  <c r="BT58"/>
  <c r="BT57"/>
  <c r="BT56"/>
  <c r="BT55"/>
  <c r="BT53"/>
  <c r="BT52"/>
  <c r="BT51"/>
  <c r="BT50"/>
  <c r="BT49"/>
  <c r="BT48"/>
  <c r="BT47"/>
  <c r="BT46"/>
  <c r="BT44"/>
  <c r="BT43"/>
  <c r="BT42"/>
  <c r="BT41"/>
  <c r="BT40"/>
  <c r="BT39"/>
  <c r="BT38"/>
  <c r="BT37"/>
  <c r="BT36"/>
  <c r="BT34"/>
  <c r="BT33"/>
  <c r="BT32"/>
  <c r="BT31"/>
  <c r="BT29"/>
  <c r="BT28"/>
  <c r="BT26"/>
  <c r="BT25"/>
  <c r="BT24"/>
  <c r="BT23"/>
  <c r="BT22"/>
  <c r="BT20"/>
  <c r="BT19"/>
  <c r="BT18"/>
  <c r="BT17"/>
  <c r="BT15"/>
  <c r="BT14"/>
  <c r="BT13"/>
  <c r="BT12"/>
  <c r="BT11"/>
  <c r="BT10"/>
  <c r="BT9"/>
  <c r="BT8"/>
  <c r="BT7"/>
  <c r="BT6"/>
  <c r="BT5"/>
  <c r="BS232"/>
  <c r="BS228"/>
  <c r="BS227"/>
  <c r="BS226"/>
  <c r="BS225"/>
  <c r="BS224"/>
  <c r="BS223"/>
  <c r="BS222"/>
  <c r="BS221"/>
  <c r="BS220"/>
  <c r="BS219"/>
  <c r="BS218"/>
  <c r="BS217"/>
  <c r="BS216"/>
  <c r="BS214"/>
  <c r="BS212"/>
  <c r="BS211"/>
  <c r="BS210"/>
  <c r="BS209"/>
  <c r="BS208"/>
  <c r="BS207"/>
  <c r="BS206"/>
  <c r="BS205"/>
  <c r="BS204"/>
  <c r="BS203"/>
  <c r="BS202"/>
  <c r="BS201"/>
  <c r="BS200"/>
  <c r="BS199"/>
  <c r="BS198"/>
  <c r="BS197"/>
  <c r="BS196"/>
  <c r="BS195"/>
  <c r="BS194"/>
  <c r="BS193"/>
  <c r="BS192"/>
  <c r="BS191"/>
  <c r="BS190"/>
  <c r="BS189"/>
  <c r="BS188"/>
  <c r="BS187"/>
  <c r="BS186"/>
  <c r="BS185"/>
  <c r="BS184"/>
  <c r="BS183"/>
  <c r="BS182"/>
  <c r="BS181"/>
  <c r="BS180"/>
  <c r="BS179"/>
  <c r="BS178"/>
  <c r="BS177"/>
  <c r="BS176"/>
  <c r="BS174"/>
  <c r="BS173"/>
  <c r="BS172"/>
  <c r="BS171"/>
  <c r="BS170"/>
  <c r="BS168"/>
  <c r="BS167"/>
  <c r="BS166"/>
  <c r="BS165"/>
  <c r="BS164"/>
  <c r="BS163"/>
  <c r="BS162"/>
  <c r="BS161"/>
  <c r="BS159"/>
  <c r="BS158"/>
  <c r="BS157"/>
  <c r="BS156"/>
  <c r="BS155"/>
  <c r="BS153"/>
  <c r="BS154" s="1"/>
  <c r="BS151"/>
  <c r="BS150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1"/>
  <c r="BS132" s="1"/>
  <c r="BS129"/>
  <c r="BS127"/>
  <c r="BS126"/>
  <c r="BS125"/>
  <c r="BS123"/>
  <c r="BS122"/>
  <c r="BS121"/>
  <c r="BS120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6"/>
  <c r="BS84"/>
  <c r="BS83"/>
  <c r="BS82"/>
  <c r="BS81"/>
  <c r="BS80"/>
  <c r="BS79"/>
  <c r="BS78"/>
  <c r="BS77"/>
  <c r="BS76"/>
  <c r="BS75"/>
  <c r="BS73"/>
  <c r="BS74" s="1"/>
  <c r="BS71"/>
  <c r="BS70"/>
  <c r="BS67"/>
  <c r="BS66"/>
  <c r="BS65"/>
  <c r="BS64"/>
  <c r="BS62"/>
  <c r="BS61"/>
  <c r="BS60"/>
  <c r="BS59"/>
  <c r="BS58"/>
  <c r="BS57"/>
  <c r="BS56"/>
  <c r="BS55"/>
  <c r="BS53"/>
  <c r="BS52"/>
  <c r="BS51"/>
  <c r="BS50"/>
  <c r="BS49"/>
  <c r="BS48"/>
  <c r="BS47"/>
  <c r="BS46"/>
  <c r="BS44"/>
  <c r="BS43"/>
  <c r="BS42"/>
  <c r="BS41"/>
  <c r="BS40"/>
  <c r="BS39"/>
  <c r="BS38"/>
  <c r="BS37"/>
  <c r="BS36"/>
  <c r="BS34"/>
  <c r="BS33"/>
  <c r="BS32"/>
  <c r="BS31"/>
  <c r="BS29"/>
  <c r="BS30" s="1"/>
  <c r="BS28"/>
  <c r="BS26"/>
  <c r="BS25"/>
  <c r="BS24"/>
  <c r="BS23"/>
  <c r="BS22"/>
  <c r="BS20"/>
  <c r="BS19"/>
  <c r="BS18"/>
  <c r="BS17"/>
  <c r="BS15"/>
  <c r="BS14"/>
  <c r="BS13"/>
  <c r="BS12"/>
  <c r="BS11"/>
  <c r="BS10"/>
  <c r="BS9"/>
  <c r="BS8"/>
  <c r="BS7"/>
  <c r="BS6"/>
  <c r="BS5"/>
  <c r="BR232"/>
  <c r="BR228"/>
  <c r="BR227"/>
  <c r="CA227" s="1"/>
  <c r="BR226"/>
  <c r="BR225"/>
  <c r="BR224"/>
  <c r="BR223"/>
  <c r="BR222"/>
  <c r="BR221"/>
  <c r="BR220"/>
  <c r="CA220" s="1"/>
  <c r="BR219"/>
  <c r="BR218"/>
  <c r="BR217"/>
  <c r="CA217" s="1"/>
  <c r="BR216"/>
  <c r="BR214"/>
  <c r="BR215" s="1"/>
  <c r="BR212"/>
  <c r="BR211"/>
  <c r="BR210"/>
  <c r="BR209"/>
  <c r="BR208"/>
  <c r="BR207"/>
  <c r="BR206"/>
  <c r="CA206" s="1"/>
  <c r="BR205"/>
  <c r="CA205" s="1"/>
  <c r="BR204"/>
  <c r="BR203"/>
  <c r="CA203" s="1"/>
  <c r="BR202"/>
  <c r="BR201"/>
  <c r="CA201" s="1"/>
  <c r="BR200"/>
  <c r="BR199"/>
  <c r="BR198"/>
  <c r="BR197"/>
  <c r="BR196"/>
  <c r="BR195"/>
  <c r="BR194"/>
  <c r="CA194" s="1"/>
  <c r="BR193"/>
  <c r="CA193" s="1"/>
  <c r="BR192"/>
  <c r="BR191"/>
  <c r="CA191" s="1"/>
  <c r="BR190"/>
  <c r="BR189"/>
  <c r="CA189" s="1"/>
  <c r="BR188"/>
  <c r="BR187"/>
  <c r="BR186"/>
  <c r="BR185"/>
  <c r="BR184"/>
  <c r="BR183"/>
  <c r="BR182"/>
  <c r="CA182" s="1"/>
  <c r="BR181"/>
  <c r="CA181" s="1"/>
  <c r="BR180"/>
  <c r="BR179"/>
  <c r="CA179" s="1"/>
  <c r="BR178"/>
  <c r="BR177"/>
  <c r="CA177" s="1"/>
  <c r="BR176"/>
  <c r="BR174"/>
  <c r="BR173"/>
  <c r="BR172"/>
  <c r="BR171"/>
  <c r="BR170"/>
  <c r="BR168"/>
  <c r="BR167"/>
  <c r="CA167" s="1"/>
  <c r="BR166"/>
  <c r="BR165"/>
  <c r="BR164"/>
  <c r="BR163"/>
  <c r="BR162"/>
  <c r="BR161"/>
  <c r="BR159"/>
  <c r="BR158"/>
  <c r="BR157"/>
  <c r="BR156"/>
  <c r="BR155"/>
  <c r="BR153"/>
  <c r="CA153" s="1"/>
  <c r="BR151"/>
  <c r="BR150"/>
  <c r="CA150" s="1"/>
  <c r="BR148"/>
  <c r="BR147"/>
  <c r="CA147" s="1"/>
  <c r="BR146"/>
  <c r="BR145"/>
  <c r="BR144"/>
  <c r="BR143"/>
  <c r="BR142"/>
  <c r="BR141"/>
  <c r="BR140"/>
  <c r="BR139"/>
  <c r="CA139" s="1"/>
  <c r="BR138"/>
  <c r="BR137"/>
  <c r="CA137" s="1"/>
  <c r="BR136"/>
  <c r="BR135"/>
  <c r="CA135" s="1"/>
  <c r="BR134"/>
  <c r="BR133"/>
  <c r="BR131"/>
  <c r="BR129"/>
  <c r="BR127"/>
  <c r="BR126"/>
  <c r="BR125"/>
  <c r="CA125" s="1"/>
  <c r="BR123"/>
  <c r="CA123" s="1"/>
  <c r="BR122"/>
  <c r="BR121"/>
  <c r="BR120"/>
  <c r="BR118"/>
  <c r="CA118" s="1"/>
  <c r="BR117"/>
  <c r="BR116"/>
  <c r="BR115"/>
  <c r="BR114"/>
  <c r="BR113"/>
  <c r="BR112"/>
  <c r="BR111"/>
  <c r="CA111" s="1"/>
  <c r="BR110"/>
  <c r="CA110" s="1"/>
  <c r="BR109"/>
  <c r="BR108"/>
  <c r="CA108" s="1"/>
  <c r="BR107"/>
  <c r="BR106"/>
  <c r="CA106" s="1"/>
  <c r="BR105"/>
  <c r="BR104"/>
  <c r="BR103"/>
  <c r="BR102"/>
  <c r="BR101"/>
  <c r="BR100"/>
  <c r="BR99"/>
  <c r="BR98"/>
  <c r="CA98" s="1"/>
  <c r="BR97"/>
  <c r="BR96"/>
  <c r="CA96" s="1"/>
  <c r="BR95"/>
  <c r="BR94"/>
  <c r="CA94" s="1"/>
  <c r="BR93"/>
  <c r="BR92"/>
  <c r="BR91"/>
  <c r="BR90"/>
  <c r="BR89"/>
  <c r="BR88"/>
  <c r="BR86"/>
  <c r="CA86" s="1"/>
  <c r="BR84"/>
  <c r="CA84" s="1"/>
  <c r="BR83"/>
  <c r="BR82"/>
  <c r="CA82" s="1"/>
  <c r="BR81"/>
  <c r="BR80"/>
  <c r="CA80" s="1"/>
  <c r="BR79"/>
  <c r="BR78"/>
  <c r="BR77"/>
  <c r="BR76"/>
  <c r="BR75"/>
  <c r="BR73"/>
  <c r="BR71"/>
  <c r="CA71" s="1"/>
  <c r="BR70"/>
  <c r="CA70" s="1"/>
  <c r="CA72" s="1"/>
  <c r="BR67"/>
  <c r="BR66"/>
  <c r="BR65"/>
  <c r="BR64"/>
  <c r="CA64" s="1"/>
  <c r="BR62"/>
  <c r="BR61"/>
  <c r="BR60"/>
  <c r="BR59"/>
  <c r="BR58"/>
  <c r="BR57"/>
  <c r="BR56"/>
  <c r="CA56" s="1"/>
  <c r="BR55"/>
  <c r="CA55" s="1"/>
  <c r="BR53"/>
  <c r="BR52"/>
  <c r="BR51"/>
  <c r="BR50"/>
  <c r="CA50" s="1"/>
  <c r="BR49"/>
  <c r="BR48"/>
  <c r="BR47"/>
  <c r="BR46"/>
  <c r="BR44"/>
  <c r="BR43"/>
  <c r="BR42"/>
  <c r="BR41"/>
  <c r="CA41" s="1"/>
  <c r="BR40"/>
  <c r="BR39"/>
  <c r="CA39" s="1"/>
  <c r="BR38"/>
  <c r="BR37"/>
  <c r="BR36"/>
  <c r="BR34"/>
  <c r="BR33"/>
  <c r="BR32"/>
  <c r="BR31"/>
  <c r="BR29"/>
  <c r="BR28"/>
  <c r="CA28" s="1"/>
  <c r="BR26"/>
  <c r="CA26" s="1"/>
  <c r="BR25"/>
  <c r="BR24"/>
  <c r="CA24" s="1"/>
  <c r="BR23"/>
  <c r="BR22"/>
  <c r="CA22" s="1"/>
  <c r="BR20"/>
  <c r="BR19"/>
  <c r="BR18"/>
  <c r="BR17"/>
  <c r="BR15"/>
  <c r="BR14"/>
  <c r="BR13"/>
  <c r="CA13" s="1"/>
  <c r="BR12"/>
  <c r="CA12" s="1"/>
  <c r="BR11"/>
  <c r="BR10"/>
  <c r="CA10" s="1"/>
  <c r="BR9"/>
  <c r="BR8"/>
  <c r="CA8" s="1"/>
  <c r="BR7"/>
  <c r="BR6"/>
  <c r="BR5"/>
  <c r="BP229"/>
  <c r="BP215"/>
  <c r="BP213"/>
  <c r="BP175"/>
  <c r="BP169"/>
  <c r="BP160"/>
  <c r="BP154"/>
  <c r="BP149"/>
  <c r="BP152" s="1"/>
  <c r="BP132"/>
  <c r="BP130"/>
  <c r="BP128"/>
  <c r="BP124"/>
  <c r="BP119"/>
  <c r="BP87"/>
  <c r="BP85"/>
  <c r="BP74"/>
  <c r="BP63"/>
  <c r="BP54"/>
  <c r="BP45"/>
  <c r="BO45"/>
  <c r="BP35"/>
  <c r="BP30"/>
  <c r="BP21"/>
  <c r="BP16"/>
  <c r="BQ228"/>
  <c r="BQ227"/>
  <c r="BQ226"/>
  <c r="BQ225"/>
  <c r="BQ224"/>
  <c r="BQ223"/>
  <c r="BQ222"/>
  <c r="BQ221"/>
  <c r="BQ220"/>
  <c r="BQ219"/>
  <c r="BQ218"/>
  <c r="BQ217"/>
  <c r="BQ216"/>
  <c r="BQ214"/>
  <c r="BQ215" s="1"/>
  <c r="BQ212"/>
  <c r="BQ211"/>
  <c r="BQ210"/>
  <c r="BQ209"/>
  <c r="BQ208"/>
  <c r="BQ207"/>
  <c r="BQ206"/>
  <c r="BQ205"/>
  <c r="BQ204"/>
  <c r="BQ203"/>
  <c r="BQ202"/>
  <c r="BQ201"/>
  <c r="BQ200"/>
  <c r="BQ199"/>
  <c r="BQ198"/>
  <c r="BQ197"/>
  <c r="BQ196"/>
  <c r="BQ195"/>
  <c r="BQ194"/>
  <c r="BQ193"/>
  <c r="BQ192"/>
  <c r="BQ191"/>
  <c r="BQ190"/>
  <c r="BQ189"/>
  <c r="BQ188"/>
  <c r="BQ187"/>
  <c r="BQ186"/>
  <c r="BQ185"/>
  <c r="BQ184"/>
  <c r="BQ183"/>
  <c r="BQ182"/>
  <c r="BQ181"/>
  <c r="BQ180"/>
  <c r="BQ179"/>
  <c r="BQ178"/>
  <c r="BQ177"/>
  <c r="BQ176"/>
  <c r="BQ174"/>
  <c r="BQ173"/>
  <c r="BQ172"/>
  <c r="BQ171"/>
  <c r="BQ170"/>
  <c r="BQ168"/>
  <c r="BQ167"/>
  <c r="BQ166"/>
  <c r="BQ165"/>
  <c r="BQ164"/>
  <c r="BQ163"/>
  <c r="BQ162"/>
  <c r="BQ161"/>
  <c r="BQ159"/>
  <c r="BQ158"/>
  <c r="BQ157"/>
  <c r="BQ156"/>
  <c r="BQ155"/>
  <c r="BQ153"/>
  <c r="BQ151"/>
  <c r="BQ150"/>
  <c r="BQ148"/>
  <c r="BQ147"/>
  <c r="BQ146"/>
  <c r="BQ145"/>
  <c r="BQ144"/>
  <c r="BQ143"/>
  <c r="BQ142"/>
  <c r="BQ141"/>
  <c r="BQ140"/>
  <c r="BQ139"/>
  <c r="BQ138"/>
  <c r="BQ137"/>
  <c r="BQ136"/>
  <c r="BQ135"/>
  <c r="BQ134"/>
  <c r="BQ133"/>
  <c r="BQ131"/>
  <c r="BQ132" s="1"/>
  <c r="BQ129"/>
  <c r="BQ130" s="1"/>
  <c r="BQ127"/>
  <c r="BQ126"/>
  <c r="BQ125"/>
  <c r="BQ123"/>
  <c r="BQ122"/>
  <c r="BQ121"/>
  <c r="BQ120"/>
  <c r="BQ118"/>
  <c r="BQ117"/>
  <c r="BQ116"/>
  <c r="BQ115"/>
  <c r="BQ114"/>
  <c r="BQ113"/>
  <c r="BQ112"/>
  <c r="BQ111"/>
  <c r="BQ110"/>
  <c r="BQ109"/>
  <c r="BQ108"/>
  <c r="BQ107"/>
  <c r="BQ106"/>
  <c r="BQ105"/>
  <c r="BQ104"/>
  <c r="BQ103"/>
  <c r="BQ102"/>
  <c r="BQ101"/>
  <c r="BQ100"/>
  <c r="BQ99"/>
  <c r="BQ98"/>
  <c r="BQ97"/>
  <c r="BQ96"/>
  <c r="BQ95"/>
  <c r="BQ94"/>
  <c r="BQ93"/>
  <c r="BQ92"/>
  <c r="BQ91"/>
  <c r="BQ90"/>
  <c r="BQ89"/>
  <c r="BQ88"/>
  <c r="BQ86"/>
  <c r="BQ84"/>
  <c r="BQ83"/>
  <c r="BQ82"/>
  <c r="BQ81"/>
  <c r="BQ80"/>
  <c r="BQ79"/>
  <c r="BQ78"/>
  <c r="BQ77"/>
  <c r="BQ76"/>
  <c r="BQ75"/>
  <c r="BQ73"/>
  <c r="BQ74" s="1"/>
  <c r="BQ71"/>
  <c r="BQ70"/>
  <c r="BQ67"/>
  <c r="BQ66"/>
  <c r="BQ65"/>
  <c r="BQ64"/>
  <c r="BQ62"/>
  <c r="BQ61"/>
  <c r="BQ60"/>
  <c r="BQ59"/>
  <c r="BQ58"/>
  <c r="BQ57"/>
  <c r="BQ56"/>
  <c r="BQ55"/>
  <c r="BQ53"/>
  <c r="BQ52"/>
  <c r="BQ51"/>
  <c r="BQ50"/>
  <c r="BQ49"/>
  <c r="BQ48"/>
  <c r="BQ47"/>
  <c r="BQ46"/>
  <c r="BQ44"/>
  <c r="BQ43"/>
  <c r="BQ42"/>
  <c r="BQ41"/>
  <c r="BQ40"/>
  <c r="BQ39"/>
  <c r="BQ38"/>
  <c r="BQ37"/>
  <c r="BQ36"/>
  <c r="BQ34"/>
  <c r="BQ33"/>
  <c r="BQ32"/>
  <c r="BQ31"/>
  <c r="BQ29"/>
  <c r="BQ30" s="1"/>
  <c r="BQ28"/>
  <c r="BQ26"/>
  <c r="BQ25"/>
  <c r="BQ24"/>
  <c r="BQ23"/>
  <c r="BQ22"/>
  <c r="BQ20"/>
  <c r="BQ19"/>
  <c r="BQ18"/>
  <c r="BQ17"/>
  <c r="BQ15"/>
  <c r="BQ14"/>
  <c r="BQ13"/>
  <c r="BQ12"/>
  <c r="BQ11"/>
  <c r="BQ10"/>
  <c r="BQ9"/>
  <c r="BQ8"/>
  <c r="BQ7"/>
  <c r="BQ6"/>
  <c r="BQ5"/>
  <c r="BF229"/>
  <c r="BG228"/>
  <c r="BG227"/>
  <c r="BG226"/>
  <c r="BG225"/>
  <c r="BG224"/>
  <c r="BG223"/>
  <c r="BG222"/>
  <c r="BG221"/>
  <c r="BG220"/>
  <c r="BG219"/>
  <c r="BG218"/>
  <c r="BG217"/>
  <c r="BG216"/>
  <c r="BG214"/>
  <c r="BG215" s="1"/>
  <c r="BG212"/>
  <c r="BG211"/>
  <c r="BG210"/>
  <c r="BG209"/>
  <c r="BG208"/>
  <c r="BG207"/>
  <c r="BG206"/>
  <c r="BG205"/>
  <c r="BG204"/>
  <c r="BG203"/>
  <c r="BG202"/>
  <c r="BG201"/>
  <c r="BG200"/>
  <c r="BG199"/>
  <c r="BG198"/>
  <c r="BG197"/>
  <c r="BG196"/>
  <c r="BG195"/>
  <c r="BG194"/>
  <c r="BG193"/>
  <c r="BG192"/>
  <c r="BG191"/>
  <c r="BG190"/>
  <c r="BG189"/>
  <c r="BG188"/>
  <c r="BG187"/>
  <c r="BG186"/>
  <c r="BG185"/>
  <c r="BG184"/>
  <c r="BG183"/>
  <c r="BG182"/>
  <c r="BG181"/>
  <c r="BG180"/>
  <c r="BG179"/>
  <c r="BG178"/>
  <c r="BG177"/>
  <c r="BG176"/>
  <c r="BG174"/>
  <c r="BG173"/>
  <c r="BG172"/>
  <c r="BG171"/>
  <c r="BG170"/>
  <c r="BG168"/>
  <c r="BG167"/>
  <c r="BG166"/>
  <c r="BG165"/>
  <c r="BG164"/>
  <c r="BG163"/>
  <c r="BG162"/>
  <c r="BG161"/>
  <c r="BG159"/>
  <c r="BG158"/>
  <c r="BG157"/>
  <c r="BG156"/>
  <c r="BG155"/>
  <c r="BG153"/>
  <c r="BG154" s="1"/>
  <c r="BG151"/>
  <c r="BG150"/>
  <c r="BG148"/>
  <c r="BG147"/>
  <c r="BG146"/>
  <c r="BG145"/>
  <c r="BG144"/>
  <c r="BG143"/>
  <c r="BG142"/>
  <c r="BG141"/>
  <c r="BG140"/>
  <c r="BG139"/>
  <c r="BG138"/>
  <c r="BG137"/>
  <c r="BG136"/>
  <c r="BG135"/>
  <c r="BG134"/>
  <c r="BG133"/>
  <c r="BG131"/>
  <c r="BG129"/>
  <c r="BG130" s="1"/>
  <c r="BG127"/>
  <c r="BG126"/>
  <c r="BG125"/>
  <c r="BG123"/>
  <c r="BG122"/>
  <c r="BG121"/>
  <c r="BG120"/>
  <c r="BG118"/>
  <c r="BG117"/>
  <c r="BG116"/>
  <c r="BG115"/>
  <c r="BG114"/>
  <c r="BG113"/>
  <c r="BG112"/>
  <c r="BG111"/>
  <c r="BG110"/>
  <c r="BG109"/>
  <c r="BG108"/>
  <c r="BG107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86"/>
  <c r="BG87" s="1"/>
  <c r="BG84"/>
  <c r="BG83"/>
  <c r="BG82"/>
  <c r="BG81"/>
  <c r="BG80"/>
  <c r="BG79"/>
  <c r="BG78"/>
  <c r="BG77"/>
  <c r="BG76"/>
  <c r="BG75"/>
  <c r="BG73"/>
  <c r="BG71"/>
  <c r="BG70"/>
  <c r="BG67"/>
  <c r="BG66"/>
  <c r="BG65"/>
  <c r="BG64"/>
  <c r="BG62"/>
  <c r="BG61"/>
  <c r="BG60"/>
  <c r="BG59"/>
  <c r="BG58"/>
  <c r="BG57"/>
  <c r="BG56"/>
  <c r="BG55"/>
  <c r="BG53"/>
  <c r="BG52"/>
  <c r="BG51"/>
  <c r="BG50"/>
  <c r="BG49"/>
  <c r="BG48"/>
  <c r="BG47"/>
  <c r="BG46"/>
  <c r="BG44"/>
  <c r="BG43"/>
  <c r="BG42"/>
  <c r="BG41"/>
  <c r="BG40"/>
  <c r="BG39"/>
  <c r="BG38"/>
  <c r="BG37"/>
  <c r="BG36"/>
  <c r="BG34"/>
  <c r="BG33"/>
  <c r="BG32"/>
  <c r="BG31"/>
  <c r="BG29"/>
  <c r="BG28"/>
  <c r="BG26"/>
  <c r="BG25"/>
  <c r="BG24"/>
  <c r="BG23"/>
  <c r="BG22"/>
  <c r="BG20"/>
  <c r="BG19"/>
  <c r="BG18"/>
  <c r="BG17"/>
  <c r="BG15"/>
  <c r="BG14"/>
  <c r="BG13"/>
  <c r="BG12"/>
  <c r="BG11"/>
  <c r="BG10"/>
  <c r="BG9"/>
  <c r="BG8"/>
  <c r="BG7"/>
  <c r="BG6"/>
  <c r="BG5"/>
  <c r="AY229"/>
  <c r="AY215"/>
  <c r="AY213"/>
  <c r="AY175"/>
  <c r="AY169"/>
  <c r="AY160"/>
  <c r="AY154"/>
  <c r="AY152"/>
  <c r="AY149"/>
  <c r="AY132"/>
  <c r="AY130"/>
  <c r="AY128"/>
  <c r="AY124"/>
  <c r="AY119"/>
  <c r="AY87"/>
  <c r="AY85"/>
  <c r="AY74"/>
  <c r="AY68"/>
  <c r="AY63"/>
  <c r="AY54"/>
  <c r="AY45"/>
  <c r="AY35"/>
  <c r="AY30"/>
  <c r="AY27"/>
  <c r="AY21"/>
  <c r="AY16"/>
  <c r="AZ228"/>
  <c r="AZ227"/>
  <c r="AZ226"/>
  <c r="AZ225"/>
  <c r="AZ224"/>
  <c r="AZ223"/>
  <c r="AZ222"/>
  <c r="AZ221"/>
  <c r="AZ220"/>
  <c r="AZ219"/>
  <c r="AZ218"/>
  <c r="AZ217"/>
  <c r="AZ216"/>
  <c r="AZ214"/>
  <c r="AZ212"/>
  <c r="AZ211"/>
  <c r="AZ210"/>
  <c r="AZ209"/>
  <c r="AZ208"/>
  <c r="AZ207"/>
  <c r="AZ206"/>
  <c r="AZ205"/>
  <c r="AZ204"/>
  <c r="AZ203"/>
  <c r="AZ202"/>
  <c r="AZ201"/>
  <c r="AZ200"/>
  <c r="AZ199"/>
  <c r="AZ198"/>
  <c r="AZ197"/>
  <c r="AZ196"/>
  <c r="AZ195"/>
  <c r="AZ194"/>
  <c r="AZ193"/>
  <c r="AZ192"/>
  <c r="AZ191"/>
  <c r="AZ190"/>
  <c r="AZ189"/>
  <c r="AZ188"/>
  <c r="AZ187"/>
  <c r="AZ186"/>
  <c r="AZ185"/>
  <c r="AZ184"/>
  <c r="AZ183"/>
  <c r="AZ182"/>
  <c r="AZ181"/>
  <c r="AZ180"/>
  <c r="AZ179"/>
  <c r="AZ178"/>
  <c r="AZ177"/>
  <c r="AZ176"/>
  <c r="AZ174"/>
  <c r="AZ173"/>
  <c r="AZ172"/>
  <c r="AZ171"/>
  <c r="AZ170"/>
  <c r="AZ168"/>
  <c r="AZ167"/>
  <c r="AZ166"/>
  <c r="AZ165"/>
  <c r="AZ164"/>
  <c r="AZ163"/>
  <c r="AZ162"/>
  <c r="AZ161"/>
  <c r="AZ159"/>
  <c r="AZ158"/>
  <c r="AZ157"/>
  <c r="AZ156"/>
  <c r="AZ155"/>
  <c r="AZ153"/>
  <c r="AZ151"/>
  <c r="AZ150"/>
  <c r="AZ148"/>
  <c r="AZ147"/>
  <c r="AZ146"/>
  <c r="AZ145"/>
  <c r="AZ144"/>
  <c r="AZ143"/>
  <c r="AZ142"/>
  <c r="AZ141"/>
  <c r="AZ140"/>
  <c r="AZ139"/>
  <c r="AZ138"/>
  <c r="AZ137"/>
  <c r="AZ136"/>
  <c r="AZ135"/>
  <c r="AZ134"/>
  <c r="AZ133"/>
  <c r="AZ131"/>
  <c r="AZ132" s="1"/>
  <c r="AZ129"/>
  <c r="AZ127"/>
  <c r="AZ126"/>
  <c r="AZ125"/>
  <c r="AZ123"/>
  <c r="AZ122"/>
  <c r="AZ121"/>
  <c r="AZ120"/>
  <c r="AZ118"/>
  <c r="AZ117"/>
  <c r="AZ116"/>
  <c r="AZ115"/>
  <c r="AZ114"/>
  <c r="AZ113"/>
  <c r="AZ112"/>
  <c r="AZ111"/>
  <c r="AZ110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6"/>
  <c r="AZ84"/>
  <c r="AZ83"/>
  <c r="AZ82"/>
  <c r="AZ81"/>
  <c r="AZ80"/>
  <c r="AZ79"/>
  <c r="AZ78"/>
  <c r="AZ77"/>
  <c r="AZ76"/>
  <c r="AZ75"/>
  <c r="AZ73"/>
  <c r="AZ71"/>
  <c r="AZ70"/>
  <c r="AZ67"/>
  <c r="AZ66"/>
  <c r="AZ65"/>
  <c r="AZ64"/>
  <c r="AZ62"/>
  <c r="AZ61"/>
  <c r="AZ60"/>
  <c r="AZ59"/>
  <c r="AZ58"/>
  <c r="AZ57"/>
  <c r="AZ56"/>
  <c r="AZ55"/>
  <c r="AZ53"/>
  <c r="AZ52"/>
  <c r="AZ51"/>
  <c r="AZ50"/>
  <c r="AZ49"/>
  <c r="AZ48"/>
  <c r="AZ47"/>
  <c r="AZ46"/>
  <c r="AZ44"/>
  <c r="AZ43"/>
  <c r="AZ42"/>
  <c r="AZ41"/>
  <c r="AZ40"/>
  <c r="AZ39"/>
  <c r="AZ38"/>
  <c r="AZ37"/>
  <c r="AZ36"/>
  <c r="AZ34"/>
  <c r="AZ35" s="1"/>
  <c r="AZ33"/>
  <c r="AZ32"/>
  <c r="AZ31"/>
  <c r="AZ29"/>
  <c r="AZ28"/>
  <c r="AZ26"/>
  <c r="AZ25"/>
  <c r="AZ24"/>
  <c r="AZ23"/>
  <c r="AZ22"/>
  <c r="AZ20"/>
  <c r="AZ19"/>
  <c r="AZ18"/>
  <c r="AZ17"/>
  <c r="AZ15"/>
  <c r="AZ14"/>
  <c r="AZ13"/>
  <c r="AZ12"/>
  <c r="AZ11"/>
  <c r="AZ10"/>
  <c r="AZ9"/>
  <c r="AZ8"/>
  <c r="AZ7"/>
  <c r="AZ6"/>
  <c r="AZ5"/>
  <c r="AO229"/>
  <c r="AO215"/>
  <c r="AO213"/>
  <c r="AO175"/>
  <c r="AO169"/>
  <c r="AO160"/>
  <c r="AO154"/>
  <c r="AO152"/>
  <c r="AO149"/>
  <c r="AO132"/>
  <c r="AO130"/>
  <c r="AO128"/>
  <c r="AO124"/>
  <c r="AO119"/>
  <c r="AO87"/>
  <c r="AO85"/>
  <c r="AO74"/>
  <c r="AO68"/>
  <c r="AO63"/>
  <c r="AO54"/>
  <c r="AO45"/>
  <c r="AO35"/>
  <c r="AO30"/>
  <c r="AO27"/>
  <c r="AO21"/>
  <c r="AO16"/>
  <c r="AP228"/>
  <c r="AP227"/>
  <c r="AP226"/>
  <c r="AP225"/>
  <c r="AP224"/>
  <c r="AP223"/>
  <c r="AP222"/>
  <c r="AP221"/>
  <c r="AP220"/>
  <c r="AP219"/>
  <c r="AP218"/>
  <c r="AP217"/>
  <c r="AP216"/>
  <c r="AP214"/>
  <c r="AP215" s="1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P192"/>
  <c r="AP191"/>
  <c r="AP190"/>
  <c r="AP189"/>
  <c r="AP188"/>
  <c r="AP187"/>
  <c r="AP186"/>
  <c r="AP185"/>
  <c r="AP184"/>
  <c r="AP183"/>
  <c r="AP182"/>
  <c r="AP181"/>
  <c r="AP180"/>
  <c r="AP179"/>
  <c r="AP178"/>
  <c r="AP177"/>
  <c r="AP176"/>
  <c r="AP174"/>
  <c r="AP173"/>
  <c r="AP172"/>
  <c r="AP171"/>
  <c r="AP170"/>
  <c r="AP168"/>
  <c r="AP167"/>
  <c r="AP166"/>
  <c r="AP165"/>
  <c r="AP164"/>
  <c r="AP163"/>
  <c r="AP162"/>
  <c r="AP161"/>
  <c r="AP159"/>
  <c r="AP158"/>
  <c r="AP157"/>
  <c r="AP156"/>
  <c r="AP155"/>
  <c r="AP153"/>
  <c r="AP151"/>
  <c r="AP150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1"/>
  <c r="AP132" s="1"/>
  <c r="AP129"/>
  <c r="AP130" s="1"/>
  <c r="AP127"/>
  <c r="AP126"/>
  <c r="AP125"/>
  <c r="AP123"/>
  <c r="AP122"/>
  <c r="AP121"/>
  <c r="AP120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6"/>
  <c r="AP84"/>
  <c r="AP83"/>
  <c r="AP82"/>
  <c r="AP81"/>
  <c r="AP80"/>
  <c r="AP79"/>
  <c r="AP78"/>
  <c r="AP77"/>
  <c r="AP76"/>
  <c r="AP75"/>
  <c r="AP73"/>
  <c r="AP71"/>
  <c r="AP70"/>
  <c r="AP67"/>
  <c r="AP66"/>
  <c r="AP65"/>
  <c r="AP64"/>
  <c r="AP62"/>
  <c r="AP61"/>
  <c r="AP60"/>
  <c r="AP59"/>
  <c r="AP58"/>
  <c r="AP57"/>
  <c r="AP56"/>
  <c r="AP55"/>
  <c r="AP53"/>
  <c r="AP52"/>
  <c r="AP51"/>
  <c r="AP50"/>
  <c r="AP49"/>
  <c r="AP48"/>
  <c r="AP47"/>
  <c r="AP46"/>
  <c r="AP44"/>
  <c r="AP43"/>
  <c r="AP42"/>
  <c r="AP41"/>
  <c r="AP40"/>
  <c r="AP39"/>
  <c r="AP38"/>
  <c r="AP37"/>
  <c r="AP36"/>
  <c r="AP34"/>
  <c r="AP33"/>
  <c r="AP32"/>
  <c r="AP31"/>
  <c r="AP29"/>
  <c r="AP30" s="1"/>
  <c r="AP28"/>
  <c r="AP26"/>
  <c r="AP25"/>
  <c r="AP24"/>
  <c r="AP23"/>
  <c r="AP22"/>
  <c r="AP20"/>
  <c r="AP19"/>
  <c r="AP18"/>
  <c r="AP17"/>
  <c r="AP15"/>
  <c r="AP14"/>
  <c r="AP13"/>
  <c r="AP12"/>
  <c r="AP11"/>
  <c r="AP10"/>
  <c r="AP9"/>
  <c r="AP8"/>
  <c r="AP7"/>
  <c r="AP6"/>
  <c r="AP5"/>
  <c r="AE229"/>
  <c r="AE215"/>
  <c r="AE213"/>
  <c r="AE175"/>
  <c r="AE169"/>
  <c r="AE160"/>
  <c r="AE154"/>
  <c r="AE152"/>
  <c r="AE149"/>
  <c r="AE132"/>
  <c r="AE130"/>
  <c r="AE128"/>
  <c r="AE124"/>
  <c r="AE119"/>
  <c r="AE87"/>
  <c r="AE85"/>
  <c r="AE74"/>
  <c r="AE68"/>
  <c r="AE63"/>
  <c r="AE54"/>
  <c r="AE45"/>
  <c r="AE35"/>
  <c r="AE30"/>
  <c r="AE27"/>
  <c r="AE21"/>
  <c r="AE16"/>
  <c r="AF228"/>
  <c r="AF227"/>
  <c r="AF226"/>
  <c r="AF225"/>
  <c r="AF224"/>
  <c r="AF223"/>
  <c r="AF221"/>
  <c r="AF220"/>
  <c r="AF219"/>
  <c r="AF218"/>
  <c r="AF217"/>
  <c r="AF216"/>
  <c r="AF214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4"/>
  <c r="AF173"/>
  <c r="AF172"/>
  <c r="AF171"/>
  <c r="AF170"/>
  <c r="AF168"/>
  <c r="AF167"/>
  <c r="AF166"/>
  <c r="AF165"/>
  <c r="AF164"/>
  <c r="AF163"/>
  <c r="AF162"/>
  <c r="AF161"/>
  <c r="AF159"/>
  <c r="AF158"/>
  <c r="AF157"/>
  <c r="AF156"/>
  <c r="AF155"/>
  <c r="AF153"/>
  <c r="AF154" s="1"/>
  <c r="AF151"/>
  <c r="AF150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1"/>
  <c r="AF129"/>
  <c r="AF130" s="1"/>
  <c r="AF127"/>
  <c r="AF126"/>
  <c r="AF125"/>
  <c r="AF123"/>
  <c r="AF122"/>
  <c r="AF121"/>
  <c r="AF120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6"/>
  <c r="AF84"/>
  <c r="AF83"/>
  <c r="AF82"/>
  <c r="AF81"/>
  <c r="AF80"/>
  <c r="AF79"/>
  <c r="AF78"/>
  <c r="AF77"/>
  <c r="AF76"/>
  <c r="AF75"/>
  <c r="AF73"/>
  <c r="AF71"/>
  <c r="AF70"/>
  <c r="AF67"/>
  <c r="AF66"/>
  <c r="AF65"/>
  <c r="AF64"/>
  <c r="AF62"/>
  <c r="AF61"/>
  <c r="AF60"/>
  <c r="AF59"/>
  <c r="AF58"/>
  <c r="AF57"/>
  <c r="AF56"/>
  <c r="AF55"/>
  <c r="AF53"/>
  <c r="AF52"/>
  <c r="AF51"/>
  <c r="AF50"/>
  <c r="AF49"/>
  <c r="AF48"/>
  <c r="AF47"/>
  <c r="AF46"/>
  <c r="AF44"/>
  <c r="AF43"/>
  <c r="AF42"/>
  <c r="AF41"/>
  <c r="AF40"/>
  <c r="AF39"/>
  <c r="AF38"/>
  <c r="AF37"/>
  <c r="AF36"/>
  <c r="AF34"/>
  <c r="AF33"/>
  <c r="AF32"/>
  <c r="AF31"/>
  <c r="AF29"/>
  <c r="AF28"/>
  <c r="AF26"/>
  <c r="AF25"/>
  <c r="AF24"/>
  <c r="AF23"/>
  <c r="AF22"/>
  <c r="AF20"/>
  <c r="AF19"/>
  <c r="AF18"/>
  <c r="AF17"/>
  <c r="AF15"/>
  <c r="AF14"/>
  <c r="AF13"/>
  <c r="AF12"/>
  <c r="AF11"/>
  <c r="AF10"/>
  <c r="AF9"/>
  <c r="AF8"/>
  <c r="AF7"/>
  <c r="AF6"/>
  <c r="AF5"/>
  <c r="X229"/>
  <c r="X215"/>
  <c r="X213"/>
  <c r="X175"/>
  <c r="X169"/>
  <c r="X160"/>
  <c r="X154"/>
  <c r="X152"/>
  <c r="X149"/>
  <c r="X132"/>
  <c r="X130"/>
  <c r="X128"/>
  <c r="X124"/>
  <c r="X119"/>
  <c r="X87"/>
  <c r="X85"/>
  <c r="X74"/>
  <c r="X68"/>
  <c r="X63"/>
  <c r="X54"/>
  <c r="X45"/>
  <c r="X35"/>
  <c r="X30"/>
  <c r="X27"/>
  <c r="X21"/>
  <c r="X16"/>
  <c r="Y228"/>
  <c r="Y227"/>
  <c r="Y226"/>
  <c r="Y225"/>
  <c r="Y224"/>
  <c r="Y223"/>
  <c r="Y222"/>
  <c r="Y221"/>
  <c r="Y220"/>
  <c r="Y219"/>
  <c r="Y218"/>
  <c r="Y217"/>
  <c r="Y216"/>
  <c r="Y214"/>
  <c r="Y215" s="1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68"/>
  <c r="Y167"/>
  <c r="Y166"/>
  <c r="Y165"/>
  <c r="Y164"/>
  <c r="Y163"/>
  <c r="Y162"/>
  <c r="Y161"/>
  <c r="Y159"/>
  <c r="Y158"/>
  <c r="Y157"/>
  <c r="Y156"/>
  <c r="Y155"/>
  <c r="Y153"/>
  <c r="Y154" s="1"/>
  <c r="Y151"/>
  <c r="Y150"/>
  <c r="Y148"/>
  <c r="Y147"/>
  <c r="Y146"/>
  <c r="Y145"/>
  <c r="Y144"/>
  <c r="Y143"/>
  <c r="Y142"/>
  <c r="Y141"/>
  <c r="Y140"/>
  <c r="Y139"/>
  <c r="Y138"/>
  <c r="Y137"/>
  <c r="Y136"/>
  <c r="Y135"/>
  <c r="Y134"/>
  <c r="Y133"/>
  <c r="Y131"/>
  <c r="Y129"/>
  <c r="Y130" s="1"/>
  <c r="Y127"/>
  <c r="Y126"/>
  <c r="Y125"/>
  <c r="Y123"/>
  <c r="Y122"/>
  <c r="Y121"/>
  <c r="Y120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6"/>
  <c r="Y87" s="1"/>
  <c r="Y84"/>
  <c r="Y83"/>
  <c r="Y82"/>
  <c r="Y81"/>
  <c r="Y80"/>
  <c r="Y79"/>
  <c r="Y78"/>
  <c r="Y77"/>
  <c r="Y76"/>
  <c r="Y75"/>
  <c r="Y73"/>
  <c r="Y74" s="1"/>
  <c r="Y71"/>
  <c r="Y70"/>
  <c r="Y72" s="1"/>
  <c r="Y67"/>
  <c r="Y66"/>
  <c r="Y65"/>
  <c r="Y64"/>
  <c r="Y62"/>
  <c r="Y61"/>
  <c r="Y60"/>
  <c r="Y59"/>
  <c r="Y58"/>
  <c r="Y57"/>
  <c r="Y56"/>
  <c r="Y55"/>
  <c r="Y53"/>
  <c r="Y52"/>
  <c r="Y51"/>
  <c r="Y50"/>
  <c r="Y49"/>
  <c r="Y48"/>
  <c r="Y47"/>
  <c r="Y46"/>
  <c r="Y44"/>
  <c r="Y43"/>
  <c r="Y42"/>
  <c r="Y41"/>
  <c r="Y40"/>
  <c r="Y39"/>
  <c r="Y38"/>
  <c r="Y37"/>
  <c r="Y36"/>
  <c r="Y34"/>
  <c r="Y33"/>
  <c r="Y32"/>
  <c r="Y31"/>
  <c r="Y29"/>
  <c r="Y28"/>
  <c r="Y26"/>
  <c r="Y25"/>
  <c r="Y24"/>
  <c r="Y23"/>
  <c r="Y22"/>
  <c r="Y20"/>
  <c r="Y19"/>
  <c r="Y18"/>
  <c r="Y17"/>
  <c r="Y15"/>
  <c r="Y14"/>
  <c r="Y13"/>
  <c r="Y12"/>
  <c r="Y11"/>
  <c r="Y10"/>
  <c r="Y9"/>
  <c r="Y8"/>
  <c r="Y7"/>
  <c r="Y6"/>
  <c r="Y5"/>
  <c r="N229"/>
  <c r="N215"/>
  <c r="N213"/>
  <c r="N175"/>
  <c r="N169"/>
  <c r="N160"/>
  <c r="N154"/>
  <c r="N152"/>
  <c r="N149"/>
  <c r="N132"/>
  <c r="N130"/>
  <c r="N128"/>
  <c r="N124"/>
  <c r="N119"/>
  <c r="N87"/>
  <c r="N85"/>
  <c r="N74"/>
  <c r="N68"/>
  <c r="N63"/>
  <c r="N54"/>
  <c r="N45"/>
  <c r="N35"/>
  <c r="N16"/>
  <c r="O228"/>
  <c r="O227"/>
  <c r="O226"/>
  <c r="O225"/>
  <c r="O224"/>
  <c r="O223"/>
  <c r="O222"/>
  <c r="O221"/>
  <c r="O220"/>
  <c r="O219"/>
  <c r="O218"/>
  <c r="O217"/>
  <c r="O216"/>
  <c r="O214"/>
  <c r="O215" s="1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4"/>
  <c r="O173"/>
  <c r="O172"/>
  <c r="O171"/>
  <c r="O170"/>
  <c r="O168"/>
  <c r="O167"/>
  <c r="O166"/>
  <c r="O165"/>
  <c r="O164"/>
  <c r="O163"/>
  <c r="O162"/>
  <c r="O161"/>
  <c r="O159"/>
  <c r="O158"/>
  <c r="O157"/>
  <c r="O156"/>
  <c r="O155"/>
  <c r="O153"/>
  <c r="O154" s="1"/>
  <c r="O151"/>
  <c r="O150"/>
  <c r="O148"/>
  <c r="O147"/>
  <c r="O146"/>
  <c r="O145"/>
  <c r="O144"/>
  <c r="O143"/>
  <c r="O142"/>
  <c r="O141"/>
  <c r="O140"/>
  <c r="O139"/>
  <c r="O138"/>
  <c r="O137"/>
  <c r="O136"/>
  <c r="O135"/>
  <c r="O134"/>
  <c r="O133"/>
  <c r="O131"/>
  <c r="O129"/>
  <c r="O127"/>
  <c r="O126"/>
  <c r="O125"/>
  <c r="O123"/>
  <c r="O122"/>
  <c r="O121"/>
  <c r="O120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6"/>
  <c r="O84"/>
  <c r="O83"/>
  <c r="O82"/>
  <c r="O81"/>
  <c r="O80"/>
  <c r="O79"/>
  <c r="O78"/>
  <c r="O77"/>
  <c r="O76"/>
  <c r="O75"/>
  <c r="O73"/>
  <c r="O71"/>
  <c r="O70"/>
  <c r="O67"/>
  <c r="O66"/>
  <c r="O65"/>
  <c r="O64"/>
  <c r="O62"/>
  <c r="O61"/>
  <c r="O60"/>
  <c r="O59"/>
  <c r="O58"/>
  <c r="O57"/>
  <c r="O56"/>
  <c r="O55"/>
  <c r="O53"/>
  <c r="O52"/>
  <c r="O51"/>
  <c r="O50"/>
  <c r="O49"/>
  <c r="O48"/>
  <c r="O47"/>
  <c r="O46"/>
  <c r="O44"/>
  <c r="O43"/>
  <c r="O42"/>
  <c r="O41"/>
  <c r="O40"/>
  <c r="O39"/>
  <c r="O38"/>
  <c r="O37"/>
  <c r="O36"/>
  <c r="O34"/>
  <c r="O33"/>
  <c r="O32"/>
  <c r="O31"/>
  <c r="O29"/>
  <c r="O28"/>
  <c r="O26"/>
  <c r="O25"/>
  <c r="O24"/>
  <c r="O23"/>
  <c r="O22"/>
  <c r="O20"/>
  <c r="O19"/>
  <c r="O18"/>
  <c r="O17"/>
  <c r="O15"/>
  <c r="O14"/>
  <c r="O13"/>
  <c r="O12"/>
  <c r="O11"/>
  <c r="O10"/>
  <c r="O9"/>
  <c r="O8"/>
  <c r="O7"/>
  <c r="O6"/>
  <c r="O5"/>
  <c r="AP232"/>
  <c r="AN229"/>
  <c r="AM229"/>
  <c r="AL229"/>
  <c r="AK229"/>
  <c r="AJ229"/>
  <c r="AI229"/>
  <c r="AH229"/>
  <c r="AG229"/>
  <c r="AN215"/>
  <c r="AM215"/>
  <c r="AL215"/>
  <c r="AK215"/>
  <c r="AJ215"/>
  <c r="AI215"/>
  <c r="AH215"/>
  <c r="AG215"/>
  <c r="AK213"/>
  <c r="AJ213"/>
  <c r="AI213"/>
  <c r="AH213"/>
  <c r="AG213"/>
  <c r="AN210"/>
  <c r="AM210"/>
  <c r="AL210"/>
  <c r="AK210"/>
  <c r="AN186"/>
  <c r="AM186"/>
  <c r="AL186"/>
  <c r="AL213" s="1"/>
  <c r="AK186"/>
  <c r="AN184"/>
  <c r="AM184"/>
  <c r="AN175"/>
  <c r="AM175"/>
  <c r="AL175"/>
  <c r="AK175"/>
  <c r="AJ175"/>
  <c r="AI175"/>
  <c r="AH175"/>
  <c r="AG175"/>
  <c r="AJ169"/>
  <c r="AI169"/>
  <c r="AH169"/>
  <c r="AG169"/>
  <c r="AN168"/>
  <c r="AM168"/>
  <c r="AL168"/>
  <c r="AK168"/>
  <c r="AN163"/>
  <c r="AN169" s="1"/>
  <c r="AM163"/>
  <c r="AL163"/>
  <c r="AK163"/>
  <c r="AN160"/>
  <c r="AM160"/>
  <c r="AL160"/>
  <c r="AK160"/>
  <c r="AJ160"/>
  <c r="AI160"/>
  <c r="AH160"/>
  <c r="AG160"/>
  <c r="AN154"/>
  <c r="AM154"/>
  <c r="AL154"/>
  <c r="AK154"/>
  <c r="AJ154"/>
  <c r="AI154"/>
  <c r="AH154"/>
  <c r="AG154"/>
  <c r="AP154"/>
  <c r="AN152"/>
  <c r="AM152"/>
  <c r="AL152"/>
  <c r="AK152"/>
  <c r="AJ152"/>
  <c r="AI152"/>
  <c r="AH152"/>
  <c r="AG152"/>
  <c r="AP152"/>
  <c r="AJ149"/>
  <c r="AI149"/>
  <c r="AH149"/>
  <c r="AG149"/>
  <c r="AN145"/>
  <c r="AN149" s="1"/>
  <c r="AM145"/>
  <c r="AM149" s="1"/>
  <c r="AL145"/>
  <c r="AL149" s="1"/>
  <c r="AK145"/>
  <c r="AK149" s="1"/>
  <c r="AN132"/>
  <c r="AM132"/>
  <c r="AL132"/>
  <c r="AK132"/>
  <c r="AJ132"/>
  <c r="AI132"/>
  <c r="AH132"/>
  <c r="AG132"/>
  <c r="AN130"/>
  <c r="AM130"/>
  <c r="AL130"/>
  <c r="AK130"/>
  <c r="AJ130"/>
  <c r="AI130"/>
  <c r="AH130"/>
  <c r="AG130"/>
  <c r="AN128"/>
  <c r="AM128"/>
  <c r="AL128"/>
  <c r="AK128"/>
  <c r="AJ128"/>
  <c r="AI128"/>
  <c r="AH128"/>
  <c r="AG128"/>
  <c r="AN124"/>
  <c r="AM124"/>
  <c r="AL124"/>
  <c r="AK124"/>
  <c r="AJ124"/>
  <c r="AI124"/>
  <c r="AH124"/>
  <c r="AG124"/>
  <c r="AJ119"/>
  <c r="AI119"/>
  <c r="AH119"/>
  <c r="AG119"/>
  <c r="AN112"/>
  <c r="AN119" s="1"/>
  <c r="AM112"/>
  <c r="AM119" s="1"/>
  <c r="AL112"/>
  <c r="AL119" s="1"/>
  <c r="AK112"/>
  <c r="AP87"/>
  <c r="AN87"/>
  <c r="AM87"/>
  <c r="AL87"/>
  <c r="AK87"/>
  <c r="AJ87"/>
  <c r="AI87"/>
  <c r="AH87"/>
  <c r="AG87"/>
  <c r="AN85"/>
  <c r="AM85"/>
  <c r="AL85"/>
  <c r="AK85"/>
  <c r="AJ85"/>
  <c r="AI85"/>
  <c r="AH85"/>
  <c r="AG85"/>
  <c r="AN74"/>
  <c r="AL74"/>
  <c r="AK74"/>
  <c r="AJ74"/>
  <c r="AI74"/>
  <c r="AH74"/>
  <c r="AG74"/>
  <c r="AM73"/>
  <c r="AN68"/>
  <c r="AM68"/>
  <c r="AL68"/>
  <c r="AK68"/>
  <c r="AJ68"/>
  <c r="AI68"/>
  <c r="AH68"/>
  <c r="AG68"/>
  <c r="AN63"/>
  <c r="AM63"/>
  <c r="AL63"/>
  <c r="AK63"/>
  <c r="AJ63"/>
  <c r="AI63"/>
  <c r="AH63"/>
  <c r="AG63"/>
  <c r="AK54"/>
  <c r="AJ54"/>
  <c r="AI54"/>
  <c r="AH54"/>
  <c r="AG54"/>
  <c r="AN52"/>
  <c r="AN54" s="1"/>
  <c r="AM52"/>
  <c r="AM54" s="1"/>
  <c r="AL52"/>
  <c r="AL54" s="1"/>
  <c r="AN45"/>
  <c r="AM45"/>
  <c r="AL45"/>
  <c r="AK45"/>
  <c r="AJ45"/>
  <c r="AI45"/>
  <c r="AH45"/>
  <c r="AG45"/>
  <c r="AN35"/>
  <c r="AM35"/>
  <c r="AL35"/>
  <c r="AK35"/>
  <c r="AJ35"/>
  <c r="AI35"/>
  <c r="AH35"/>
  <c r="AG35"/>
  <c r="AN30"/>
  <c r="AM30"/>
  <c r="AL30"/>
  <c r="AK30"/>
  <c r="AJ30"/>
  <c r="AI30"/>
  <c r="AH30"/>
  <c r="AG30"/>
  <c r="AN27"/>
  <c r="AM27"/>
  <c r="AL27"/>
  <c r="AK27"/>
  <c r="AJ27"/>
  <c r="AI27"/>
  <c r="AH27"/>
  <c r="AG27"/>
  <c r="AM21"/>
  <c r="AL21"/>
  <c r="AK21"/>
  <c r="AJ21"/>
  <c r="AI21"/>
  <c r="AH21"/>
  <c r="AG21"/>
  <c r="AN17"/>
  <c r="AN21" s="1"/>
  <c r="AN16"/>
  <c r="AM16"/>
  <c r="AL16"/>
  <c r="AK16"/>
  <c r="AJ16"/>
  <c r="AI16"/>
  <c r="AH16"/>
  <c r="AG16"/>
  <c r="AF232"/>
  <c r="AD229"/>
  <c r="AC229"/>
  <c r="Z229"/>
  <c r="AB224"/>
  <c r="AA224"/>
  <c r="AB223"/>
  <c r="AA223"/>
  <c r="AA221"/>
  <c r="AB220"/>
  <c r="AA220"/>
  <c r="AA219"/>
  <c r="AB217"/>
  <c r="AA217"/>
  <c r="AD215"/>
  <c r="AC215"/>
  <c r="AB215"/>
  <c r="AA215"/>
  <c r="Z215"/>
  <c r="AF215"/>
  <c r="AD213"/>
  <c r="AC213"/>
  <c r="Z213"/>
  <c r="AB194"/>
  <c r="AA194"/>
  <c r="AB192"/>
  <c r="AB187"/>
  <c r="AA187"/>
  <c r="AB183"/>
  <c r="AA183"/>
  <c r="AB180"/>
  <c r="AA180"/>
  <c r="AB179"/>
  <c r="AA179"/>
  <c r="AB177"/>
  <c r="AA177"/>
  <c r="AD175"/>
  <c r="AC175"/>
  <c r="AB175"/>
  <c r="AA175"/>
  <c r="Z175"/>
  <c r="AD169"/>
  <c r="AC169"/>
  <c r="AB169"/>
  <c r="AA169"/>
  <c r="Z169"/>
  <c r="AD160"/>
  <c r="AC160"/>
  <c r="AB160"/>
  <c r="AA160"/>
  <c r="Z160"/>
  <c r="AD154"/>
  <c r="AC154"/>
  <c r="AB154"/>
  <c r="AA154"/>
  <c r="Z154"/>
  <c r="AD152"/>
  <c r="AC152"/>
  <c r="AB151"/>
  <c r="AB152" s="1"/>
  <c r="AA151"/>
  <c r="Z151"/>
  <c r="Z152" s="1"/>
  <c r="AD149"/>
  <c r="AC149"/>
  <c r="Z149"/>
  <c r="AB143"/>
  <c r="AB149" s="1"/>
  <c r="AA143"/>
  <c r="AA149" s="1"/>
  <c r="AD132"/>
  <c r="AC132"/>
  <c r="AB132"/>
  <c r="AA132"/>
  <c r="Z132"/>
  <c r="AF132"/>
  <c r="AD130"/>
  <c r="AC130"/>
  <c r="AB130"/>
  <c r="AA130"/>
  <c r="Z130"/>
  <c r="AD128"/>
  <c r="AC128"/>
  <c r="AB128"/>
  <c r="AA128"/>
  <c r="Z128"/>
  <c r="AD124"/>
  <c r="AC124"/>
  <c r="AB124"/>
  <c r="AA124"/>
  <c r="Z124"/>
  <c r="AD119"/>
  <c r="AC119"/>
  <c r="Z119"/>
  <c r="AB117"/>
  <c r="AA117"/>
  <c r="AB116"/>
  <c r="AA116"/>
  <c r="AB109"/>
  <c r="AA109"/>
  <c r="AB105"/>
  <c r="AA105"/>
  <c r="AB103"/>
  <c r="AA103"/>
  <c r="AB102"/>
  <c r="AA102"/>
  <c r="AB95"/>
  <c r="AA95"/>
  <c r="AA89"/>
  <c r="AA119" s="1"/>
  <c r="AD87"/>
  <c r="AC87"/>
  <c r="AB87"/>
  <c r="AA87"/>
  <c r="Z87"/>
  <c r="AF87"/>
  <c r="AD85"/>
  <c r="AC85"/>
  <c r="AB85"/>
  <c r="AA85"/>
  <c r="Z85"/>
  <c r="AD74"/>
  <c r="AC74"/>
  <c r="AB74"/>
  <c r="AA74"/>
  <c r="Z74"/>
  <c r="AF74"/>
  <c r="AD68"/>
  <c r="AC68"/>
  <c r="Z68"/>
  <c r="AB66"/>
  <c r="AA66"/>
  <c r="AB65"/>
  <c r="AA65"/>
  <c r="AA68" s="1"/>
  <c r="AD63"/>
  <c r="AC63"/>
  <c r="AB63"/>
  <c r="AA63"/>
  <c r="Z63"/>
  <c r="AD54"/>
  <c r="AC54"/>
  <c r="Z54"/>
  <c r="AB53"/>
  <c r="AA53"/>
  <c r="AB50"/>
  <c r="AB47"/>
  <c r="AA47"/>
  <c r="AD45"/>
  <c r="AC45"/>
  <c r="Z45"/>
  <c r="AB40"/>
  <c r="AB45" s="1"/>
  <c r="AA40"/>
  <c r="AD35"/>
  <c r="AC35"/>
  <c r="AB35"/>
  <c r="AA35"/>
  <c r="Z35"/>
  <c r="AD30"/>
  <c r="AC30"/>
  <c r="AB30"/>
  <c r="AA30"/>
  <c r="Z30"/>
  <c r="AD27"/>
  <c r="AC27"/>
  <c r="Z27"/>
  <c r="AB23"/>
  <c r="AA23"/>
  <c r="AB22"/>
  <c r="AA22"/>
  <c r="AA27" s="1"/>
  <c r="AD21"/>
  <c r="AC21"/>
  <c r="AB21"/>
  <c r="AA21"/>
  <c r="Z21"/>
  <c r="AD16"/>
  <c r="AC16"/>
  <c r="Z16"/>
  <c r="AB14"/>
  <c r="AA14"/>
  <c r="AB11"/>
  <c r="AA11"/>
  <c r="AB8"/>
  <c r="AA8"/>
  <c r="AB7"/>
  <c r="AA7"/>
  <c r="AB6"/>
  <c r="AA6"/>
  <c r="AB5"/>
  <c r="AA5"/>
  <c r="Y232"/>
  <c r="W229"/>
  <c r="V229"/>
  <c r="S229"/>
  <c r="R229"/>
  <c r="Q229"/>
  <c r="P229"/>
  <c r="U227"/>
  <c r="U229" s="1"/>
  <c r="T227"/>
  <c r="T229" s="1"/>
  <c r="W215"/>
  <c r="V215"/>
  <c r="U215"/>
  <c r="T215"/>
  <c r="S215"/>
  <c r="R215"/>
  <c r="Q215"/>
  <c r="P215"/>
  <c r="W213"/>
  <c r="V213"/>
  <c r="S213"/>
  <c r="R213"/>
  <c r="Q213"/>
  <c r="P213"/>
  <c r="U212"/>
  <c r="T212"/>
  <c r="U205"/>
  <c r="T205"/>
  <c r="U203"/>
  <c r="T203"/>
  <c r="U200"/>
  <c r="U189"/>
  <c r="T189"/>
  <c r="U176"/>
  <c r="T176"/>
  <c r="W175"/>
  <c r="V175"/>
  <c r="S175"/>
  <c r="R175"/>
  <c r="Q175"/>
  <c r="P175"/>
  <c r="Y174"/>
  <c r="Y173"/>
  <c r="U172"/>
  <c r="T172"/>
  <c r="T171"/>
  <c r="Y170"/>
  <c r="W169"/>
  <c r="V169"/>
  <c r="S169"/>
  <c r="Q169"/>
  <c r="P169"/>
  <c r="R167"/>
  <c r="R169" s="1"/>
  <c r="U165"/>
  <c r="T165"/>
  <c r="U162"/>
  <c r="T162"/>
  <c r="W160"/>
  <c r="V160"/>
  <c r="U160"/>
  <c r="T160"/>
  <c r="S160"/>
  <c r="R160"/>
  <c r="P160"/>
  <c r="Q157"/>
  <c r="W154"/>
  <c r="V154"/>
  <c r="U154"/>
  <c r="T154"/>
  <c r="S154"/>
  <c r="R154"/>
  <c r="Q154"/>
  <c r="P154"/>
  <c r="W152"/>
  <c r="V152"/>
  <c r="S152"/>
  <c r="R152"/>
  <c r="Q152"/>
  <c r="P152"/>
  <c r="U150"/>
  <c r="U152" s="1"/>
  <c r="T150"/>
  <c r="T152" s="1"/>
  <c r="W149"/>
  <c r="V149"/>
  <c r="S149"/>
  <c r="R149"/>
  <c r="Q149"/>
  <c r="P149"/>
  <c r="U135"/>
  <c r="U149" s="1"/>
  <c r="T135"/>
  <c r="T149" s="1"/>
  <c r="W132"/>
  <c r="V132"/>
  <c r="U132"/>
  <c r="T132"/>
  <c r="S132"/>
  <c r="R132"/>
  <c r="Q132"/>
  <c r="P132"/>
  <c r="Y132"/>
  <c r="W130"/>
  <c r="V130"/>
  <c r="U130"/>
  <c r="T130"/>
  <c r="S130"/>
  <c r="R130"/>
  <c r="Q130"/>
  <c r="P130"/>
  <c r="W128"/>
  <c r="V128"/>
  <c r="U128"/>
  <c r="T128"/>
  <c r="S128"/>
  <c r="R128"/>
  <c r="Q128"/>
  <c r="P128"/>
  <c r="W124"/>
  <c r="V124"/>
  <c r="U124"/>
  <c r="S124"/>
  <c r="Q124"/>
  <c r="P124"/>
  <c r="T122"/>
  <c r="T124" s="1"/>
  <c r="R122"/>
  <c r="W119"/>
  <c r="V119"/>
  <c r="S119"/>
  <c r="Q119"/>
  <c r="P119"/>
  <c r="U111"/>
  <c r="T111"/>
  <c r="T107"/>
  <c r="U94"/>
  <c r="T94"/>
  <c r="U93"/>
  <c r="T93"/>
  <c r="U90"/>
  <c r="T90"/>
  <c r="R89"/>
  <c r="R88"/>
  <c r="W87"/>
  <c r="V87"/>
  <c r="U87"/>
  <c r="T87"/>
  <c r="S87"/>
  <c r="R87"/>
  <c r="Q87"/>
  <c r="P87"/>
  <c r="W85"/>
  <c r="V85"/>
  <c r="S85"/>
  <c r="R85"/>
  <c r="Q85"/>
  <c r="P85"/>
  <c r="U81"/>
  <c r="U85" s="1"/>
  <c r="T81"/>
  <c r="T85" s="1"/>
  <c r="W74"/>
  <c r="V74"/>
  <c r="U74"/>
  <c r="T74"/>
  <c r="S74"/>
  <c r="R74"/>
  <c r="Q74"/>
  <c r="P74"/>
  <c r="W68"/>
  <c r="V68"/>
  <c r="U68"/>
  <c r="T68"/>
  <c r="S68"/>
  <c r="R68"/>
  <c r="Q68"/>
  <c r="P68"/>
  <c r="W63"/>
  <c r="V63"/>
  <c r="U63"/>
  <c r="S63"/>
  <c r="Q63"/>
  <c r="P63"/>
  <c r="T60"/>
  <c r="T55"/>
  <c r="R55"/>
  <c r="W54"/>
  <c r="V54"/>
  <c r="S54"/>
  <c r="Q54"/>
  <c r="P54"/>
  <c r="U46"/>
  <c r="U54" s="1"/>
  <c r="T46"/>
  <c r="T54" s="1"/>
  <c r="R46"/>
  <c r="W45"/>
  <c r="V45"/>
  <c r="U45"/>
  <c r="T45"/>
  <c r="S45"/>
  <c r="P45"/>
  <c r="Q40"/>
  <c r="R37"/>
  <c r="R45" s="1"/>
  <c r="W35"/>
  <c r="V35"/>
  <c r="U35"/>
  <c r="T35"/>
  <c r="S35"/>
  <c r="R35"/>
  <c r="Q35"/>
  <c r="P35"/>
  <c r="W30"/>
  <c r="V30"/>
  <c r="U30"/>
  <c r="T30"/>
  <c r="S30"/>
  <c r="R30"/>
  <c r="Q30"/>
  <c r="P30"/>
  <c r="W27"/>
  <c r="V27"/>
  <c r="U27"/>
  <c r="S27"/>
  <c r="Q27"/>
  <c r="P27"/>
  <c r="T25"/>
  <c r="R23"/>
  <c r="W21"/>
  <c r="V21"/>
  <c r="U21"/>
  <c r="T21"/>
  <c r="S21"/>
  <c r="R21"/>
  <c r="Q21"/>
  <c r="P21"/>
  <c r="W16"/>
  <c r="V16"/>
  <c r="S16"/>
  <c r="Q16"/>
  <c r="P16"/>
  <c r="R14"/>
  <c r="U12"/>
  <c r="T12"/>
  <c r="R12"/>
  <c r="U10"/>
  <c r="T10"/>
  <c r="R10"/>
  <c r="R8"/>
  <c r="R7"/>
  <c r="R5"/>
  <c r="BQ232"/>
  <c r="BG232"/>
  <c r="AZ232"/>
  <c r="O232"/>
  <c r="BO229"/>
  <c r="BN229"/>
  <c r="BM229"/>
  <c r="BL229"/>
  <c r="BK229"/>
  <c r="BI229"/>
  <c r="BH229"/>
  <c r="BE229"/>
  <c r="BD229"/>
  <c r="BC229"/>
  <c r="BB229"/>
  <c r="BA229"/>
  <c r="AT229"/>
  <c r="AQ229"/>
  <c r="M229"/>
  <c r="L229"/>
  <c r="F229"/>
  <c r="K226"/>
  <c r="J226"/>
  <c r="H226"/>
  <c r="BJ225"/>
  <c r="AX225"/>
  <c r="AX229" s="1"/>
  <c r="AW225"/>
  <c r="AV225"/>
  <c r="AU225"/>
  <c r="AS225"/>
  <c r="AR225"/>
  <c r="I223"/>
  <c r="I229" s="1"/>
  <c r="H223"/>
  <c r="K222"/>
  <c r="J222"/>
  <c r="H222"/>
  <c r="H220"/>
  <c r="H217"/>
  <c r="G217"/>
  <c r="G229" s="1"/>
  <c r="K216"/>
  <c r="K229" s="1"/>
  <c r="J216"/>
  <c r="BO215"/>
  <c r="BN215"/>
  <c r="BM215"/>
  <c r="BL215"/>
  <c r="BK215"/>
  <c r="BJ215"/>
  <c r="BI215"/>
  <c r="BH215"/>
  <c r="BE215"/>
  <c r="BD215"/>
  <c r="BC215"/>
  <c r="BB215"/>
  <c r="BA215"/>
  <c r="AV215"/>
  <c r="AT215"/>
  <c r="AS215"/>
  <c r="AR215"/>
  <c r="AQ215"/>
  <c r="M215"/>
  <c r="L215"/>
  <c r="K215"/>
  <c r="J215"/>
  <c r="I215"/>
  <c r="H215"/>
  <c r="G215"/>
  <c r="F215"/>
  <c r="BW215"/>
  <c r="BU215"/>
  <c r="BS215"/>
  <c r="AX214"/>
  <c r="AW214"/>
  <c r="AW215" s="1"/>
  <c r="AU214"/>
  <c r="AU215" s="1"/>
  <c r="BO213"/>
  <c r="BN213"/>
  <c r="BM213"/>
  <c r="BL213"/>
  <c r="BK213"/>
  <c r="BH213"/>
  <c r="BA213"/>
  <c r="AT213"/>
  <c r="AS213"/>
  <c r="AR213"/>
  <c r="AQ213"/>
  <c r="M213"/>
  <c r="L213"/>
  <c r="G213"/>
  <c r="F213"/>
  <c r="AX209"/>
  <c r="AW209"/>
  <c r="AV209"/>
  <c r="AU209"/>
  <c r="I209"/>
  <c r="H209"/>
  <c r="BE199"/>
  <c r="BD199"/>
  <c r="BC199"/>
  <c r="BB199"/>
  <c r="I199"/>
  <c r="H199"/>
  <c r="AX197"/>
  <c r="AW197"/>
  <c r="AU197"/>
  <c r="H197"/>
  <c r="AX196"/>
  <c r="AW196"/>
  <c r="AV196"/>
  <c r="AU196"/>
  <c r="H196"/>
  <c r="K195"/>
  <c r="J195"/>
  <c r="H195"/>
  <c r="I194"/>
  <c r="H194"/>
  <c r="H192"/>
  <c r="H190"/>
  <c r="BI188"/>
  <c r="BE188"/>
  <c r="BE213" s="1"/>
  <c r="BD188"/>
  <c r="BD213" s="1"/>
  <c r="BC188"/>
  <c r="BC213" s="1"/>
  <c r="BB188"/>
  <c r="I188"/>
  <c r="H188"/>
  <c r="I187"/>
  <c r="H187"/>
  <c r="H184"/>
  <c r="I183"/>
  <c r="H183"/>
  <c r="AX181"/>
  <c r="I180"/>
  <c r="I179"/>
  <c r="H179"/>
  <c r="BJ177"/>
  <c r="BJ213" s="1"/>
  <c r="I177"/>
  <c r="H177"/>
  <c r="BO175"/>
  <c r="BN175"/>
  <c r="BM175"/>
  <c r="BL175"/>
  <c r="BK175"/>
  <c r="BJ175"/>
  <c r="BI175"/>
  <c r="BH175"/>
  <c r="BE175"/>
  <c r="BD175"/>
  <c r="BC175"/>
  <c r="BB175"/>
  <c r="BA175"/>
  <c r="AT175"/>
  <c r="AS175"/>
  <c r="AR175"/>
  <c r="AQ175"/>
  <c r="M175"/>
  <c r="L175"/>
  <c r="K175"/>
  <c r="J175"/>
  <c r="I175"/>
  <c r="H175"/>
  <c r="G175"/>
  <c r="F175"/>
  <c r="AX174"/>
  <c r="AW174"/>
  <c r="AW175" s="1"/>
  <c r="AV174"/>
  <c r="AV175" s="1"/>
  <c r="AU174"/>
  <c r="BO169"/>
  <c r="BN169"/>
  <c r="BM169"/>
  <c r="BL169"/>
  <c r="BK169"/>
  <c r="BJ169"/>
  <c r="BI169"/>
  <c r="BH169"/>
  <c r="BA169"/>
  <c r="AX169"/>
  <c r="AW169"/>
  <c r="AV169"/>
  <c r="AU169"/>
  <c r="AT169"/>
  <c r="AS169"/>
  <c r="AR169"/>
  <c r="AQ169"/>
  <c r="M169"/>
  <c r="L169"/>
  <c r="I169"/>
  <c r="G169"/>
  <c r="F169"/>
  <c r="BE166"/>
  <c r="BE169" s="1"/>
  <c r="BD166"/>
  <c r="BC166"/>
  <c r="BB166"/>
  <c r="BB169" s="1"/>
  <c r="K161"/>
  <c r="J161"/>
  <c r="J169" s="1"/>
  <c r="H161"/>
  <c r="BO160"/>
  <c r="BN160"/>
  <c r="BM160"/>
  <c r="BL160"/>
  <c r="BK160"/>
  <c r="BJ160"/>
  <c r="BI160"/>
  <c r="BH160"/>
  <c r="BE160"/>
  <c r="BD160"/>
  <c r="BC160"/>
  <c r="BB160"/>
  <c r="BA160"/>
  <c r="AT160"/>
  <c r="AS160"/>
  <c r="AR160"/>
  <c r="AQ160"/>
  <c r="M160"/>
  <c r="L160"/>
  <c r="I160"/>
  <c r="G160"/>
  <c r="F160"/>
  <c r="K159"/>
  <c r="K160" s="1"/>
  <c r="J159"/>
  <c r="AX156"/>
  <c r="AX160" s="1"/>
  <c r="AW156"/>
  <c r="AW160" s="1"/>
  <c r="AV156"/>
  <c r="AV160" s="1"/>
  <c r="AU156"/>
  <c r="AU160" s="1"/>
  <c r="H155"/>
  <c r="H160" s="1"/>
  <c r="BO154"/>
  <c r="BN154"/>
  <c r="BM154"/>
  <c r="BL154"/>
  <c r="BK154"/>
  <c r="BJ154"/>
  <c r="BI154"/>
  <c r="BH154"/>
  <c r="BE154"/>
  <c r="BD154"/>
  <c r="BC154"/>
  <c r="BB154"/>
  <c r="BA154"/>
  <c r="AU154"/>
  <c r="AT154"/>
  <c r="AS154"/>
  <c r="AR154"/>
  <c r="AQ154"/>
  <c r="M154"/>
  <c r="L154"/>
  <c r="K154"/>
  <c r="J154"/>
  <c r="I154"/>
  <c r="H154"/>
  <c r="G154"/>
  <c r="F154"/>
  <c r="BV154"/>
  <c r="BU154"/>
  <c r="BT154"/>
  <c r="BR154"/>
  <c r="BQ154"/>
  <c r="AX153"/>
  <c r="AX154" s="1"/>
  <c r="AW153"/>
  <c r="AW154" s="1"/>
  <c r="AV153"/>
  <c r="BW154" s="1"/>
  <c r="BO152"/>
  <c r="BN152"/>
  <c r="BM152"/>
  <c r="BL152"/>
  <c r="BK152"/>
  <c r="BJ152"/>
  <c r="BI152"/>
  <c r="BH152"/>
  <c r="BE152"/>
  <c r="BD152"/>
  <c r="BC152"/>
  <c r="BB152"/>
  <c r="BA152"/>
  <c r="AX152"/>
  <c r="AW152"/>
  <c r="AV152"/>
  <c r="AU152"/>
  <c r="AT152"/>
  <c r="AS152"/>
  <c r="AR152"/>
  <c r="AQ152"/>
  <c r="M152"/>
  <c r="L152"/>
  <c r="K152"/>
  <c r="J152"/>
  <c r="H152"/>
  <c r="G152"/>
  <c r="F152"/>
  <c r="I151"/>
  <c r="I152" s="1"/>
  <c r="BS152"/>
  <c r="BO149"/>
  <c r="BN149"/>
  <c r="BM149"/>
  <c r="BL149"/>
  <c r="BK149"/>
  <c r="BJ149"/>
  <c r="BH149"/>
  <c r="BA149"/>
  <c r="AS149"/>
  <c r="AR149"/>
  <c r="AQ149"/>
  <c r="M149"/>
  <c r="L149"/>
  <c r="K149"/>
  <c r="J149"/>
  <c r="G149"/>
  <c r="F149"/>
  <c r="AT148"/>
  <c r="H148"/>
  <c r="AX147"/>
  <c r="AW147"/>
  <c r="AX146"/>
  <c r="AW146"/>
  <c r="AV146"/>
  <c r="AU146"/>
  <c r="H144"/>
  <c r="I143"/>
  <c r="H143"/>
  <c r="BE140"/>
  <c r="BD140"/>
  <c r="BB140"/>
  <c r="H138"/>
  <c r="AX137"/>
  <c r="BE136"/>
  <c r="BD136"/>
  <c r="BE134"/>
  <c r="BD134"/>
  <c r="BC134"/>
  <c r="BC149" s="1"/>
  <c r="BB134"/>
  <c r="BI133"/>
  <c r="BO132"/>
  <c r="BN132"/>
  <c r="BM132"/>
  <c r="BL132"/>
  <c r="BK132"/>
  <c r="BJ132"/>
  <c r="BI132"/>
  <c r="BH132"/>
  <c r="BE132"/>
  <c r="BD132"/>
  <c r="BC132"/>
  <c r="BB132"/>
  <c r="BA132"/>
  <c r="AX132"/>
  <c r="AW132"/>
  <c r="AV132"/>
  <c r="AU132"/>
  <c r="AT132"/>
  <c r="AS132"/>
  <c r="AR132"/>
  <c r="AQ132"/>
  <c r="M132"/>
  <c r="L132"/>
  <c r="K132"/>
  <c r="J132"/>
  <c r="H132"/>
  <c r="G132"/>
  <c r="F132"/>
  <c r="BY132"/>
  <c r="BX132"/>
  <c r="BW132"/>
  <c r="BV132"/>
  <c r="BT132"/>
  <c r="BR132"/>
  <c r="BG132"/>
  <c r="I131"/>
  <c r="I132" s="1"/>
  <c r="BO130"/>
  <c r="BN130"/>
  <c r="BM130"/>
  <c r="BL130"/>
  <c r="BK130"/>
  <c r="BJ130"/>
  <c r="BI130"/>
  <c r="BH130"/>
  <c r="BE130"/>
  <c r="BD130"/>
  <c r="BC130"/>
  <c r="BB130"/>
  <c r="BA130"/>
  <c r="AX130"/>
  <c r="AW130"/>
  <c r="AV130"/>
  <c r="AU130"/>
  <c r="AT130"/>
  <c r="AS130"/>
  <c r="AR130"/>
  <c r="AQ130"/>
  <c r="M130"/>
  <c r="L130"/>
  <c r="I130"/>
  <c r="H130"/>
  <c r="G130"/>
  <c r="F130"/>
  <c r="BX130"/>
  <c r="BT130"/>
  <c r="BS130"/>
  <c r="BR130"/>
  <c r="AZ130"/>
  <c r="K129"/>
  <c r="K130" s="1"/>
  <c r="J129"/>
  <c r="BO128"/>
  <c r="BN128"/>
  <c r="BM128"/>
  <c r="BL128"/>
  <c r="BK128"/>
  <c r="BJ128"/>
  <c r="BI128"/>
  <c r="BH128"/>
  <c r="BE128"/>
  <c r="BD128"/>
  <c r="BC128"/>
  <c r="BB128"/>
  <c r="BA128"/>
  <c r="AX128"/>
  <c r="AW128"/>
  <c r="AV128"/>
  <c r="AU128"/>
  <c r="AT128"/>
  <c r="AS128"/>
  <c r="AR128"/>
  <c r="AQ128"/>
  <c r="M128"/>
  <c r="L128"/>
  <c r="J128"/>
  <c r="I128"/>
  <c r="G128"/>
  <c r="F128"/>
  <c r="K126"/>
  <c r="H126"/>
  <c r="BX128"/>
  <c r="AZ128"/>
  <c r="BO124"/>
  <c r="BN124"/>
  <c r="BM124"/>
  <c r="BL124"/>
  <c r="BK124"/>
  <c r="BJ124"/>
  <c r="BI124"/>
  <c r="BH124"/>
  <c r="BE124"/>
  <c r="BD124"/>
  <c r="BC124"/>
  <c r="BB124"/>
  <c r="BA124"/>
  <c r="AV124"/>
  <c r="AT124"/>
  <c r="AS124"/>
  <c r="AR124"/>
  <c r="AQ124"/>
  <c r="M124"/>
  <c r="L124"/>
  <c r="K124"/>
  <c r="J124"/>
  <c r="I124"/>
  <c r="H124"/>
  <c r="G124"/>
  <c r="F124"/>
  <c r="AX121"/>
  <c r="AX124" s="1"/>
  <c r="AW121"/>
  <c r="AW124" s="1"/>
  <c r="AU121"/>
  <c r="BS124"/>
  <c r="BO119"/>
  <c r="BN119"/>
  <c r="BM119"/>
  <c r="BL119"/>
  <c r="BK119"/>
  <c r="BH119"/>
  <c r="BA119"/>
  <c r="AT119"/>
  <c r="AS119"/>
  <c r="AR119"/>
  <c r="AQ119"/>
  <c r="M119"/>
  <c r="L119"/>
  <c r="G119"/>
  <c r="F119"/>
  <c r="I117"/>
  <c r="I116"/>
  <c r="K113"/>
  <c r="J113"/>
  <c r="H113"/>
  <c r="H111"/>
  <c r="I109"/>
  <c r="H109"/>
  <c r="AX108"/>
  <c r="AW108"/>
  <c r="AV108"/>
  <c r="AU108"/>
  <c r="BE106"/>
  <c r="BD106"/>
  <c r="BC106"/>
  <c r="BB106"/>
  <c r="I106"/>
  <c r="H106"/>
  <c r="BJ105"/>
  <c r="BJ119" s="1"/>
  <c r="I105"/>
  <c r="H105"/>
  <c r="H103"/>
  <c r="I102"/>
  <c r="H102"/>
  <c r="AX100"/>
  <c r="AW100"/>
  <c r="AV100"/>
  <c r="AU100"/>
  <c r="BE99"/>
  <c r="BD99"/>
  <c r="BC99"/>
  <c r="BB99"/>
  <c r="H99"/>
  <c r="AX98"/>
  <c r="AW98"/>
  <c r="AU98"/>
  <c r="AX96"/>
  <c r="AW96"/>
  <c r="AV96"/>
  <c r="AU96"/>
  <c r="I96"/>
  <c r="H96"/>
  <c r="I95"/>
  <c r="H95"/>
  <c r="H94"/>
  <c r="K91"/>
  <c r="J91"/>
  <c r="H91"/>
  <c r="I89"/>
  <c r="BI88"/>
  <c r="BE88"/>
  <c r="BE119" s="1"/>
  <c r="BD88"/>
  <c r="BD119" s="1"/>
  <c r="BC88"/>
  <c r="BB88"/>
  <c r="I88"/>
  <c r="H88"/>
  <c r="BO87"/>
  <c r="BN87"/>
  <c r="BM87"/>
  <c r="BL87"/>
  <c r="BK87"/>
  <c r="BJ87"/>
  <c r="BI87"/>
  <c r="BH87"/>
  <c r="BE87"/>
  <c r="BD87"/>
  <c r="BC87"/>
  <c r="BB87"/>
  <c r="BA87"/>
  <c r="AX87"/>
  <c r="AW87"/>
  <c r="AV87"/>
  <c r="AU87"/>
  <c r="AT87"/>
  <c r="AS87"/>
  <c r="AR87"/>
  <c r="AQ87"/>
  <c r="M87"/>
  <c r="L87"/>
  <c r="I87"/>
  <c r="G87"/>
  <c r="F87"/>
  <c r="BY87"/>
  <c r="BX87"/>
  <c r="BU87"/>
  <c r="BS87"/>
  <c r="BQ87"/>
  <c r="AZ87"/>
  <c r="K86"/>
  <c r="K87" s="1"/>
  <c r="J86"/>
  <c r="J87" s="1"/>
  <c r="H86"/>
  <c r="BO85"/>
  <c r="BN85"/>
  <c r="BM85"/>
  <c r="BL85"/>
  <c r="BK85"/>
  <c r="BJ85"/>
  <c r="BI85"/>
  <c r="BH85"/>
  <c r="BE85"/>
  <c r="BD85"/>
  <c r="BC85"/>
  <c r="BB85"/>
  <c r="BA85"/>
  <c r="AW85"/>
  <c r="AV85"/>
  <c r="AU85"/>
  <c r="AT85"/>
  <c r="AS85"/>
  <c r="AR85"/>
  <c r="AQ85"/>
  <c r="M85"/>
  <c r="L85"/>
  <c r="I85"/>
  <c r="G85"/>
  <c r="F85"/>
  <c r="J84"/>
  <c r="J80"/>
  <c r="K79"/>
  <c r="J79"/>
  <c r="H79"/>
  <c r="AX77"/>
  <c r="AX85" s="1"/>
  <c r="H76"/>
  <c r="BO74"/>
  <c r="BN74"/>
  <c r="BM74"/>
  <c r="BL74"/>
  <c r="BK74"/>
  <c r="BJ74"/>
  <c r="BI74"/>
  <c r="BH74"/>
  <c r="BE74"/>
  <c r="BD74"/>
  <c r="BC74"/>
  <c r="BB74"/>
  <c r="BA74"/>
  <c r="AX74"/>
  <c r="AW74"/>
  <c r="AV74"/>
  <c r="AU74"/>
  <c r="AT74"/>
  <c r="AS74"/>
  <c r="AR74"/>
  <c r="AQ74"/>
  <c r="M74"/>
  <c r="L74"/>
  <c r="K74"/>
  <c r="J74"/>
  <c r="I74"/>
  <c r="H74"/>
  <c r="G74"/>
  <c r="F74"/>
  <c r="BV74"/>
  <c r="BT74"/>
  <c r="BR74"/>
  <c r="BG74"/>
  <c r="AZ74"/>
  <c r="O74"/>
  <c r="BO68"/>
  <c r="BN68"/>
  <c r="BM68"/>
  <c r="BL68"/>
  <c r="BK68"/>
  <c r="BJ68"/>
  <c r="BI68"/>
  <c r="BH68"/>
  <c r="BE68"/>
  <c r="BD68"/>
  <c r="BC68"/>
  <c r="BB68"/>
  <c r="BA68"/>
  <c r="AX68"/>
  <c r="AW68"/>
  <c r="AV68"/>
  <c r="AU68"/>
  <c r="AT68"/>
  <c r="AS68"/>
  <c r="AR68"/>
  <c r="AQ68"/>
  <c r="M68"/>
  <c r="L68"/>
  <c r="K68"/>
  <c r="J68"/>
  <c r="H68"/>
  <c r="G68"/>
  <c r="F68"/>
  <c r="I66"/>
  <c r="BO63"/>
  <c r="BN63"/>
  <c r="BM63"/>
  <c r="BL63"/>
  <c r="BK63"/>
  <c r="BJ63"/>
  <c r="BI63"/>
  <c r="BH63"/>
  <c r="BE63"/>
  <c r="BD63"/>
  <c r="BC63"/>
  <c r="BB63"/>
  <c r="BA63"/>
  <c r="AX63"/>
  <c r="AW63"/>
  <c r="AV63"/>
  <c r="AU63"/>
  <c r="AT63"/>
  <c r="AS63"/>
  <c r="AR63"/>
  <c r="AQ63"/>
  <c r="M63"/>
  <c r="L63"/>
  <c r="I63"/>
  <c r="G63"/>
  <c r="F63"/>
  <c r="K61"/>
  <c r="J61"/>
  <c r="J63" s="1"/>
  <c r="H59"/>
  <c r="H58"/>
  <c r="BO54"/>
  <c r="BN54"/>
  <c r="BM54"/>
  <c r="BL54"/>
  <c r="BK54"/>
  <c r="BJ54"/>
  <c r="BI54"/>
  <c r="BH54"/>
  <c r="BE54"/>
  <c r="BD54"/>
  <c r="BC54"/>
  <c r="BB54"/>
  <c r="BA54"/>
  <c r="AX54"/>
  <c r="AW54"/>
  <c r="AV54"/>
  <c r="AU54"/>
  <c r="AT54"/>
  <c r="AS54"/>
  <c r="AR54"/>
  <c r="AQ54"/>
  <c r="M54"/>
  <c r="L54"/>
  <c r="K54"/>
  <c r="G54"/>
  <c r="F54"/>
  <c r="I53"/>
  <c r="H53"/>
  <c r="H52"/>
  <c r="J51"/>
  <c r="H51"/>
  <c r="H50"/>
  <c r="I47"/>
  <c r="I54" s="1"/>
  <c r="H47"/>
  <c r="BN45"/>
  <c r="BM45"/>
  <c r="BL45"/>
  <c r="BK45"/>
  <c r="BJ45"/>
  <c r="BI45"/>
  <c r="BH45"/>
  <c r="BE45"/>
  <c r="BD45"/>
  <c r="BC45"/>
  <c r="BB45"/>
  <c r="BA45"/>
  <c r="AV45"/>
  <c r="AT45"/>
  <c r="AS45"/>
  <c r="AR45"/>
  <c r="AQ45"/>
  <c r="M45"/>
  <c r="L45"/>
  <c r="G45"/>
  <c r="F45"/>
  <c r="K43"/>
  <c r="K45" s="1"/>
  <c r="J43"/>
  <c r="J45" s="1"/>
  <c r="H43"/>
  <c r="I40"/>
  <c r="AX38"/>
  <c r="AW38"/>
  <c r="AU38"/>
  <c r="AU45" s="1"/>
  <c r="H36"/>
  <c r="BO35"/>
  <c r="BN35"/>
  <c r="BM35"/>
  <c r="BL35"/>
  <c r="BK35"/>
  <c r="BJ35"/>
  <c r="BI35"/>
  <c r="BH35"/>
  <c r="BC35"/>
  <c r="BB35"/>
  <c r="BA35"/>
  <c r="AX35"/>
  <c r="AW35"/>
  <c r="AV35"/>
  <c r="AU35"/>
  <c r="AT35"/>
  <c r="AS35"/>
  <c r="AR35"/>
  <c r="AQ35"/>
  <c r="M35"/>
  <c r="L35"/>
  <c r="K35"/>
  <c r="J35"/>
  <c r="I35"/>
  <c r="G35"/>
  <c r="F35"/>
  <c r="BE33"/>
  <c r="BE32"/>
  <c r="BD32"/>
  <c r="H32"/>
  <c r="BV35"/>
  <c r="BO30"/>
  <c r="BN30"/>
  <c r="BM30"/>
  <c r="BL30"/>
  <c r="BK30"/>
  <c r="BJ30"/>
  <c r="BI30"/>
  <c r="BH30"/>
  <c r="BE30"/>
  <c r="BD30"/>
  <c r="BC30"/>
  <c r="BB30"/>
  <c r="BA30"/>
  <c r="AX30"/>
  <c r="AW30"/>
  <c r="AV30"/>
  <c r="AU30"/>
  <c r="AT30"/>
  <c r="AS30"/>
  <c r="AR30"/>
  <c r="AQ30"/>
  <c r="M30"/>
  <c r="L30"/>
  <c r="K30"/>
  <c r="J30"/>
  <c r="I30"/>
  <c r="H30"/>
  <c r="G30"/>
  <c r="F30"/>
  <c r="BX30"/>
  <c r="BO27"/>
  <c r="BN27"/>
  <c r="BM27"/>
  <c r="BL27"/>
  <c r="BK27"/>
  <c r="BJ27"/>
  <c r="BI27"/>
  <c r="BH27"/>
  <c r="BE27"/>
  <c r="BD27"/>
  <c r="BC27"/>
  <c r="BB27"/>
  <c r="BA27"/>
  <c r="AX27"/>
  <c r="AW27"/>
  <c r="AV27"/>
  <c r="AU27"/>
  <c r="AT27"/>
  <c r="AS27"/>
  <c r="AR27"/>
  <c r="AQ27"/>
  <c r="M27"/>
  <c r="L27"/>
  <c r="K27"/>
  <c r="G27"/>
  <c r="F27"/>
  <c r="J24"/>
  <c r="J27" s="1"/>
  <c r="H24"/>
  <c r="H27" s="1"/>
  <c r="I23"/>
  <c r="I22"/>
  <c r="BO21"/>
  <c r="BN21"/>
  <c r="BM21"/>
  <c r="BL21"/>
  <c r="BK21"/>
  <c r="BJ21"/>
  <c r="BI21"/>
  <c r="BH21"/>
  <c r="BE21"/>
  <c r="BD21"/>
  <c r="BC21"/>
  <c r="BB21"/>
  <c r="BA21"/>
  <c r="AX21"/>
  <c r="AW21"/>
  <c r="AV21"/>
  <c r="AU21"/>
  <c r="AT21"/>
  <c r="AS21"/>
  <c r="AR21"/>
  <c r="AQ21"/>
  <c r="M21"/>
  <c r="L21"/>
  <c r="I21"/>
  <c r="G21"/>
  <c r="F21"/>
  <c r="K20"/>
  <c r="J20"/>
  <c r="H20"/>
  <c r="K18"/>
  <c r="J18"/>
  <c r="BO16"/>
  <c r="BN16"/>
  <c r="BM16"/>
  <c r="BL16"/>
  <c r="BK16"/>
  <c r="BJ16"/>
  <c r="BI16"/>
  <c r="BH16"/>
  <c r="BA16"/>
  <c r="AT16"/>
  <c r="AS16"/>
  <c r="AR16"/>
  <c r="AQ16"/>
  <c r="M16"/>
  <c r="L16"/>
  <c r="K16"/>
  <c r="J16"/>
  <c r="G16"/>
  <c r="F16"/>
  <c r="AX15"/>
  <c r="AW15"/>
  <c r="AU15"/>
  <c r="I15"/>
  <c r="H15"/>
  <c r="I14"/>
  <c r="H14"/>
  <c r="AX13"/>
  <c r="AW13"/>
  <c r="AW16" s="1"/>
  <c r="AV13"/>
  <c r="AU13"/>
  <c r="BE9"/>
  <c r="BE16" s="1"/>
  <c r="BD9"/>
  <c r="BD16" s="1"/>
  <c r="BC9"/>
  <c r="BC16" s="1"/>
  <c r="BB9"/>
  <c r="I8"/>
  <c r="H8"/>
  <c r="I7"/>
  <c r="I6"/>
  <c r="I5"/>
  <c r="H5"/>
  <c r="K81" i="30"/>
  <c r="F40"/>
  <c r="K40" s="1"/>
  <c r="K22"/>
  <c r="K135"/>
  <c r="K134"/>
  <c r="K133"/>
  <c r="I133"/>
  <c r="K132"/>
  <c r="K131"/>
  <c r="K130"/>
  <c r="K129"/>
  <c r="K128"/>
  <c r="K127"/>
  <c r="K126"/>
  <c r="I125"/>
  <c r="K125" s="1"/>
  <c r="K124"/>
  <c r="K123"/>
  <c r="H123"/>
  <c r="I122"/>
  <c r="K122" s="1"/>
  <c r="K121"/>
  <c r="K120"/>
  <c r="K119"/>
  <c r="K118"/>
  <c r="J117"/>
  <c r="K117" s="1"/>
  <c r="K116"/>
  <c r="I116"/>
  <c r="K115"/>
  <c r="I115"/>
  <c r="K114"/>
  <c r="K113"/>
  <c r="K112"/>
  <c r="K111"/>
  <c r="K110"/>
  <c r="J110"/>
  <c r="K109"/>
  <c r="H108"/>
  <c r="K108" s="1"/>
  <c r="K107"/>
  <c r="H107"/>
  <c r="K106"/>
  <c r="K105"/>
  <c r="I104"/>
  <c r="K104" s="1"/>
  <c r="K103"/>
  <c r="K102"/>
  <c r="K101"/>
  <c r="K100"/>
  <c r="I99"/>
  <c r="K99" s="1"/>
  <c r="K98"/>
  <c r="K97"/>
  <c r="K96"/>
  <c r="H96"/>
  <c r="J95"/>
  <c r="K95" s="1"/>
  <c r="K94"/>
  <c r="H93"/>
  <c r="K93" s="1"/>
  <c r="K92"/>
  <c r="K91"/>
  <c r="K90"/>
  <c r="K89"/>
  <c r="I89"/>
  <c r="K88"/>
  <c r="K87"/>
  <c r="I87"/>
  <c r="K86"/>
  <c r="K85"/>
  <c r="I84"/>
  <c r="K84" s="1"/>
  <c r="K83"/>
  <c r="I83"/>
  <c r="K82"/>
  <c r="H82"/>
  <c r="K80"/>
  <c r="J80"/>
  <c r="I79"/>
  <c r="K79" s="1"/>
  <c r="J78"/>
  <c r="K78" s="1"/>
  <c r="K77"/>
  <c r="J76"/>
  <c r="K76" s="1"/>
  <c r="K75"/>
  <c r="K74"/>
  <c r="K73"/>
  <c r="K72"/>
  <c r="I71"/>
  <c r="K71" s="1"/>
  <c r="K70"/>
  <c r="K69"/>
  <c r="K68"/>
  <c r="H68"/>
  <c r="K67"/>
  <c r="K66"/>
  <c r="K65"/>
  <c r="K64"/>
  <c r="I64"/>
  <c r="K63"/>
  <c r="J63"/>
  <c r="K62"/>
  <c r="K61"/>
  <c r="K60"/>
  <c r="K59"/>
  <c r="K58"/>
  <c r="I57"/>
  <c r="K57" s="1"/>
  <c r="K56"/>
  <c r="J56"/>
  <c r="K55"/>
  <c r="I55"/>
  <c r="I54"/>
  <c r="K54" s="1"/>
  <c r="K53"/>
  <c r="K52"/>
  <c r="K51"/>
  <c r="K50"/>
  <c r="K49"/>
  <c r="J48"/>
  <c r="K48" s="1"/>
  <c r="K47"/>
  <c r="K46"/>
  <c r="K45"/>
  <c r="K44"/>
  <c r="I43"/>
  <c r="K43" s="1"/>
  <c r="K42"/>
  <c r="K41"/>
  <c r="K39"/>
  <c r="K38"/>
  <c r="K37"/>
  <c r="K36"/>
  <c r="K35"/>
  <c r="K34"/>
  <c r="K33"/>
  <c r="H32"/>
  <c r="K32" s="1"/>
  <c r="K31"/>
  <c r="K30"/>
  <c r="K29"/>
  <c r="K28"/>
  <c r="K27"/>
  <c r="K26"/>
  <c r="I26"/>
  <c r="K25"/>
  <c r="K24"/>
  <c r="J24"/>
  <c r="J23"/>
  <c r="K23" s="1"/>
  <c r="K21"/>
  <c r="K20"/>
  <c r="K19"/>
  <c r="K18"/>
  <c r="K17"/>
  <c r="K16"/>
  <c r="K15"/>
  <c r="K14"/>
  <c r="H14"/>
  <c r="I13"/>
  <c r="K13" s="1"/>
  <c r="K12"/>
  <c r="K11"/>
  <c r="I11"/>
  <c r="K10"/>
  <c r="K9"/>
  <c r="K8"/>
  <c r="K7"/>
  <c r="J7"/>
  <c r="K6"/>
  <c r="K5"/>
  <c r="K4"/>
  <c r="K3"/>
  <c r="AZ139" i="32"/>
  <c r="AE52"/>
  <c r="AE209"/>
  <c r="AE17"/>
  <c r="CA155" i="34" l="1"/>
  <c r="CA163"/>
  <c r="CA165"/>
  <c r="CA140"/>
  <c r="CA99"/>
  <c r="AP124"/>
  <c r="AP74"/>
  <c r="CA37"/>
  <c r="CA5"/>
  <c r="CA18"/>
  <c r="CA33"/>
  <c r="CA47"/>
  <c r="CA60"/>
  <c r="CA77"/>
  <c r="CA91"/>
  <c r="CA103"/>
  <c r="CA115"/>
  <c r="CA131"/>
  <c r="CA144"/>
  <c r="CA159"/>
  <c r="CA173"/>
  <c r="CA198"/>
  <c r="CA224"/>
  <c r="BV30"/>
  <c r="CA9"/>
  <c r="CA23"/>
  <c r="CA38"/>
  <c r="CA51"/>
  <c r="CA65"/>
  <c r="CA81"/>
  <c r="CA95"/>
  <c r="CA107"/>
  <c r="CA136"/>
  <c r="CA148"/>
  <c r="CA164"/>
  <c r="CA178"/>
  <c r="CA190"/>
  <c r="CA202"/>
  <c r="CA216"/>
  <c r="CA228"/>
  <c r="CA14"/>
  <c r="CA29"/>
  <c r="CA43"/>
  <c r="CA57"/>
  <c r="CA73"/>
  <c r="CA88"/>
  <c r="CA100"/>
  <c r="CA126"/>
  <c r="CA141"/>
  <c r="CA156"/>
  <c r="CA170"/>
  <c r="CA183"/>
  <c r="CA195"/>
  <c r="CA207"/>
  <c r="CA221"/>
  <c r="CA219"/>
  <c r="BS128"/>
  <c r="BY128"/>
  <c r="CA120"/>
  <c r="AP119"/>
  <c r="AP160"/>
  <c r="AP175"/>
  <c r="BR124"/>
  <c r="BS35"/>
  <c r="BW35"/>
  <c r="BX68"/>
  <c r="CA7"/>
  <c r="CA20"/>
  <c r="CA36"/>
  <c r="CA49"/>
  <c r="CA62"/>
  <c r="CA79"/>
  <c r="CA93"/>
  <c r="CA105"/>
  <c r="CA117"/>
  <c r="CA134"/>
  <c r="CA146"/>
  <c r="CA162"/>
  <c r="CA188"/>
  <c r="CA200"/>
  <c r="CA212"/>
  <c r="CA226"/>
  <c r="CA6"/>
  <c r="CA19"/>
  <c r="CA34"/>
  <c r="CA48"/>
  <c r="CA78"/>
  <c r="CA92"/>
  <c r="CA104"/>
  <c r="CA116"/>
  <c r="CA133"/>
  <c r="CA174"/>
  <c r="CA187"/>
  <c r="CA199"/>
  <c r="CA211"/>
  <c r="CA225"/>
  <c r="CA223"/>
  <c r="CA15"/>
  <c r="CA31"/>
  <c r="CA44"/>
  <c r="CA58"/>
  <c r="CA75"/>
  <c r="CA89"/>
  <c r="CA101"/>
  <c r="CA113"/>
  <c r="CA127"/>
  <c r="CA142"/>
  <c r="CA157"/>
  <c r="CA171"/>
  <c r="CA196"/>
  <c r="CA208"/>
  <c r="CA222"/>
  <c r="BS169"/>
  <c r="CA11"/>
  <c r="CA25"/>
  <c r="CA40"/>
  <c r="CA53"/>
  <c r="CA67"/>
  <c r="CA83"/>
  <c r="CA97"/>
  <c r="CA109"/>
  <c r="CA122"/>
  <c r="CA138"/>
  <c r="CA151"/>
  <c r="CA166"/>
  <c r="CA180"/>
  <c r="CA192"/>
  <c r="CA204"/>
  <c r="CA218"/>
  <c r="CA112"/>
  <c r="CA210"/>
  <c r="AJ231"/>
  <c r="AJ233" s="1"/>
  <c r="AJ235" s="1"/>
  <c r="CA121"/>
  <c r="CA32"/>
  <c r="CA46"/>
  <c r="CA59"/>
  <c r="CA76"/>
  <c r="CA90"/>
  <c r="CA102"/>
  <c r="CA114"/>
  <c r="CA143"/>
  <c r="CA158"/>
  <c r="CA172"/>
  <c r="CA185"/>
  <c r="CA197"/>
  <c r="CA209"/>
  <c r="AP229"/>
  <c r="BR45"/>
  <c r="BS213"/>
  <c r="BU54"/>
  <c r="BX63"/>
  <c r="BR152"/>
  <c r="BP231"/>
  <c r="BP233" s="1"/>
  <c r="BR160"/>
  <c r="CA145"/>
  <c r="CA186"/>
  <c r="BR87"/>
  <c r="CA17"/>
  <c r="CA42"/>
  <c r="BR30"/>
  <c r="AO231"/>
  <c r="AO233" s="1"/>
  <c r="AO235" s="1"/>
  <c r="CA184"/>
  <c r="CA168"/>
  <c r="AP27"/>
  <c r="AI231"/>
  <c r="AI233" s="1"/>
  <c r="AI235" s="1"/>
  <c r="CA52"/>
  <c r="CA129"/>
  <c r="BF231"/>
  <c r="BF233" s="1"/>
  <c r="BF235" s="1"/>
  <c r="CA214"/>
  <c r="CA215" s="1"/>
  <c r="AY231"/>
  <c r="AY233" s="1"/>
  <c r="AY235" s="1"/>
  <c r="CA66"/>
  <c r="AE231"/>
  <c r="AE233" s="1"/>
  <c r="AE235" s="1"/>
  <c r="CA176"/>
  <c r="X231"/>
  <c r="X233" s="1"/>
  <c r="X235" s="1"/>
  <c r="CA161"/>
  <c r="CA61"/>
  <c r="N231"/>
  <c r="N233" s="1"/>
  <c r="N235" s="1"/>
  <c r="I27"/>
  <c r="AF124"/>
  <c r="AM169"/>
  <c r="AL169"/>
  <c r="AL231" s="1"/>
  <c r="AL233" s="1"/>
  <c r="AL235" s="1"/>
  <c r="AA16"/>
  <c r="AF45"/>
  <c r="AP128"/>
  <c r="AK169"/>
  <c r="AB54"/>
  <c r="AF128"/>
  <c r="AP169"/>
  <c r="AP35"/>
  <c r="AP45"/>
  <c r="AP68"/>
  <c r="AK119"/>
  <c r="BQ45"/>
  <c r="J119"/>
  <c r="AZ215"/>
  <c r="T16"/>
  <c r="Q160"/>
  <c r="AD231"/>
  <c r="AD233" s="1"/>
  <c r="AD235" s="1"/>
  <c r="AF54"/>
  <c r="AA229"/>
  <c r="AP63"/>
  <c r="AF175"/>
  <c r="AP16"/>
  <c r="AH231"/>
  <c r="AH233" s="1"/>
  <c r="AH235" s="1"/>
  <c r="BQ85"/>
  <c r="BG124"/>
  <c r="AG231"/>
  <c r="AG233" s="1"/>
  <c r="AG235" s="1"/>
  <c r="AP85"/>
  <c r="AN213"/>
  <c r="AN231" s="1"/>
  <c r="AN233" s="1"/>
  <c r="AN235" s="1"/>
  <c r="AP213"/>
  <c r="AM213"/>
  <c r="AP54"/>
  <c r="AM74"/>
  <c r="AP21"/>
  <c r="AP149"/>
  <c r="BS27"/>
  <c r="AF35"/>
  <c r="AF160"/>
  <c r="AB213"/>
  <c r="AB16"/>
  <c r="AF85"/>
  <c r="AA213"/>
  <c r="BB149"/>
  <c r="R27"/>
  <c r="AF63"/>
  <c r="AF149"/>
  <c r="BG128"/>
  <c r="AF21"/>
  <c r="AA54"/>
  <c r="AF152"/>
  <c r="AF169"/>
  <c r="AF229"/>
  <c r="AV154"/>
  <c r="AF27"/>
  <c r="Z231"/>
  <c r="Z233" s="1"/>
  <c r="Z235" s="1"/>
  <c r="Y30"/>
  <c r="T213"/>
  <c r="AC231"/>
  <c r="AC233" s="1"/>
  <c r="AC235" s="1"/>
  <c r="AF30"/>
  <c r="AB229"/>
  <c r="AB119"/>
  <c r="AF68"/>
  <c r="AF16"/>
  <c r="AB27"/>
  <c r="AA152"/>
  <c r="AA45"/>
  <c r="AB68"/>
  <c r="BV87"/>
  <c r="BB119"/>
  <c r="BG152"/>
  <c r="BG229"/>
  <c r="AZ21"/>
  <c r="BG68"/>
  <c r="BQ169"/>
  <c r="K21"/>
  <c r="BE35"/>
  <c r="O152"/>
  <c r="CA154"/>
  <c r="AW229"/>
  <c r="BT152"/>
  <c r="BG54"/>
  <c r="BS119"/>
  <c r="BI119"/>
  <c r="BG30"/>
  <c r="BD169"/>
  <c r="T175"/>
  <c r="H63"/>
  <c r="BJ229"/>
  <c r="BJ231" s="1"/>
  <c r="BE149"/>
  <c r="J229"/>
  <c r="BX154"/>
  <c r="BV215"/>
  <c r="BG160"/>
  <c r="AW213"/>
  <c r="T169"/>
  <c r="AQ231"/>
  <c r="AQ233" s="1"/>
  <c r="AQ235" s="1"/>
  <c r="BM231"/>
  <c r="BM233" s="1"/>
  <c r="BQ21"/>
  <c r="BQ35"/>
  <c r="BG169"/>
  <c r="AX175"/>
  <c r="AV213"/>
  <c r="K213"/>
  <c r="V231"/>
  <c r="V233" s="1"/>
  <c r="V235" s="1"/>
  <c r="T27"/>
  <c r="Y169"/>
  <c r="H21"/>
  <c r="M231"/>
  <c r="M233" s="1"/>
  <c r="M235" s="1"/>
  <c r="BL231"/>
  <c r="BL233" s="1"/>
  <c r="BG21"/>
  <c r="BY45"/>
  <c r="BQ54"/>
  <c r="AW119"/>
  <c r="BQ149"/>
  <c r="BQ160"/>
  <c r="U16"/>
  <c r="T63"/>
  <c r="AU16"/>
  <c r="L231"/>
  <c r="L233" s="1"/>
  <c r="L235" s="1"/>
  <c r="BK231"/>
  <c r="BK233" s="1"/>
  <c r="BG27"/>
  <c r="O35"/>
  <c r="AZ68"/>
  <c r="BQ152"/>
  <c r="AZ169"/>
  <c r="BG175"/>
  <c r="S231"/>
  <c r="S233" s="1"/>
  <c r="S235" s="1"/>
  <c r="O27"/>
  <c r="AZ85"/>
  <c r="BV160"/>
  <c r="AV229"/>
  <c r="R63"/>
  <c r="Y160"/>
  <c r="BQ124"/>
  <c r="BQ229"/>
  <c r="AU229"/>
  <c r="CA232"/>
  <c r="P231"/>
  <c r="P233" s="1"/>
  <c r="P235" s="1"/>
  <c r="Y124"/>
  <c r="Y128"/>
  <c r="AZ30"/>
  <c r="H54"/>
  <c r="BQ63"/>
  <c r="BG85"/>
  <c r="O130"/>
  <c r="J160"/>
  <c r="O169"/>
  <c r="K169"/>
  <c r="Y45"/>
  <c r="G231"/>
  <c r="G233" s="1"/>
  <c r="G235" s="1"/>
  <c r="BH231"/>
  <c r="BH233" s="1"/>
  <c r="F231"/>
  <c r="F233" s="1"/>
  <c r="F235" s="1"/>
  <c r="J21"/>
  <c r="AZ27"/>
  <c r="O30"/>
  <c r="AZ54"/>
  <c r="I68"/>
  <c r="J85"/>
  <c r="K85"/>
  <c r="O87"/>
  <c r="BW87"/>
  <c r="K119"/>
  <c r="BW130"/>
  <c r="AZ152"/>
  <c r="BX152"/>
  <c r="AZ154"/>
  <c r="BY154"/>
  <c r="O160"/>
  <c r="BQ175"/>
  <c r="I213"/>
  <c r="H229"/>
  <c r="AR229"/>
  <c r="AR231" s="1"/>
  <c r="AR233" s="1"/>
  <c r="AR235" s="1"/>
  <c r="Y54"/>
  <c r="R54"/>
  <c r="BU30"/>
  <c r="H35"/>
  <c r="BG63"/>
  <c r="H169"/>
  <c r="BB213"/>
  <c r="BQ16"/>
  <c r="BA231"/>
  <c r="BA233" s="1"/>
  <c r="BA235" s="1"/>
  <c r="BT30"/>
  <c r="BX215"/>
  <c r="T119"/>
  <c r="R124"/>
  <c r="BO231"/>
  <c r="BO233" s="1"/>
  <c r="AX45"/>
  <c r="AZ63"/>
  <c r="BQ68"/>
  <c r="BQ128"/>
  <c r="BT160"/>
  <c r="Y21"/>
  <c r="Y35"/>
  <c r="Y68"/>
  <c r="BG16"/>
  <c r="AX16"/>
  <c r="BN231"/>
  <c r="BN233" s="1"/>
  <c r="BQ27"/>
  <c r="BG45"/>
  <c r="AV119"/>
  <c r="O124"/>
  <c r="BD149"/>
  <c r="AX149"/>
  <c r="O175"/>
  <c r="R16"/>
  <c r="W231"/>
  <c r="W233" s="1"/>
  <c r="W235" s="1"/>
  <c r="R119"/>
  <c r="Y63"/>
  <c r="Y16"/>
  <c r="Y27"/>
  <c r="Q45"/>
  <c r="Y152"/>
  <c r="Y175"/>
  <c r="Y149"/>
  <c r="U175"/>
  <c r="Y229"/>
  <c r="U213"/>
  <c r="Y85"/>
  <c r="U169"/>
  <c r="U119"/>
  <c r="BS21"/>
  <c r="BR54"/>
  <c r="BR63"/>
  <c r="BU85"/>
  <c r="BX169"/>
  <c r="BS16"/>
  <c r="BR21"/>
  <c r="BV45"/>
  <c r="BU68"/>
  <c r="BY160"/>
  <c r="BR16"/>
  <c r="BY68"/>
  <c r="BR85"/>
  <c r="BT128"/>
  <c r="BU169"/>
  <c r="BX175"/>
  <c r="BR35"/>
  <c r="BS45"/>
  <c r="BX124"/>
  <c r="BU128"/>
  <c r="BU149"/>
  <c r="BR169"/>
  <c r="BU175"/>
  <c r="BY27"/>
  <c r="BU35"/>
  <c r="BR119"/>
  <c r="BX229"/>
  <c r="BY21"/>
  <c r="BT21"/>
  <c r="BX27"/>
  <c r="BT35"/>
  <c r="BX35"/>
  <c r="BS54"/>
  <c r="BY63"/>
  <c r="BS63"/>
  <c r="BU124"/>
  <c r="BV128"/>
  <c r="BR128"/>
  <c r="BR149"/>
  <c r="BW175"/>
  <c r="BR213"/>
  <c r="BX21"/>
  <c r="BU160"/>
  <c r="BT27"/>
  <c r="BV54"/>
  <c r="BV63"/>
  <c r="BT68"/>
  <c r="BX85"/>
  <c r="BT175"/>
  <c r="BX16"/>
  <c r="BU21"/>
  <c r="BR27"/>
  <c r="BU63"/>
  <c r="BS68"/>
  <c r="BY152"/>
  <c r="BS175"/>
  <c r="BR68"/>
  <c r="BY85"/>
  <c r="BS85"/>
  <c r="BW124"/>
  <c r="BR175"/>
  <c r="BT16"/>
  <c r="BT45"/>
  <c r="BW45"/>
  <c r="BW27"/>
  <c r="BT124"/>
  <c r="BX149"/>
  <c r="BY175"/>
  <c r="BX213"/>
  <c r="BU16"/>
  <c r="BV27"/>
  <c r="BW160"/>
  <c r="BY229"/>
  <c r="BW63"/>
  <c r="BU119"/>
  <c r="BW128"/>
  <c r="BT149"/>
  <c r="BW68"/>
  <c r="BW229"/>
  <c r="BU27"/>
  <c r="BX45"/>
  <c r="CA74"/>
  <c r="BX74"/>
  <c r="BW16"/>
  <c r="BB16"/>
  <c r="BW54"/>
  <c r="BV85"/>
  <c r="BV124"/>
  <c r="O132"/>
  <c r="AZ149"/>
  <c r="I149"/>
  <c r="AW149"/>
  <c r="BV152"/>
  <c r="BV169"/>
  <c r="AU175"/>
  <c r="BQ213"/>
  <c r="AS229"/>
  <c r="AS231" s="1"/>
  <c r="AS233" s="1"/>
  <c r="AS235" s="1"/>
  <c r="BT87"/>
  <c r="H149"/>
  <c r="AV149"/>
  <c r="AX215"/>
  <c r="BD35"/>
  <c r="I45"/>
  <c r="BY119"/>
  <c r="BT119"/>
  <c r="AX119"/>
  <c r="AU124"/>
  <c r="K128"/>
  <c r="AU149"/>
  <c r="BI149"/>
  <c r="AZ160"/>
  <c r="BX160"/>
  <c r="BC169"/>
  <c r="J213"/>
  <c r="AX213"/>
  <c r="BR229"/>
  <c r="AW45"/>
  <c r="BY16"/>
  <c r="AZ45"/>
  <c r="H45"/>
  <c r="BT54"/>
  <c r="BQ119"/>
  <c r="I119"/>
  <c r="O128"/>
  <c r="J130"/>
  <c r="BW149"/>
  <c r="AT149"/>
  <c r="AT231" s="1"/>
  <c r="AT233" s="1"/>
  <c r="AT235" s="1"/>
  <c r="BW169"/>
  <c r="J54"/>
  <c r="H87"/>
  <c r="AZ119"/>
  <c r="H119"/>
  <c r="AZ124"/>
  <c r="AZ175"/>
  <c r="H213"/>
  <c r="BT229"/>
  <c r="H16"/>
  <c r="AV16"/>
  <c r="AU119"/>
  <c r="H128"/>
  <c r="AU213"/>
  <c r="BI213"/>
  <c r="I16"/>
  <c r="H85"/>
  <c r="BV16"/>
  <c r="BW21"/>
  <c r="BU45"/>
  <c r="BY54"/>
  <c r="K63"/>
  <c r="O68"/>
  <c r="O85"/>
  <c r="BV213"/>
  <c r="BW213"/>
  <c r="BV21"/>
  <c r="BG35"/>
  <c r="BX54"/>
  <c r="O63"/>
  <c r="BW152"/>
  <c r="BY215"/>
  <c r="AZ229"/>
  <c r="BC119"/>
  <c r="G136" i="30"/>
  <c r="F136"/>
  <c r="E136"/>
  <c r="H136"/>
  <c r="I136"/>
  <c r="J136"/>
  <c r="K136"/>
  <c r="AZ33" i="32"/>
  <c r="AZ165"/>
  <c r="AZ9"/>
  <c r="AZ32"/>
  <c r="AZ198"/>
  <c r="AZ105"/>
  <c r="AZ98"/>
  <c r="AZ187"/>
  <c r="AZ135"/>
  <c r="AZ133"/>
  <c r="AZ87"/>
  <c r="AE183"/>
  <c r="AE167"/>
  <c r="AE111"/>
  <c r="AE144"/>
  <c r="AE185"/>
  <c r="AE162"/>
  <c r="V224"/>
  <c r="V213"/>
  <c r="V208"/>
  <c r="V196"/>
  <c r="V195"/>
  <c r="V180"/>
  <c r="V173"/>
  <c r="V155"/>
  <c r="V152"/>
  <c r="V136"/>
  <c r="V145"/>
  <c r="V120"/>
  <c r="V107"/>
  <c r="V99"/>
  <c r="V97"/>
  <c r="V95"/>
  <c r="V76"/>
  <c r="V38"/>
  <c r="V146"/>
  <c r="V15"/>
  <c r="V13"/>
  <c r="T231" i="34" l="1"/>
  <c r="T233" s="1"/>
  <c r="T235" s="1"/>
  <c r="BE231"/>
  <c r="BE233" s="1"/>
  <c r="BE235" s="1"/>
  <c r="AK231"/>
  <c r="AK233" s="1"/>
  <c r="AK235" s="1"/>
  <c r="Q231"/>
  <c r="Q233" s="1"/>
  <c r="Q235" s="1"/>
  <c r="AA231"/>
  <c r="AA233" s="1"/>
  <c r="AA235" s="1"/>
  <c r="AM231"/>
  <c r="AM233" s="1"/>
  <c r="AM235" s="1"/>
  <c r="R231"/>
  <c r="R233" s="1"/>
  <c r="R235" s="1"/>
  <c r="BZ233"/>
  <c r="CA85"/>
  <c r="BJ235"/>
  <c r="BJ233"/>
  <c r="O21"/>
  <c r="BM235"/>
  <c r="AF119"/>
  <c r="AF213"/>
  <c r="O45"/>
  <c r="AB231"/>
  <c r="AB233" s="1"/>
  <c r="AB235" s="1"/>
  <c r="AP231"/>
  <c r="AP233" s="1"/>
  <c r="BL235"/>
  <c r="BD231"/>
  <c r="BD233" s="1"/>
  <c r="BD235" s="1"/>
  <c r="Y213"/>
  <c r="O149"/>
  <c r="O229"/>
  <c r="BK235"/>
  <c r="BO235"/>
  <c r="BG149"/>
  <c r="U231"/>
  <c r="U233" s="1"/>
  <c r="U235" s="1"/>
  <c r="O119"/>
  <c r="O54"/>
  <c r="BC231"/>
  <c r="BC233" s="1"/>
  <c r="BC235" s="1"/>
  <c r="BH235"/>
  <c r="J231"/>
  <c r="J233" s="1"/>
  <c r="J235" s="1"/>
  <c r="AX231"/>
  <c r="AX233" s="1"/>
  <c r="AX235" s="1"/>
  <c r="AV231"/>
  <c r="AV233" s="1"/>
  <c r="AV235" s="1"/>
  <c r="O16"/>
  <c r="BQ231"/>
  <c r="BQ233" s="1"/>
  <c r="BB231"/>
  <c r="BB233" s="1"/>
  <c r="BB235" s="1"/>
  <c r="O213"/>
  <c r="BG213"/>
  <c r="AU231"/>
  <c r="AU233" s="1"/>
  <c r="AU235" s="1"/>
  <c r="K231"/>
  <c r="K233" s="1"/>
  <c r="K235" s="1"/>
  <c r="BG119"/>
  <c r="BN235"/>
  <c r="AZ213"/>
  <c r="BR231"/>
  <c r="BR233" s="1"/>
  <c r="BI231"/>
  <c r="BI235" s="1"/>
  <c r="AZ16"/>
  <c r="BV119"/>
  <c r="AW231"/>
  <c r="AW233" s="1"/>
  <c r="AW235" s="1"/>
  <c r="Y119"/>
  <c r="CA229"/>
  <c r="CA30"/>
  <c r="CA128"/>
  <c r="BS229"/>
  <c r="BT213"/>
  <c r="BX119"/>
  <c r="BX231" s="1"/>
  <c r="BX233" s="1"/>
  <c r="CA124"/>
  <c r="BW85"/>
  <c r="BY149"/>
  <c r="CA175"/>
  <c r="BS149"/>
  <c r="CA132"/>
  <c r="BU132"/>
  <c r="BW119"/>
  <c r="CA21"/>
  <c r="BU213"/>
  <c r="BY124"/>
  <c r="CA45"/>
  <c r="BU152"/>
  <c r="CA27"/>
  <c r="BY169"/>
  <c r="BY213"/>
  <c r="BY35"/>
  <c r="BS160"/>
  <c r="CA160"/>
  <c r="BT169"/>
  <c r="H231"/>
  <c r="H233" s="1"/>
  <c r="H235" s="1"/>
  <c r="BV175"/>
  <c r="CA87"/>
  <c r="CA130"/>
  <c r="BV130"/>
  <c r="CA68"/>
  <c r="BV68"/>
  <c r="CA63"/>
  <c r="BT63"/>
  <c r="BT85"/>
  <c r="I231"/>
  <c r="I233" s="1"/>
  <c r="I235" s="1"/>
  <c r="BV229"/>
  <c r="BV149"/>
  <c r="CA35"/>
  <c r="BU229"/>
  <c r="CA213"/>
  <c r="F228" i="32"/>
  <c r="L228"/>
  <c r="M228"/>
  <c r="O228"/>
  <c r="R228"/>
  <c r="X228"/>
  <c r="Y228"/>
  <c r="Z228"/>
  <c r="AA228"/>
  <c r="AB228"/>
  <c r="AC228"/>
  <c r="AD228"/>
  <c r="AE228"/>
  <c r="AG228"/>
  <c r="AH228"/>
  <c r="AI228"/>
  <c r="AJ228"/>
  <c r="AM228"/>
  <c r="AN228"/>
  <c r="AP228"/>
  <c r="AS228"/>
  <c r="AT228"/>
  <c r="AV228"/>
  <c r="AW228"/>
  <c r="AX228"/>
  <c r="AY228"/>
  <c r="AZ228"/>
  <c r="BB228"/>
  <c r="BC228"/>
  <c r="BE228"/>
  <c r="BF228"/>
  <c r="BG228"/>
  <c r="BH228"/>
  <c r="BI228"/>
  <c r="N231"/>
  <c r="W231"/>
  <c r="AF231"/>
  <c r="AO231"/>
  <c r="AU231"/>
  <c r="BA231"/>
  <c r="BJ231"/>
  <c r="BK231"/>
  <c r="BL231"/>
  <c r="BM231"/>
  <c r="BS231" s="1"/>
  <c r="BN231"/>
  <c r="BO231"/>
  <c r="BP231"/>
  <c r="BQ231"/>
  <c r="BR231"/>
  <c r="F214"/>
  <c r="G214"/>
  <c r="H214"/>
  <c r="I214"/>
  <c r="J214"/>
  <c r="K214"/>
  <c r="L214"/>
  <c r="M214"/>
  <c r="O214"/>
  <c r="P214"/>
  <c r="Q214"/>
  <c r="R214"/>
  <c r="T214"/>
  <c r="X214"/>
  <c r="Y214"/>
  <c r="Z214"/>
  <c r="AA214"/>
  <c r="AB214"/>
  <c r="AC214"/>
  <c r="AD214"/>
  <c r="AE214"/>
  <c r="AG214"/>
  <c r="AH214"/>
  <c r="AI214"/>
  <c r="AJ214"/>
  <c r="AK214"/>
  <c r="AL214"/>
  <c r="AM214"/>
  <c r="AN214"/>
  <c r="AP214"/>
  <c r="AQ214"/>
  <c r="AR214"/>
  <c r="AS214"/>
  <c r="AT214"/>
  <c r="AV214"/>
  <c r="AW214"/>
  <c r="AX214"/>
  <c r="AY214"/>
  <c r="AZ214"/>
  <c r="BB214"/>
  <c r="BC214"/>
  <c r="BD214"/>
  <c r="BE214"/>
  <c r="BF214"/>
  <c r="BG214"/>
  <c r="BH214"/>
  <c r="BI214"/>
  <c r="F212"/>
  <c r="G212"/>
  <c r="L212"/>
  <c r="M212"/>
  <c r="O212"/>
  <c r="P212"/>
  <c r="Q212"/>
  <c r="R212"/>
  <c r="X212"/>
  <c r="Y212"/>
  <c r="Z212"/>
  <c r="AA212"/>
  <c r="AG212"/>
  <c r="AH212"/>
  <c r="AI212"/>
  <c r="AJ212"/>
  <c r="AM212"/>
  <c r="AN212"/>
  <c r="AP212"/>
  <c r="AS212"/>
  <c r="AT212"/>
  <c r="AV212"/>
  <c r="BB212"/>
  <c r="BE212"/>
  <c r="BF212"/>
  <c r="BG212"/>
  <c r="BH212"/>
  <c r="BI212"/>
  <c r="F168"/>
  <c r="G168"/>
  <c r="I168"/>
  <c r="L168"/>
  <c r="M168"/>
  <c r="O168"/>
  <c r="P168"/>
  <c r="Q168"/>
  <c r="R168"/>
  <c r="S168"/>
  <c r="T168"/>
  <c r="U168"/>
  <c r="V168"/>
  <c r="X168"/>
  <c r="Y168"/>
  <c r="Z168"/>
  <c r="AA168"/>
  <c r="AG168"/>
  <c r="AH168"/>
  <c r="AJ168"/>
  <c r="AM168"/>
  <c r="AN168"/>
  <c r="AP168"/>
  <c r="AQ168"/>
  <c r="AR168"/>
  <c r="AS168"/>
  <c r="AT168"/>
  <c r="AV168"/>
  <c r="BB168"/>
  <c r="BC168"/>
  <c r="BD168"/>
  <c r="BE168"/>
  <c r="BF168"/>
  <c r="BG168"/>
  <c r="BH168"/>
  <c r="BI168"/>
  <c r="F159"/>
  <c r="G159"/>
  <c r="I159"/>
  <c r="L159"/>
  <c r="M159"/>
  <c r="O159"/>
  <c r="P159"/>
  <c r="Q159"/>
  <c r="R159"/>
  <c r="X159"/>
  <c r="Y159"/>
  <c r="Z159"/>
  <c r="AA159"/>
  <c r="AB159"/>
  <c r="AC159"/>
  <c r="AD159"/>
  <c r="AE159"/>
  <c r="AG159"/>
  <c r="AI159"/>
  <c r="AJ159"/>
  <c r="AK159"/>
  <c r="AL159"/>
  <c r="AM159"/>
  <c r="AN159"/>
  <c r="AP159"/>
  <c r="AQ159"/>
  <c r="AR159"/>
  <c r="AS159"/>
  <c r="AT159"/>
  <c r="AV159"/>
  <c r="AW159"/>
  <c r="AX159"/>
  <c r="AY159"/>
  <c r="AZ159"/>
  <c r="BB159"/>
  <c r="BC159"/>
  <c r="BD159"/>
  <c r="BE159"/>
  <c r="BF159"/>
  <c r="BG159"/>
  <c r="BH159"/>
  <c r="BI159"/>
  <c r="F153"/>
  <c r="G153"/>
  <c r="H153"/>
  <c r="I153"/>
  <c r="J153"/>
  <c r="K153"/>
  <c r="L153"/>
  <c r="M153"/>
  <c r="O153"/>
  <c r="P153"/>
  <c r="Q153"/>
  <c r="R153"/>
  <c r="S153"/>
  <c r="X153"/>
  <c r="Y153"/>
  <c r="Z153"/>
  <c r="AA153"/>
  <c r="AB153"/>
  <c r="AC153"/>
  <c r="AD153"/>
  <c r="AE153"/>
  <c r="AG153"/>
  <c r="AH153"/>
  <c r="AI153"/>
  <c r="AJ153"/>
  <c r="AK153"/>
  <c r="AL153"/>
  <c r="AM153"/>
  <c r="AN153"/>
  <c r="AP153"/>
  <c r="AQ153"/>
  <c r="AR153"/>
  <c r="AS153"/>
  <c r="AT153"/>
  <c r="AV153"/>
  <c r="AW153"/>
  <c r="AX153"/>
  <c r="AY153"/>
  <c r="AZ153"/>
  <c r="BB153"/>
  <c r="BC153"/>
  <c r="BD153"/>
  <c r="BE153"/>
  <c r="BF153"/>
  <c r="BG153"/>
  <c r="BH153"/>
  <c r="BI153"/>
  <c r="F151"/>
  <c r="G151"/>
  <c r="H151"/>
  <c r="J151"/>
  <c r="K151"/>
  <c r="L151"/>
  <c r="M151"/>
  <c r="O151"/>
  <c r="P151"/>
  <c r="Q151"/>
  <c r="R151"/>
  <c r="S151"/>
  <c r="T151"/>
  <c r="U151"/>
  <c r="V151"/>
  <c r="X151"/>
  <c r="Y151"/>
  <c r="Z151"/>
  <c r="AA151"/>
  <c r="AB151"/>
  <c r="AC151"/>
  <c r="AD151"/>
  <c r="AE151"/>
  <c r="AG151"/>
  <c r="AH151"/>
  <c r="AI151"/>
  <c r="AJ151"/>
  <c r="AM151"/>
  <c r="AN151"/>
  <c r="AS151"/>
  <c r="AT151"/>
  <c r="AV151"/>
  <c r="AW151"/>
  <c r="AX151"/>
  <c r="AY151"/>
  <c r="AZ151"/>
  <c r="BB151"/>
  <c r="BC151"/>
  <c r="BD151"/>
  <c r="BE151"/>
  <c r="BF151"/>
  <c r="BG151"/>
  <c r="BH151"/>
  <c r="BI151"/>
  <c r="AF231" i="34" l="1"/>
  <c r="AF233" s="1"/>
  <c r="BG231"/>
  <c r="BG233" s="1"/>
  <c r="CA169"/>
  <c r="CA152"/>
  <c r="Y231"/>
  <c r="Y233" s="1"/>
  <c r="BI233"/>
  <c r="AZ231"/>
  <c r="AZ233" s="1"/>
  <c r="O231"/>
  <c r="O233" s="1"/>
  <c r="BV231"/>
  <c r="BV233" s="1"/>
  <c r="BT231"/>
  <c r="BT233" s="1"/>
  <c r="BW231"/>
  <c r="BW233" s="1"/>
  <c r="BU231"/>
  <c r="BU233" s="1"/>
  <c r="CA119"/>
  <c r="BY231"/>
  <c r="BY233" s="1"/>
  <c r="CA54"/>
  <c r="CA16"/>
  <c r="CA149"/>
  <c r="BS231"/>
  <c r="BS233" s="1"/>
  <c r="AZ168" i="32"/>
  <c r="AE168"/>
  <c r="CA231" i="34" l="1"/>
  <c r="CA233" s="1"/>
  <c r="AE212" i="32"/>
  <c r="AZ212"/>
  <c r="V214" l="1"/>
  <c r="V228"/>
  <c r="V153"/>
  <c r="V212"/>
  <c r="V159"/>
  <c r="AO70" l="1"/>
  <c r="AO69"/>
  <c r="AN71"/>
  <c r="BR70"/>
  <c r="BR71" s="1"/>
  <c r="BQ70"/>
  <c r="BP70"/>
  <c r="BO70"/>
  <c r="BN70"/>
  <c r="BM70"/>
  <c r="BL70"/>
  <c r="BK70"/>
  <c r="BJ70"/>
  <c r="BA70"/>
  <c r="AU70"/>
  <c r="AF70"/>
  <c r="W70"/>
  <c r="N70"/>
  <c r="BS70" l="1"/>
  <c r="BR76"/>
  <c r="K129" i="25" l="1"/>
  <c r="K128"/>
  <c r="K126"/>
  <c r="K125"/>
  <c r="K124"/>
  <c r="K123"/>
  <c r="K122"/>
  <c r="K121"/>
  <c r="K120"/>
  <c r="K118"/>
  <c r="K115"/>
  <c r="K114"/>
  <c r="K113"/>
  <c r="K111"/>
  <c r="K108"/>
  <c r="K107"/>
  <c r="K106"/>
  <c r="K105"/>
  <c r="K104"/>
  <c r="K102"/>
  <c r="K99"/>
  <c r="K98"/>
  <c r="K97"/>
  <c r="K96"/>
  <c r="K95"/>
  <c r="K94"/>
  <c r="K93"/>
  <c r="K91"/>
  <c r="K90"/>
  <c r="K87"/>
  <c r="K85"/>
  <c r="K84"/>
  <c r="K83"/>
  <c r="K80"/>
  <c r="K79"/>
  <c r="K75"/>
  <c r="K72"/>
  <c r="K70"/>
  <c r="K69"/>
  <c r="K68"/>
  <c r="K67"/>
  <c r="K65"/>
  <c r="K64"/>
  <c r="K63"/>
  <c r="K62"/>
  <c r="K60"/>
  <c r="K59"/>
  <c r="K56"/>
  <c r="K55"/>
  <c r="K54"/>
  <c r="K49"/>
  <c r="K48"/>
  <c r="K47"/>
  <c r="K46"/>
  <c r="K45"/>
  <c r="K44"/>
  <c r="K42"/>
  <c r="K41"/>
  <c r="K40"/>
  <c r="K38"/>
  <c r="K37"/>
  <c r="K36"/>
  <c r="K35"/>
  <c r="K34"/>
  <c r="K33"/>
  <c r="K32"/>
  <c r="K30"/>
  <c r="K29"/>
  <c r="K28"/>
  <c r="K27"/>
  <c r="K26"/>
  <c r="K24"/>
  <c r="K22"/>
  <c r="K21"/>
  <c r="K20"/>
  <c r="K19"/>
  <c r="K18"/>
  <c r="K17"/>
  <c r="K16"/>
  <c r="K15"/>
  <c r="K14"/>
  <c r="K12"/>
  <c r="K10"/>
  <c r="K9"/>
  <c r="K8"/>
  <c r="K6"/>
  <c r="K5"/>
  <c r="K4"/>
  <c r="K3"/>
  <c r="BS76" i="32"/>
  <c r="BJ76"/>
  <c r="BA76"/>
  <c r="AU76"/>
  <c r="AO76"/>
  <c r="AF76"/>
  <c r="W76"/>
  <c r="N76"/>
  <c r="AH156" l="1"/>
  <c r="BR227"/>
  <c r="BR226"/>
  <c r="BR225"/>
  <c r="BR224"/>
  <c r="BR223"/>
  <c r="BR222"/>
  <c r="BR221"/>
  <c r="BR220"/>
  <c r="BR219"/>
  <c r="BR218"/>
  <c r="BR217"/>
  <c r="BR216"/>
  <c r="BR215"/>
  <c r="BR213"/>
  <c r="BR214" s="1"/>
  <c r="BR211"/>
  <c r="BR210"/>
  <c r="BR209"/>
  <c r="BR208"/>
  <c r="BR207"/>
  <c r="BR206"/>
  <c r="BR205"/>
  <c r="BR204"/>
  <c r="BR203"/>
  <c r="BR202"/>
  <c r="BR201"/>
  <c r="BR200"/>
  <c r="BR199"/>
  <c r="BR198"/>
  <c r="BR197"/>
  <c r="BR196"/>
  <c r="BR195"/>
  <c r="BR194"/>
  <c r="BR193"/>
  <c r="BR192"/>
  <c r="BR191"/>
  <c r="BR190"/>
  <c r="BR189"/>
  <c r="BR188"/>
  <c r="BR187"/>
  <c r="BR186"/>
  <c r="BR185"/>
  <c r="BR184"/>
  <c r="BR183"/>
  <c r="BR182"/>
  <c r="BR181"/>
  <c r="BR180"/>
  <c r="BR179"/>
  <c r="BR178"/>
  <c r="BR177"/>
  <c r="BR176"/>
  <c r="BR175"/>
  <c r="BR173"/>
  <c r="BR172"/>
  <c r="BR171"/>
  <c r="BR170"/>
  <c r="BR169"/>
  <c r="BR167"/>
  <c r="BR166"/>
  <c r="BR165"/>
  <c r="BR164"/>
  <c r="BR163"/>
  <c r="BR162"/>
  <c r="BR161"/>
  <c r="BR160"/>
  <c r="BR158"/>
  <c r="BR157"/>
  <c r="BR156"/>
  <c r="BR155"/>
  <c r="BR154"/>
  <c r="BR152"/>
  <c r="BR153" s="1"/>
  <c r="BR150"/>
  <c r="BR149"/>
  <c r="BR151" s="1"/>
  <c r="BR147"/>
  <c r="BR146"/>
  <c r="BR145"/>
  <c r="BR144"/>
  <c r="BR143"/>
  <c r="BR142"/>
  <c r="BR141"/>
  <c r="BR140"/>
  <c r="BR139"/>
  <c r="BR138"/>
  <c r="BR137"/>
  <c r="BR136"/>
  <c r="BR135"/>
  <c r="BR134"/>
  <c r="BR133"/>
  <c r="BR132"/>
  <c r="BR130"/>
  <c r="BR128"/>
  <c r="BR126"/>
  <c r="BR125"/>
  <c r="BR124"/>
  <c r="BR122"/>
  <c r="BR121"/>
  <c r="BR120"/>
  <c r="BR119"/>
  <c r="BR117"/>
  <c r="BR116"/>
  <c r="BR115"/>
  <c r="BR114"/>
  <c r="BR113"/>
  <c r="BR112"/>
  <c r="BR111"/>
  <c r="BR110"/>
  <c r="BR109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R87"/>
  <c r="BR85"/>
  <c r="BR86" s="1"/>
  <c r="BR83"/>
  <c r="BR82"/>
  <c r="BR81"/>
  <c r="BR80"/>
  <c r="BR79"/>
  <c r="BR78"/>
  <c r="BR77"/>
  <c r="BR75"/>
  <c r="BR74"/>
  <c r="BR72"/>
  <c r="BR73" s="1"/>
  <c r="BR69"/>
  <c r="BR67"/>
  <c r="BR66"/>
  <c r="BR65"/>
  <c r="BR64"/>
  <c r="BR62"/>
  <c r="BR61"/>
  <c r="BR60"/>
  <c r="BR59"/>
  <c r="BR58"/>
  <c r="BR57"/>
  <c r="BR56"/>
  <c r="BR55"/>
  <c r="BR53"/>
  <c r="BR52"/>
  <c r="BR51"/>
  <c r="BR50"/>
  <c r="BR49"/>
  <c r="BR48"/>
  <c r="BR47"/>
  <c r="BR46"/>
  <c r="BR44"/>
  <c r="BR43"/>
  <c r="BR42"/>
  <c r="BR41"/>
  <c r="BR40"/>
  <c r="BR39"/>
  <c r="BR38"/>
  <c r="BR37"/>
  <c r="BR36"/>
  <c r="BR34"/>
  <c r="BR33"/>
  <c r="BR32"/>
  <c r="BR31"/>
  <c r="BR29"/>
  <c r="BR28"/>
  <c r="BR26"/>
  <c r="BR25"/>
  <c r="BR24"/>
  <c r="BR23"/>
  <c r="BR22"/>
  <c r="BR20"/>
  <c r="BR19"/>
  <c r="BR18"/>
  <c r="BR17"/>
  <c r="BR15"/>
  <c r="BR14"/>
  <c r="BR13"/>
  <c r="BR12"/>
  <c r="BR11"/>
  <c r="BR10"/>
  <c r="BR9"/>
  <c r="BR8"/>
  <c r="BR7"/>
  <c r="BR6"/>
  <c r="BR5"/>
  <c r="BJ227"/>
  <c r="BJ226"/>
  <c r="BJ225"/>
  <c r="BJ223"/>
  <c r="BJ222"/>
  <c r="BJ221"/>
  <c r="BJ220"/>
  <c r="BJ219"/>
  <c r="BJ218"/>
  <c r="BJ217"/>
  <c r="BJ216"/>
  <c r="BJ215"/>
  <c r="BJ213"/>
  <c r="BJ214" s="1"/>
  <c r="BJ211"/>
  <c r="BJ210"/>
  <c r="BJ209"/>
  <c r="BJ208"/>
  <c r="BJ207"/>
  <c r="BJ206"/>
  <c r="BJ205"/>
  <c r="BJ204"/>
  <c r="BJ203"/>
  <c r="BJ202"/>
  <c r="BJ201"/>
  <c r="BJ200"/>
  <c r="BJ199"/>
  <c r="BJ198"/>
  <c r="BJ197"/>
  <c r="BJ196"/>
  <c r="BJ195"/>
  <c r="BJ194"/>
  <c r="BJ193"/>
  <c r="BJ192"/>
  <c r="BJ191"/>
  <c r="BJ190"/>
  <c r="BJ189"/>
  <c r="BJ188"/>
  <c r="BJ186"/>
  <c r="BJ185"/>
  <c r="BJ184"/>
  <c r="BJ183"/>
  <c r="BJ182"/>
  <c r="BJ181"/>
  <c r="BJ180"/>
  <c r="BJ179"/>
  <c r="BJ178"/>
  <c r="BJ177"/>
  <c r="BJ175"/>
  <c r="BJ173"/>
  <c r="BJ172"/>
  <c r="BJ171"/>
  <c r="BJ170"/>
  <c r="BJ169"/>
  <c r="BJ167"/>
  <c r="BJ166"/>
  <c r="BJ165"/>
  <c r="BJ164"/>
  <c r="BJ163"/>
  <c r="BJ162"/>
  <c r="BJ161"/>
  <c r="BJ160"/>
  <c r="BJ158"/>
  <c r="BJ157"/>
  <c r="BJ156"/>
  <c r="BJ155"/>
  <c r="BJ154"/>
  <c r="BJ152"/>
  <c r="BJ153" s="1"/>
  <c r="BJ150"/>
  <c r="BJ149"/>
  <c r="BJ151" s="1"/>
  <c r="BJ147"/>
  <c r="BJ146"/>
  <c r="BJ145"/>
  <c r="BJ144"/>
  <c r="BJ143"/>
  <c r="BJ142"/>
  <c r="BJ141"/>
  <c r="BJ140"/>
  <c r="BJ139"/>
  <c r="BJ138"/>
  <c r="BJ137"/>
  <c r="BJ136"/>
  <c r="BJ135"/>
  <c r="BJ134"/>
  <c r="BJ133"/>
  <c r="BJ130"/>
  <c r="BJ131" s="1"/>
  <c r="BJ128"/>
  <c r="BJ126"/>
  <c r="BJ125"/>
  <c r="BJ124"/>
  <c r="BJ122"/>
  <c r="BJ121"/>
  <c r="BJ120"/>
  <c r="BJ119"/>
  <c r="BJ117"/>
  <c r="BJ116"/>
  <c r="BJ115"/>
  <c r="BJ114"/>
  <c r="BJ113"/>
  <c r="BJ112"/>
  <c r="BJ111"/>
  <c r="BJ110"/>
  <c r="BJ109"/>
  <c r="BJ108"/>
  <c r="BJ107"/>
  <c r="BJ106"/>
  <c r="BJ105"/>
  <c r="BJ103"/>
  <c r="BJ102"/>
  <c r="BJ101"/>
  <c r="BJ100"/>
  <c r="BJ99"/>
  <c r="BJ98"/>
  <c r="BJ97"/>
  <c r="BJ96"/>
  <c r="BJ95"/>
  <c r="BJ94"/>
  <c r="BJ93"/>
  <c r="BJ92"/>
  <c r="BJ91"/>
  <c r="BJ90"/>
  <c r="BJ89"/>
  <c r="BJ88"/>
  <c r="BJ85"/>
  <c r="BJ83"/>
  <c r="BJ82"/>
  <c r="BJ81"/>
  <c r="BJ80"/>
  <c r="BJ79"/>
  <c r="BJ78"/>
  <c r="BJ77"/>
  <c r="BJ75"/>
  <c r="BJ74"/>
  <c r="BJ72"/>
  <c r="BJ69"/>
  <c r="BJ67"/>
  <c r="BJ66"/>
  <c r="BJ65"/>
  <c r="BJ64"/>
  <c r="BJ62"/>
  <c r="BJ61"/>
  <c r="BJ60"/>
  <c r="BJ59"/>
  <c r="BJ58"/>
  <c r="BJ57"/>
  <c r="BJ56"/>
  <c r="BJ55"/>
  <c r="BJ53"/>
  <c r="BJ52"/>
  <c r="BJ51"/>
  <c r="BJ50"/>
  <c r="BJ49"/>
  <c r="BJ48"/>
  <c r="BJ47"/>
  <c r="BJ46"/>
  <c r="BJ44"/>
  <c r="BJ43"/>
  <c r="BJ42"/>
  <c r="BJ41"/>
  <c r="BJ40"/>
  <c r="BJ39"/>
  <c r="BJ38"/>
  <c r="BJ37"/>
  <c r="BJ36"/>
  <c r="BJ34"/>
  <c r="BJ33"/>
  <c r="BJ32"/>
  <c r="BJ31"/>
  <c r="BJ29"/>
  <c r="BJ28"/>
  <c r="BJ26"/>
  <c r="BJ25"/>
  <c r="BJ24"/>
  <c r="BJ23"/>
  <c r="BJ22"/>
  <c r="BJ20"/>
  <c r="BJ19"/>
  <c r="BJ18"/>
  <c r="BJ17"/>
  <c r="BJ15"/>
  <c r="BJ14"/>
  <c r="BJ13"/>
  <c r="BJ12"/>
  <c r="BJ11"/>
  <c r="BJ10"/>
  <c r="BJ9"/>
  <c r="BJ8"/>
  <c r="BJ7"/>
  <c r="BJ6"/>
  <c r="BJ5"/>
  <c r="BI174"/>
  <c r="BI148"/>
  <c r="BI131"/>
  <c r="BI129"/>
  <c r="BI127"/>
  <c r="BI123"/>
  <c r="BI118"/>
  <c r="BI86"/>
  <c r="BI84"/>
  <c r="BI73"/>
  <c r="BI71"/>
  <c r="BI68"/>
  <c r="BI63"/>
  <c r="BI54"/>
  <c r="BI45"/>
  <c r="BI35"/>
  <c r="BI30"/>
  <c r="BI27"/>
  <c r="BI21"/>
  <c r="BI16"/>
  <c r="BA227"/>
  <c r="BA226"/>
  <c r="BA225"/>
  <c r="BA224"/>
  <c r="BA223"/>
  <c r="BA222"/>
  <c r="BA221"/>
  <c r="BA220"/>
  <c r="BA219"/>
  <c r="BA218"/>
  <c r="BA217"/>
  <c r="BA216"/>
  <c r="BA215"/>
  <c r="BA213"/>
  <c r="BA214" s="1"/>
  <c r="BA211"/>
  <c r="BA210"/>
  <c r="BA209"/>
  <c r="BA208"/>
  <c r="BA207"/>
  <c r="BA206"/>
  <c r="BA205"/>
  <c r="BA204"/>
  <c r="BA203"/>
  <c r="BA202"/>
  <c r="BA201"/>
  <c r="BA200"/>
  <c r="BA199"/>
  <c r="BA197"/>
  <c r="BA196"/>
  <c r="BA195"/>
  <c r="BA194"/>
  <c r="BA193"/>
  <c r="BA192"/>
  <c r="BA191"/>
  <c r="BA190"/>
  <c r="BA189"/>
  <c r="BA188"/>
  <c r="BA186"/>
  <c r="BA185"/>
  <c r="BA184"/>
  <c r="BA183"/>
  <c r="BA182"/>
  <c r="BA181"/>
  <c r="BA180"/>
  <c r="BA179"/>
  <c r="BA178"/>
  <c r="BA177"/>
  <c r="BA176"/>
  <c r="BA175"/>
  <c r="BA173"/>
  <c r="BA172"/>
  <c r="BA171"/>
  <c r="BA170"/>
  <c r="BA169"/>
  <c r="BA167"/>
  <c r="BA166"/>
  <c r="BA164"/>
  <c r="BA163"/>
  <c r="BA162"/>
  <c r="BA161"/>
  <c r="BA160"/>
  <c r="BA158"/>
  <c r="BA157"/>
  <c r="BA156"/>
  <c r="BA155"/>
  <c r="BA154"/>
  <c r="BA152"/>
  <c r="BA153" s="1"/>
  <c r="BA150"/>
  <c r="BA149"/>
  <c r="BA147"/>
  <c r="BA146"/>
  <c r="BA145"/>
  <c r="BA144"/>
  <c r="BA143"/>
  <c r="BA142"/>
  <c r="BA141"/>
  <c r="BA140"/>
  <c r="BA138"/>
  <c r="BA137"/>
  <c r="BA136"/>
  <c r="BA134"/>
  <c r="BA132"/>
  <c r="BA130"/>
  <c r="BA131" s="1"/>
  <c r="BA128"/>
  <c r="BA129" s="1"/>
  <c r="BA126"/>
  <c r="BA125"/>
  <c r="BA124"/>
  <c r="BA122"/>
  <c r="BA121"/>
  <c r="BA120"/>
  <c r="BA119"/>
  <c r="BA117"/>
  <c r="BA116"/>
  <c r="BA115"/>
  <c r="BA114"/>
  <c r="BA113"/>
  <c r="BA112"/>
  <c r="BA111"/>
  <c r="BA110"/>
  <c r="BA109"/>
  <c r="BA108"/>
  <c r="BA107"/>
  <c r="BA106"/>
  <c r="BA104"/>
  <c r="BA103"/>
  <c r="BA102"/>
  <c r="BA101"/>
  <c r="BA100"/>
  <c r="BA99"/>
  <c r="BA97"/>
  <c r="BA96"/>
  <c r="BA95"/>
  <c r="BA94"/>
  <c r="BA93"/>
  <c r="BA92"/>
  <c r="BA91"/>
  <c r="BA90"/>
  <c r="BA89"/>
  <c r="BA88"/>
  <c r="BA85"/>
  <c r="BA86" s="1"/>
  <c r="BA83"/>
  <c r="BA82"/>
  <c r="BA81"/>
  <c r="BA80"/>
  <c r="BA79"/>
  <c r="BA78"/>
  <c r="BA77"/>
  <c r="BA75"/>
  <c r="BA74"/>
  <c r="BA72"/>
  <c r="BA69"/>
  <c r="BA71" s="1"/>
  <c r="BA67"/>
  <c r="BA66"/>
  <c r="BA65"/>
  <c r="BA64"/>
  <c r="BA62"/>
  <c r="BA61"/>
  <c r="BA60"/>
  <c r="BA59"/>
  <c r="BA58"/>
  <c r="BA57"/>
  <c r="BA56"/>
  <c r="BA55"/>
  <c r="BA53"/>
  <c r="BA52"/>
  <c r="BA51"/>
  <c r="BA50"/>
  <c r="BA49"/>
  <c r="BA48"/>
  <c r="BA47"/>
  <c r="BA46"/>
  <c r="BA44"/>
  <c r="BA43"/>
  <c r="BA42"/>
  <c r="BA41"/>
  <c r="BA40"/>
  <c r="BA39"/>
  <c r="BA38"/>
  <c r="BA37"/>
  <c r="BA36"/>
  <c r="BA34"/>
  <c r="BA33"/>
  <c r="BA29"/>
  <c r="BA28"/>
  <c r="BA26"/>
  <c r="BA25"/>
  <c r="BA24"/>
  <c r="BA23"/>
  <c r="BA22"/>
  <c r="BA20"/>
  <c r="BA19"/>
  <c r="BA18"/>
  <c r="BA17"/>
  <c r="BA15"/>
  <c r="BA14"/>
  <c r="BA13"/>
  <c r="BA12"/>
  <c r="BA11"/>
  <c r="BA10"/>
  <c r="BA8"/>
  <c r="BA7"/>
  <c r="BA6"/>
  <c r="BA5"/>
  <c r="AZ174"/>
  <c r="AZ148"/>
  <c r="AZ131"/>
  <c r="AZ129"/>
  <c r="AZ127"/>
  <c r="AZ123"/>
  <c r="AZ118"/>
  <c r="AZ86"/>
  <c r="AZ84"/>
  <c r="AZ73"/>
  <c r="AZ71"/>
  <c r="AZ68"/>
  <c r="AZ63"/>
  <c r="AZ54"/>
  <c r="AZ45"/>
  <c r="AZ35"/>
  <c r="AZ30"/>
  <c r="AZ27"/>
  <c r="AZ21"/>
  <c r="AZ16"/>
  <c r="AU227"/>
  <c r="AU226"/>
  <c r="AU225"/>
  <c r="AU224"/>
  <c r="AU221"/>
  <c r="AU217"/>
  <c r="AU215"/>
  <c r="AU213"/>
  <c r="AU214" s="1"/>
  <c r="AU211"/>
  <c r="AU210"/>
  <c r="AU209"/>
  <c r="AU208"/>
  <c r="AU207"/>
  <c r="AU206"/>
  <c r="AU205"/>
  <c r="AU204"/>
  <c r="AU203"/>
  <c r="AU202"/>
  <c r="AU201"/>
  <c r="AU200"/>
  <c r="AU199"/>
  <c r="AU198"/>
  <c r="AU197"/>
  <c r="AU196"/>
  <c r="AU195"/>
  <c r="AU194"/>
  <c r="AU192"/>
  <c r="AU190"/>
  <c r="AU189"/>
  <c r="AU188"/>
  <c r="AU187"/>
  <c r="AU185"/>
  <c r="AU184"/>
  <c r="AU183"/>
  <c r="AU181"/>
  <c r="AU180"/>
  <c r="AU177"/>
  <c r="AU175"/>
  <c r="AU173"/>
  <c r="AU172"/>
  <c r="AU171"/>
  <c r="AU170"/>
  <c r="AU169"/>
  <c r="AU167"/>
  <c r="AU166"/>
  <c r="AU165"/>
  <c r="AU164"/>
  <c r="AU163"/>
  <c r="AU162"/>
  <c r="AU161"/>
  <c r="AU160"/>
  <c r="AU158"/>
  <c r="AU157"/>
  <c r="AU156"/>
  <c r="AU155"/>
  <c r="AU154"/>
  <c r="AU152"/>
  <c r="AU153" s="1"/>
  <c r="AU149"/>
  <c r="AU147"/>
  <c r="AU146"/>
  <c r="AU145"/>
  <c r="AU144"/>
  <c r="AU143"/>
  <c r="AU141"/>
  <c r="AU140"/>
  <c r="AU139"/>
  <c r="AU138"/>
  <c r="AU137"/>
  <c r="AU136"/>
  <c r="AU135"/>
  <c r="AU134"/>
  <c r="AU133"/>
  <c r="AU132"/>
  <c r="AU130"/>
  <c r="AU131" s="1"/>
  <c r="AU128"/>
  <c r="AU129" s="1"/>
  <c r="AU126"/>
  <c r="AU125"/>
  <c r="AU124"/>
  <c r="AU122"/>
  <c r="AU121"/>
  <c r="AU120"/>
  <c r="AU119"/>
  <c r="AU117"/>
  <c r="AU114"/>
  <c r="AU113"/>
  <c r="AU112"/>
  <c r="AU111"/>
  <c r="AU110"/>
  <c r="AU109"/>
  <c r="AU107"/>
  <c r="AU106"/>
  <c r="AU105"/>
  <c r="AU103"/>
  <c r="AU100"/>
  <c r="AU99"/>
  <c r="AU98"/>
  <c r="AU97"/>
  <c r="AU96"/>
  <c r="AU95"/>
  <c r="AU93"/>
  <c r="AU92"/>
  <c r="AU91"/>
  <c r="AU90"/>
  <c r="AU89"/>
  <c r="AU87"/>
  <c r="AU85"/>
  <c r="AU86" s="1"/>
  <c r="AU83"/>
  <c r="AU82"/>
  <c r="AU81"/>
  <c r="AU80"/>
  <c r="AU79"/>
  <c r="AU78"/>
  <c r="AU77"/>
  <c r="AU75"/>
  <c r="AU74"/>
  <c r="AU72"/>
  <c r="AU73" s="1"/>
  <c r="AU69"/>
  <c r="AU67"/>
  <c r="AU64"/>
  <c r="AU62"/>
  <c r="AU61"/>
  <c r="AU60"/>
  <c r="AU59"/>
  <c r="AU58"/>
  <c r="AU57"/>
  <c r="AU56"/>
  <c r="AU55"/>
  <c r="AU52"/>
  <c r="AU51"/>
  <c r="AU49"/>
  <c r="AU48"/>
  <c r="AU46"/>
  <c r="AU44"/>
  <c r="AU43"/>
  <c r="AU42"/>
  <c r="AU41"/>
  <c r="AU39"/>
  <c r="AU38"/>
  <c r="AU37"/>
  <c r="AU36"/>
  <c r="AU34"/>
  <c r="AU33"/>
  <c r="AU32"/>
  <c r="AU31"/>
  <c r="AU29"/>
  <c r="AU28"/>
  <c r="AU26"/>
  <c r="AU25"/>
  <c r="AU24"/>
  <c r="AU20"/>
  <c r="AU19"/>
  <c r="AU18"/>
  <c r="AU17"/>
  <c r="AU15"/>
  <c r="AU13"/>
  <c r="AU12"/>
  <c r="AU10"/>
  <c r="AU9"/>
  <c r="AT174"/>
  <c r="AT148"/>
  <c r="AT131"/>
  <c r="AT129"/>
  <c r="AT127"/>
  <c r="AT123"/>
  <c r="AT118"/>
  <c r="AT86"/>
  <c r="AT84"/>
  <c r="AT73"/>
  <c r="AT71"/>
  <c r="AT68"/>
  <c r="AT63"/>
  <c r="AT54"/>
  <c r="AT45"/>
  <c r="AT35"/>
  <c r="AT30"/>
  <c r="AT27"/>
  <c r="AT21"/>
  <c r="AT16"/>
  <c r="AO19"/>
  <c r="AO227"/>
  <c r="AO225"/>
  <c r="AO224"/>
  <c r="AO223"/>
  <c r="AO222"/>
  <c r="AO221"/>
  <c r="AO220"/>
  <c r="AO219"/>
  <c r="AO218"/>
  <c r="AO217"/>
  <c r="AO216"/>
  <c r="AO215"/>
  <c r="AO213"/>
  <c r="AO214" s="1"/>
  <c r="AO210"/>
  <c r="AO209"/>
  <c r="AO208"/>
  <c r="AO207"/>
  <c r="AO206"/>
  <c r="AO205"/>
  <c r="AO203"/>
  <c r="AO201"/>
  <c r="AO200"/>
  <c r="AO198"/>
  <c r="AO197"/>
  <c r="AO196"/>
  <c r="AO195"/>
  <c r="AO194"/>
  <c r="AO193"/>
  <c r="AO192"/>
  <c r="AO191"/>
  <c r="AO190"/>
  <c r="AO189"/>
  <c r="AO187"/>
  <c r="AO186"/>
  <c r="AO185"/>
  <c r="AO184"/>
  <c r="AO183"/>
  <c r="AO182"/>
  <c r="AO181"/>
  <c r="AO180"/>
  <c r="AO179"/>
  <c r="AO178"/>
  <c r="AO177"/>
  <c r="AO176"/>
  <c r="AO173"/>
  <c r="AO172"/>
  <c r="AO169"/>
  <c r="AO167"/>
  <c r="AO165"/>
  <c r="AO163"/>
  <c r="AO162"/>
  <c r="AO160"/>
  <c r="AO158"/>
  <c r="AO157"/>
  <c r="AO155"/>
  <c r="AO154"/>
  <c r="AO152"/>
  <c r="AO153" s="1"/>
  <c r="AO150"/>
  <c r="AO147"/>
  <c r="AO146"/>
  <c r="AO145"/>
  <c r="AO144"/>
  <c r="AO143"/>
  <c r="AO142"/>
  <c r="AO141"/>
  <c r="AO140"/>
  <c r="AO139"/>
  <c r="AO138"/>
  <c r="AO137"/>
  <c r="AO136"/>
  <c r="AO135"/>
  <c r="AO133"/>
  <c r="AO132"/>
  <c r="AO130"/>
  <c r="AO128"/>
  <c r="AO129" s="1"/>
  <c r="AO126"/>
  <c r="AO125"/>
  <c r="AO124"/>
  <c r="AO122"/>
  <c r="AO120"/>
  <c r="AO119"/>
  <c r="AO117"/>
  <c r="AO116"/>
  <c r="AO115"/>
  <c r="AO114"/>
  <c r="AO113"/>
  <c r="AO112"/>
  <c r="AO111"/>
  <c r="AO109"/>
  <c r="AO108"/>
  <c r="AO107"/>
  <c r="AO105"/>
  <c r="AO104"/>
  <c r="AO103"/>
  <c r="AO102"/>
  <c r="AO101"/>
  <c r="AO100"/>
  <c r="AO99"/>
  <c r="AO98"/>
  <c r="AO97"/>
  <c r="AO96"/>
  <c r="AO95"/>
  <c r="AO94"/>
  <c r="AO91"/>
  <c r="AO90"/>
  <c r="AO85"/>
  <c r="AO83"/>
  <c r="AO82"/>
  <c r="AO81"/>
  <c r="AO79"/>
  <c r="AO78"/>
  <c r="AO77"/>
  <c r="AO75"/>
  <c r="AO74"/>
  <c r="AO72"/>
  <c r="AO73" s="1"/>
  <c r="AO71"/>
  <c r="AO67"/>
  <c r="AO66"/>
  <c r="AO65"/>
  <c r="AO64"/>
  <c r="AO62"/>
  <c r="AO61"/>
  <c r="AO59"/>
  <c r="AO58"/>
  <c r="AO57"/>
  <c r="AO56"/>
  <c r="AO53"/>
  <c r="AO52"/>
  <c r="AO51"/>
  <c r="AO50"/>
  <c r="AO49"/>
  <c r="AO48"/>
  <c r="AO47"/>
  <c r="AO44"/>
  <c r="AO43"/>
  <c r="AO42"/>
  <c r="AO41"/>
  <c r="AO39"/>
  <c r="AO38"/>
  <c r="AO36"/>
  <c r="AO34"/>
  <c r="AO33"/>
  <c r="AO32"/>
  <c r="AO31"/>
  <c r="AO29"/>
  <c r="AO28"/>
  <c r="AO26"/>
  <c r="AO24"/>
  <c r="AO22"/>
  <c r="AO20"/>
  <c r="AO18"/>
  <c r="AO17"/>
  <c r="AO15"/>
  <c r="AO13"/>
  <c r="AO11"/>
  <c r="AO9"/>
  <c r="AO6"/>
  <c r="AN174"/>
  <c r="AN148"/>
  <c r="AN131"/>
  <c r="AN129"/>
  <c r="AN127"/>
  <c r="AN123"/>
  <c r="AN118"/>
  <c r="AN86"/>
  <c r="AN84"/>
  <c r="AN73"/>
  <c r="AN68"/>
  <c r="AN63"/>
  <c r="AN54"/>
  <c r="AN45"/>
  <c r="AN35"/>
  <c r="AN30"/>
  <c r="AN27"/>
  <c r="AN21"/>
  <c r="AN16"/>
  <c r="AF227"/>
  <c r="AF226"/>
  <c r="AF225"/>
  <c r="AF224"/>
  <c r="AF223"/>
  <c r="AF222"/>
  <c r="AF221"/>
  <c r="AF220"/>
  <c r="AF219"/>
  <c r="AF218"/>
  <c r="AF217"/>
  <c r="AF216"/>
  <c r="AF215"/>
  <c r="AF213"/>
  <c r="AF214" s="1"/>
  <c r="AF211"/>
  <c r="AF210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4"/>
  <c r="AF182"/>
  <c r="AF181"/>
  <c r="AF180"/>
  <c r="AF179"/>
  <c r="AF178"/>
  <c r="AF177"/>
  <c r="AF176"/>
  <c r="AF175"/>
  <c r="AF173"/>
  <c r="AF172"/>
  <c r="AF171"/>
  <c r="AF170"/>
  <c r="AF169"/>
  <c r="AF166"/>
  <c r="AF165"/>
  <c r="AF164"/>
  <c r="AF163"/>
  <c r="AF161"/>
  <c r="AF160"/>
  <c r="AF158"/>
  <c r="AF157"/>
  <c r="AF156"/>
  <c r="AF155"/>
  <c r="AF154"/>
  <c r="AF152"/>
  <c r="AF153" s="1"/>
  <c r="AF150"/>
  <c r="AF149"/>
  <c r="AF147"/>
  <c r="AF146"/>
  <c r="AF145"/>
  <c r="AF143"/>
  <c r="AF142"/>
  <c r="AF141"/>
  <c r="AF140"/>
  <c r="AF139"/>
  <c r="AF138"/>
  <c r="AF137"/>
  <c r="AF136"/>
  <c r="AF135"/>
  <c r="AF134"/>
  <c r="AF133"/>
  <c r="AF132"/>
  <c r="AF130"/>
  <c r="AF131" s="1"/>
  <c r="AF128"/>
  <c r="AF129" s="1"/>
  <c r="AF126"/>
  <c r="AF125"/>
  <c r="AF124"/>
  <c r="AF122"/>
  <c r="AF121"/>
  <c r="AF120"/>
  <c r="AF119"/>
  <c r="AF117"/>
  <c r="AF116"/>
  <c r="AF115"/>
  <c r="AF114"/>
  <c r="AF113"/>
  <c r="AF112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5"/>
  <c r="AF86" s="1"/>
  <c r="AF83"/>
  <c r="AF82"/>
  <c r="AF81"/>
  <c r="AF80"/>
  <c r="AF79"/>
  <c r="AF78"/>
  <c r="AF77"/>
  <c r="AF75"/>
  <c r="AF74"/>
  <c r="AF69"/>
  <c r="AF71" s="1"/>
  <c r="AF67"/>
  <c r="AF66"/>
  <c r="AF65"/>
  <c r="AF64"/>
  <c r="AF62"/>
  <c r="AF61"/>
  <c r="AF60"/>
  <c r="AF59"/>
  <c r="AF58"/>
  <c r="AF57"/>
  <c r="AF56"/>
  <c r="AF55"/>
  <c r="AF53"/>
  <c r="AF51"/>
  <c r="AF50"/>
  <c r="AF49"/>
  <c r="AF48"/>
  <c r="AF47"/>
  <c r="AF46"/>
  <c r="AF44"/>
  <c r="AF43"/>
  <c r="AF42"/>
  <c r="AF41"/>
  <c r="AF40"/>
  <c r="AF39"/>
  <c r="AF38"/>
  <c r="AF37"/>
  <c r="AF36"/>
  <c r="AF34"/>
  <c r="AF33"/>
  <c r="AF32"/>
  <c r="AF31"/>
  <c r="AF29"/>
  <c r="AF28"/>
  <c r="AF26"/>
  <c r="AF25"/>
  <c r="AF24"/>
  <c r="AF23"/>
  <c r="AF22"/>
  <c r="AF20"/>
  <c r="AF19"/>
  <c r="AF18"/>
  <c r="AF17"/>
  <c r="AF15"/>
  <c r="AF14"/>
  <c r="AF13"/>
  <c r="AF12"/>
  <c r="AF11"/>
  <c r="AF10"/>
  <c r="AF9"/>
  <c r="AF8"/>
  <c r="AF7"/>
  <c r="AF6"/>
  <c r="AF5"/>
  <c r="AE174"/>
  <c r="AE148"/>
  <c r="AE131"/>
  <c r="AE129"/>
  <c r="AE127"/>
  <c r="AE123"/>
  <c r="AE118"/>
  <c r="AE86"/>
  <c r="AE84"/>
  <c r="AE73"/>
  <c r="AE71"/>
  <c r="AE68"/>
  <c r="AE63"/>
  <c r="AE54"/>
  <c r="AE45"/>
  <c r="AE35"/>
  <c r="AE30"/>
  <c r="AE27"/>
  <c r="AE21"/>
  <c r="AE16"/>
  <c r="W227"/>
  <c r="W226"/>
  <c r="W225"/>
  <c r="W223"/>
  <c r="W222"/>
  <c r="W221"/>
  <c r="W220"/>
  <c r="W219"/>
  <c r="W218"/>
  <c r="W217"/>
  <c r="W216"/>
  <c r="W215"/>
  <c r="W211"/>
  <c r="W210"/>
  <c r="W209"/>
  <c r="W207"/>
  <c r="W206"/>
  <c r="W205"/>
  <c r="W204"/>
  <c r="W203"/>
  <c r="W202"/>
  <c r="W201"/>
  <c r="W200"/>
  <c r="W199"/>
  <c r="W198"/>
  <c r="W197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2"/>
  <c r="W171"/>
  <c r="W170"/>
  <c r="W169"/>
  <c r="W167"/>
  <c r="W166"/>
  <c r="W165"/>
  <c r="W164"/>
  <c r="W163"/>
  <c r="W162"/>
  <c r="W161"/>
  <c r="W160"/>
  <c r="W158"/>
  <c r="W157"/>
  <c r="W156"/>
  <c r="W154"/>
  <c r="W150"/>
  <c r="W149"/>
  <c r="W144"/>
  <c r="W143"/>
  <c r="W142"/>
  <c r="W141"/>
  <c r="W140"/>
  <c r="W139"/>
  <c r="W138"/>
  <c r="W137"/>
  <c r="W136"/>
  <c r="W135"/>
  <c r="W134"/>
  <c r="W133"/>
  <c r="W132"/>
  <c r="W130"/>
  <c r="W128"/>
  <c r="W129" s="1"/>
  <c r="W126"/>
  <c r="W125"/>
  <c r="W124"/>
  <c r="W122"/>
  <c r="W121"/>
  <c r="W119"/>
  <c r="W117"/>
  <c r="W116"/>
  <c r="W115"/>
  <c r="W114"/>
  <c r="W113"/>
  <c r="W112"/>
  <c r="W111"/>
  <c r="W110"/>
  <c r="W109"/>
  <c r="W108"/>
  <c r="W106"/>
  <c r="W105"/>
  <c r="W104"/>
  <c r="W103"/>
  <c r="W102"/>
  <c r="W101"/>
  <c r="W100"/>
  <c r="W98"/>
  <c r="W96"/>
  <c r="W94"/>
  <c r="W93"/>
  <c r="W92"/>
  <c r="W91"/>
  <c r="W90"/>
  <c r="W89"/>
  <c r="W88"/>
  <c r="W87"/>
  <c r="W85"/>
  <c r="W86" s="1"/>
  <c r="W83"/>
  <c r="W82"/>
  <c r="W81"/>
  <c r="W80"/>
  <c r="W79"/>
  <c r="W78"/>
  <c r="W77"/>
  <c r="W75"/>
  <c r="W74"/>
  <c r="W72"/>
  <c r="W73" s="1"/>
  <c r="W69"/>
  <c r="W67"/>
  <c r="W66"/>
  <c r="W65"/>
  <c r="W64"/>
  <c r="W62"/>
  <c r="W61"/>
  <c r="W60"/>
  <c r="W59"/>
  <c r="W58"/>
  <c r="W57"/>
  <c r="W56"/>
  <c r="W55"/>
  <c r="W53"/>
  <c r="W52"/>
  <c r="W51"/>
  <c r="W50"/>
  <c r="W49"/>
  <c r="W48"/>
  <c r="W47"/>
  <c r="W46"/>
  <c r="W44"/>
  <c r="W43"/>
  <c r="W42"/>
  <c r="W41"/>
  <c r="W40"/>
  <c r="W39"/>
  <c r="W37"/>
  <c r="W36"/>
  <c r="W34"/>
  <c r="W33"/>
  <c r="W32"/>
  <c r="W31"/>
  <c r="W29"/>
  <c r="W28"/>
  <c r="W26"/>
  <c r="W25"/>
  <c r="W24"/>
  <c r="W23"/>
  <c r="W22"/>
  <c r="W20"/>
  <c r="W19"/>
  <c r="W18"/>
  <c r="W17"/>
  <c r="W14"/>
  <c r="W12"/>
  <c r="W11"/>
  <c r="W10"/>
  <c r="W9"/>
  <c r="W8"/>
  <c r="W7"/>
  <c r="W6"/>
  <c r="W5"/>
  <c r="V174"/>
  <c r="V148"/>
  <c r="V131"/>
  <c r="V129"/>
  <c r="V127"/>
  <c r="V123"/>
  <c r="V118"/>
  <c r="V86"/>
  <c r="V84"/>
  <c r="V73"/>
  <c r="V71"/>
  <c r="V68"/>
  <c r="V63"/>
  <c r="V54"/>
  <c r="V45"/>
  <c r="V35"/>
  <c r="V30"/>
  <c r="V27"/>
  <c r="V21"/>
  <c r="V16"/>
  <c r="BR131"/>
  <c r="BR129"/>
  <c r="N227"/>
  <c r="N226"/>
  <c r="N224"/>
  <c r="N223"/>
  <c r="N220"/>
  <c r="N218"/>
  <c r="N217"/>
  <c r="N213"/>
  <c r="N214" s="1"/>
  <c r="N211"/>
  <c r="N210"/>
  <c r="N209"/>
  <c r="N207"/>
  <c r="N206"/>
  <c r="N205"/>
  <c r="N204"/>
  <c r="N203"/>
  <c r="N202"/>
  <c r="N201"/>
  <c r="N200"/>
  <c r="N199"/>
  <c r="N197"/>
  <c r="N192"/>
  <c r="N190"/>
  <c r="N188"/>
  <c r="N185"/>
  <c r="N184"/>
  <c r="N181"/>
  <c r="N180"/>
  <c r="N177"/>
  <c r="N175"/>
  <c r="N173"/>
  <c r="N172"/>
  <c r="N171"/>
  <c r="N170"/>
  <c r="N169"/>
  <c r="N167"/>
  <c r="N166"/>
  <c r="N165"/>
  <c r="N164"/>
  <c r="N163"/>
  <c r="N162"/>
  <c r="N161"/>
  <c r="N157"/>
  <c r="N156"/>
  <c r="N155"/>
  <c r="N152"/>
  <c r="N153" s="1"/>
  <c r="N149"/>
  <c r="N146"/>
  <c r="N145"/>
  <c r="N144"/>
  <c r="N141"/>
  <c r="N140"/>
  <c r="N139"/>
  <c r="N138"/>
  <c r="N136"/>
  <c r="N135"/>
  <c r="N134"/>
  <c r="N133"/>
  <c r="N132"/>
  <c r="N126"/>
  <c r="N124"/>
  <c r="N122"/>
  <c r="N121"/>
  <c r="N120"/>
  <c r="N119"/>
  <c r="N117"/>
  <c r="N114"/>
  <c r="N113"/>
  <c r="N111"/>
  <c r="N109"/>
  <c r="N107"/>
  <c r="N106"/>
  <c r="N103"/>
  <c r="N100"/>
  <c r="N99"/>
  <c r="N97"/>
  <c r="N96"/>
  <c r="N92"/>
  <c r="N91"/>
  <c r="N89"/>
  <c r="N82"/>
  <c r="N81"/>
  <c r="N80"/>
  <c r="N77"/>
  <c r="N74"/>
  <c r="N72"/>
  <c r="N73" s="1"/>
  <c r="N69"/>
  <c r="N71" s="1"/>
  <c r="N67"/>
  <c r="N65"/>
  <c r="N64"/>
  <c r="N62"/>
  <c r="N60"/>
  <c r="N57"/>
  <c r="N56"/>
  <c r="N55"/>
  <c r="N49"/>
  <c r="N48"/>
  <c r="N46"/>
  <c r="N44"/>
  <c r="N42"/>
  <c r="N41"/>
  <c r="N39"/>
  <c r="N38"/>
  <c r="N37"/>
  <c r="N34"/>
  <c r="N33"/>
  <c r="N31"/>
  <c r="N29"/>
  <c r="N28"/>
  <c r="N26"/>
  <c r="N25"/>
  <c r="N19"/>
  <c r="N17"/>
  <c r="N13"/>
  <c r="N12"/>
  <c r="N11"/>
  <c r="N10"/>
  <c r="N9"/>
  <c r="M174"/>
  <c r="M148"/>
  <c r="M131"/>
  <c r="M129"/>
  <c r="M127"/>
  <c r="M123"/>
  <c r="M118"/>
  <c r="M86"/>
  <c r="M84"/>
  <c r="M73"/>
  <c r="M71"/>
  <c r="M68"/>
  <c r="M63"/>
  <c r="M54"/>
  <c r="M45"/>
  <c r="M35"/>
  <c r="M30"/>
  <c r="M27"/>
  <c r="M21"/>
  <c r="M16"/>
  <c r="BQ227"/>
  <c r="BP227"/>
  <c r="BO227"/>
  <c r="BN227"/>
  <c r="BM227"/>
  <c r="BL227"/>
  <c r="BK227"/>
  <c r="BQ226"/>
  <c r="BN226"/>
  <c r="BM226"/>
  <c r="BL226"/>
  <c r="BK226"/>
  <c r="AL226"/>
  <c r="AL228" s="1"/>
  <c r="AK226"/>
  <c r="AK228" s="1"/>
  <c r="BQ225"/>
  <c r="BN225"/>
  <c r="BL225"/>
  <c r="BK225"/>
  <c r="K225"/>
  <c r="BP225" s="1"/>
  <c r="J225"/>
  <c r="BO225" s="1"/>
  <c r="H225"/>
  <c r="BN224"/>
  <c r="BK224"/>
  <c r="BD224"/>
  <c r="BD228" s="1"/>
  <c r="U224"/>
  <c r="T224"/>
  <c r="T228" s="1"/>
  <c r="S224"/>
  <c r="S228" s="1"/>
  <c r="Q224"/>
  <c r="Q228" s="1"/>
  <c r="P224"/>
  <c r="P228" s="1"/>
  <c r="BQ223"/>
  <c r="BN223"/>
  <c r="BM223"/>
  <c r="BL223"/>
  <c r="BK223"/>
  <c r="AR223"/>
  <c r="BP223" s="1"/>
  <c r="AQ223"/>
  <c r="BQ222"/>
  <c r="BL222"/>
  <c r="BK222"/>
  <c r="AR222"/>
  <c r="BP222" s="1"/>
  <c r="AQ222"/>
  <c r="I222"/>
  <c r="I228" s="1"/>
  <c r="H222"/>
  <c r="BM222" s="1"/>
  <c r="BQ221"/>
  <c r="BN221"/>
  <c r="BL221"/>
  <c r="BK221"/>
  <c r="K221"/>
  <c r="BP221" s="1"/>
  <c r="J221"/>
  <c r="BO221" s="1"/>
  <c r="H221"/>
  <c r="BM221" s="1"/>
  <c r="BQ220"/>
  <c r="BP220"/>
  <c r="BN220"/>
  <c r="BM220"/>
  <c r="BL220"/>
  <c r="BK220"/>
  <c r="AQ220"/>
  <c r="BO220" s="1"/>
  <c r="BQ219"/>
  <c r="BN219"/>
  <c r="BL219"/>
  <c r="BK219"/>
  <c r="AR219"/>
  <c r="BP219" s="1"/>
  <c r="AQ219"/>
  <c r="H219"/>
  <c r="BM219" s="1"/>
  <c r="BQ218"/>
  <c r="BP218"/>
  <c r="BN218"/>
  <c r="BM218"/>
  <c r="BL218"/>
  <c r="BK218"/>
  <c r="AQ218"/>
  <c r="BO218" s="1"/>
  <c r="BQ217"/>
  <c r="BP217"/>
  <c r="BO217"/>
  <c r="BN217"/>
  <c r="BM217"/>
  <c r="BL217"/>
  <c r="BK217"/>
  <c r="BQ216"/>
  <c r="BN216"/>
  <c r="BK216"/>
  <c r="AR216"/>
  <c r="AQ216"/>
  <c r="AQ228" s="1"/>
  <c r="H216"/>
  <c r="G216"/>
  <c r="G228" s="1"/>
  <c r="BQ215"/>
  <c r="BN215"/>
  <c r="BM215"/>
  <c r="BL215"/>
  <c r="BK215"/>
  <c r="K215"/>
  <c r="K228" s="1"/>
  <c r="J215"/>
  <c r="J228" s="1"/>
  <c r="BP213"/>
  <c r="BP214" s="1"/>
  <c r="BN213"/>
  <c r="BN214" s="1"/>
  <c r="BM213"/>
  <c r="BM214" s="1"/>
  <c r="BL213"/>
  <c r="BL214" s="1"/>
  <c r="BK213"/>
  <c r="BK214" s="1"/>
  <c r="U213"/>
  <c r="U214" s="1"/>
  <c r="S213"/>
  <c r="S214" s="1"/>
  <c r="BQ211"/>
  <c r="BN211"/>
  <c r="BM211"/>
  <c r="BL211"/>
  <c r="BK211"/>
  <c r="AL211"/>
  <c r="BP211" s="1"/>
  <c r="AK211"/>
  <c r="BO211" s="1"/>
  <c r="BQ210"/>
  <c r="BP210"/>
  <c r="BO210"/>
  <c r="BN210"/>
  <c r="BM210"/>
  <c r="BL210"/>
  <c r="BK210"/>
  <c r="BN209"/>
  <c r="BM209"/>
  <c r="BL209"/>
  <c r="BK209"/>
  <c r="AD209"/>
  <c r="BQ209" s="1"/>
  <c r="AC209"/>
  <c r="BP209" s="1"/>
  <c r="AB209"/>
  <c r="BL208"/>
  <c r="BK208"/>
  <c r="U208"/>
  <c r="BQ208" s="1"/>
  <c r="T208"/>
  <c r="BP208" s="1"/>
  <c r="S208"/>
  <c r="BO208" s="1"/>
  <c r="I208"/>
  <c r="BN208" s="1"/>
  <c r="H208"/>
  <c r="BM208" s="1"/>
  <c r="BQ207"/>
  <c r="BP207"/>
  <c r="BO207"/>
  <c r="BN207"/>
  <c r="BM207"/>
  <c r="BL207"/>
  <c r="BK207"/>
  <c r="BQ206"/>
  <c r="BP206"/>
  <c r="BO206"/>
  <c r="BN206"/>
  <c r="BM206"/>
  <c r="BL206"/>
  <c r="BK206"/>
  <c r="BQ205"/>
  <c r="BP205"/>
  <c r="BO205"/>
  <c r="BN205"/>
  <c r="BM205"/>
  <c r="BL205"/>
  <c r="BK205"/>
  <c r="BQ204"/>
  <c r="BN204"/>
  <c r="BM204"/>
  <c r="BL204"/>
  <c r="BK204"/>
  <c r="AL204"/>
  <c r="AK204"/>
  <c r="BO204" s="1"/>
  <c r="BQ203"/>
  <c r="BP203"/>
  <c r="BO203"/>
  <c r="BN203"/>
  <c r="BM203"/>
  <c r="BL203"/>
  <c r="BK203"/>
  <c r="BQ202"/>
  <c r="BN202"/>
  <c r="BM202"/>
  <c r="BL202"/>
  <c r="BK202"/>
  <c r="AL202"/>
  <c r="AK202"/>
  <c r="BO202" s="1"/>
  <c r="BQ201"/>
  <c r="BP201"/>
  <c r="BO201"/>
  <c r="BN201"/>
  <c r="BM201"/>
  <c r="BL201"/>
  <c r="BK201"/>
  <c r="BQ200"/>
  <c r="BP200"/>
  <c r="BO200"/>
  <c r="BN200"/>
  <c r="BM200"/>
  <c r="BL200"/>
  <c r="BK200"/>
  <c r="BQ199"/>
  <c r="BO199"/>
  <c r="BN199"/>
  <c r="BM199"/>
  <c r="BL199"/>
  <c r="BK199"/>
  <c r="AL199"/>
  <c r="BP199" s="1"/>
  <c r="BL198"/>
  <c r="BK198"/>
  <c r="AY198"/>
  <c r="BQ198" s="1"/>
  <c r="AX198"/>
  <c r="BP198" s="1"/>
  <c r="AW198"/>
  <c r="BO198" s="1"/>
  <c r="I198"/>
  <c r="BN198" s="1"/>
  <c r="H198"/>
  <c r="BM198" s="1"/>
  <c r="BQ197"/>
  <c r="BP197"/>
  <c r="BO197"/>
  <c r="BN197"/>
  <c r="BM197"/>
  <c r="BL197"/>
  <c r="BK197"/>
  <c r="BP196"/>
  <c r="BN196"/>
  <c r="BL196"/>
  <c r="BK196"/>
  <c r="U196"/>
  <c r="BQ196" s="1"/>
  <c r="S196"/>
  <c r="BO196" s="1"/>
  <c r="H196"/>
  <c r="BM196" s="1"/>
  <c r="BN195"/>
  <c r="BL195"/>
  <c r="BK195"/>
  <c r="U195"/>
  <c r="T195"/>
  <c r="T212" s="1"/>
  <c r="S195"/>
  <c r="S212" s="1"/>
  <c r="H195"/>
  <c r="BM195" s="1"/>
  <c r="BQ194"/>
  <c r="BN194"/>
  <c r="BL194"/>
  <c r="BK194"/>
  <c r="K194"/>
  <c r="J194"/>
  <c r="J212" s="1"/>
  <c r="H194"/>
  <c r="BQ193"/>
  <c r="BL193"/>
  <c r="BK193"/>
  <c r="AR193"/>
  <c r="BP193" s="1"/>
  <c r="AQ193"/>
  <c r="BO193" s="1"/>
  <c r="I193"/>
  <c r="BN193" s="1"/>
  <c r="H193"/>
  <c r="BQ192"/>
  <c r="BP192"/>
  <c r="BO192"/>
  <c r="BN192"/>
  <c r="BM192"/>
  <c r="BL192"/>
  <c r="BK192"/>
  <c r="BQ191"/>
  <c r="BO191"/>
  <c r="BN191"/>
  <c r="BL191"/>
  <c r="BK191"/>
  <c r="AR191"/>
  <c r="BP191" s="1"/>
  <c r="H191"/>
  <c r="N191" s="1"/>
  <c r="BQ190"/>
  <c r="BP190"/>
  <c r="BO190"/>
  <c r="BN190"/>
  <c r="BM190"/>
  <c r="BL190"/>
  <c r="BK190"/>
  <c r="BQ189"/>
  <c r="BP189"/>
  <c r="BO189"/>
  <c r="BN189"/>
  <c r="BL189"/>
  <c r="BK189"/>
  <c r="H189"/>
  <c r="N189" s="1"/>
  <c r="BQ188"/>
  <c r="BN188"/>
  <c r="BM188"/>
  <c r="BL188"/>
  <c r="BK188"/>
  <c r="AL188"/>
  <c r="BP188" s="1"/>
  <c r="AK188"/>
  <c r="BO188" s="1"/>
  <c r="BK187"/>
  <c r="BC187"/>
  <c r="BC212" s="1"/>
  <c r="AY187"/>
  <c r="AX187"/>
  <c r="AX212" s="1"/>
  <c r="AW187"/>
  <c r="I187"/>
  <c r="BN187" s="1"/>
  <c r="H187"/>
  <c r="BM187" s="1"/>
  <c r="BQ186"/>
  <c r="BL186"/>
  <c r="BK186"/>
  <c r="AR186"/>
  <c r="BP186" s="1"/>
  <c r="AQ186"/>
  <c r="BO186" s="1"/>
  <c r="I186"/>
  <c r="BN186" s="1"/>
  <c r="H186"/>
  <c r="BN185"/>
  <c r="BM185"/>
  <c r="BL185"/>
  <c r="BK185"/>
  <c r="AD185"/>
  <c r="BQ185" s="1"/>
  <c r="AC185"/>
  <c r="AC212" s="1"/>
  <c r="AB185"/>
  <c r="AB212" s="1"/>
  <c r="BQ184"/>
  <c r="BP184"/>
  <c r="BO184"/>
  <c r="BN184"/>
  <c r="BM184"/>
  <c r="BL184"/>
  <c r="BK184"/>
  <c r="BP183"/>
  <c r="BO183"/>
  <c r="BN183"/>
  <c r="BL183"/>
  <c r="BK183"/>
  <c r="AD183"/>
  <c r="H183"/>
  <c r="BM183" s="1"/>
  <c r="BQ182"/>
  <c r="BL182"/>
  <c r="BK182"/>
  <c r="AR182"/>
  <c r="BP182" s="1"/>
  <c r="AQ182"/>
  <c r="BO182" s="1"/>
  <c r="I182"/>
  <c r="BN182" s="1"/>
  <c r="H182"/>
  <c r="BM182" s="1"/>
  <c r="BQ181"/>
  <c r="BP181"/>
  <c r="BO181"/>
  <c r="BN181"/>
  <c r="BM181"/>
  <c r="BL181"/>
  <c r="BK181"/>
  <c r="BQ180"/>
  <c r="BP180"/>
  <c r="BO180"/>
  <c r="BN180"/>
  <c r="BM180"/>
  <c r="BL180"/>
  <c r="BK180"/>
  <c r="BQ179"/>
  <c r="BM179"/>
  <c r="BL179"/>
  <c r="BK179"/>
  <c r="AR179"/>
  <c r="BP179" s="1"/>
  <c r="AQ179"/>
  <c r="I179"/>
  <c r="BN179" s="1"/>
  <c r="BQ178"/>
  <c r="BL178"/>
  <c r="BK178"/>
  <c r="AR178"/>
  <c r="BP178" s="1"/>
  <c r="AQ178"/>
  <c r="BO178" s="1"/>
  <c r="I178"/>
  <c r="BN178" s="1"/>
  <c r="H178"/>
  <c r="BQ177"/>
  <c r="BP177"/>
  <c r="BO177"/>
  <c r="BN177"/>
  <c r="BM177"/>
  <c r="BL177"/>
  <c r="BK177"/>
  <c r="BQ176"/>
  <c r="BL176"/>
  <c r="BK176"/>
  <c r="BD176"/>
  <c r="BD212" s="1"/>
  <c r="AR176"/>
  <c r="AQ176"/>
  <c r="I176"/>
  <c r="H176"/>
  <c r="BQ175"/>
  <c r="BN175"/>
  <c r="BM175"/>
  <c r="BL175"/>
  <c r="BK175"/>
  <c r="AL175"/>
  <c r="AK175"/>
  <c r="BH174"/>
  <c r="BG174"/>
  <c r="BF174"/>
  <c r="BE174"/>
  <c r="BD174"/>
  <c r="BC174"/>
  <c r="BB174"/>
  <c r="AY174"/>
  <c r="AX174"/>
  <c r="AW174"/>
  <c r="AV174"/>
  <c r="AS174"/>
  <c r="AR174"/>
  <c r="AQ174"/>
  <c r="AP174"/>
  <c r="AM174"/>
  <c r="AJ174"/>
  <c r="AI174"/>
  <c r="AH174"/>
  <c r="AG174"/>
  <c r="AD174"/>
  <c r="AC174"/>
  <c r="AB174"/>
  <c r="AA174"/>
  <c r="Z174"/>
  <c r="Y174"/>
  <c r="X174"/>
  <c r="R174"/>
  <c r="Q174"/>
  <c r="P174"/>
  <c r="O174"/>
  <c r="L174"/>
  <c r="K174"/>
  <c r="J174"/>
  <c r="I174"/>
  <c r="H174"/>
  <c r="G174"/>
  <c r="F174"/>
  <c r="BN173"/>
  <c r="BM173"/>
  <c r="BL173"/>
  <c r="BK173"/>
  <c r="U173"/>
  <c r="U174" s="1"/>
  <c r="T173"/>
  <c r="T174" s="1"/>
  <c r="S173"/>
  <c r="S174" s="1"/>
  <c r="BQ172"/>
  <c r="BP172"/>
  <c r="BO172"/>
  <c r="BN172"/>
  <c r="BM172"/>
  <c r="BL172"/>
  <c r="BK172"/>
  <c r="BQ171"/>
  <c r="BN171"/>
  <c r="BM171"/>
  <c r="BL171"/>
  <c r="BK171"/>
  <c r="AL171"/>
  <c r="BP171" s="1"/>
  <c r="AK171"/>
  <c r="BO171" s="1"/>
  <c r="BQ170"/>
  <c r="BP170"/>
  <c r="BN170"/>
  <c r="BM170"/>
  <c r="BL170"/>
  <c r="BK170"/>
  <c r="AK170"/>
  <c r="BQ169"/>
  <c r="BP169"/>
  <c r="BO169"/>
  <c r="BN169"/>
  <c r="BM169"/>
  <c r="BL169"/>
  <c r="BK169"/>
  <c r="BN167"/>
  <c r="BM167"/>
  <c r="BL167"/>
  <c r="BK167"/>
  <c r="AD167"/>
  <c r="BQ167" s="1"/>
  <c r="AC167"/>
  <c r="BP167" s="1"/>
  <c r="AB167"/>
  <c r="BQ166"/>
  <c r="BP166"/>
  <c r="BO166"/>
  <c r="BN166"/>
  <c r="BL166"/>
  <c r="BK166"/>
  <c r="AI166"/>
  <c r="AI168" s="1"/>
  <c r="BN165"/>
  <c r="BM165"/>
  <c r="BL165"/>
  <c r="BK165"/>
  <c r="AY165"/>
  <c r="AY168" s="1"/>
  <c r="AX165"/>
  <c r="AX168" s="1"/>
  <c r="AW165"/>
  <c r="AW168" s="1"/>
  <c r="BQ164"/>
  <c r="BN164"/>
  <c r="BM164"/>
  <c r="BL164"/>
  <c r="BK164"/>
  <c r="AL164"/>
  <c r="BP164" s="1"/>
  <c r="AK164"/>
  <c r="BO164" s="1"/>
  <c r="BQ163"/>
  <c r="BP163"/>
  <c r="BO163"/>
  <c r="BN163"/>
  <c r="BM163"/>
  <c r="BL163"/>
  <c r="BK163"/>
  <c r="BN162"/>
  <c r="BM162"/>
  <c r="BL162"/>
  <c r="BK162"/>
  <c r="AD162"/>
  <c r="AD168" s="1"/>
  <c r="AC162"/>
  <c r="AB162"/>
  <c r="BQ161"/>
  <c r="BN161"/>
  <c r="BM161"/>
  <c r="BL161"/>
  <c r="BK161"/>
  <c r="AL161"/>
  <c r="AK161"/>
  <c r="BQ160"/>
  <c r="BN160"/>
  <c r="BL160"/>
  <c r="BK160"/>
  <c r="K160"/>
  <c r="K168" s="1"/>
  <c r="J160"/>
  <c r="J168" s="1"/>
  <c r="H160"/>
  <c r="BQ158"/>
  <c r="BN158"/>
  <c r="BM158"/>
  <c r="BL158"/>
  <c r="BK158"/>
  <c r="K158"/>
  <c r="K159" s="1"/>
  <c r="J158"/>
  <c r="J159" s="1"/>
  <c r="BQ157"/>
  <c r="BP157"/>
  <c r="BO157"/>
  <c r="BN157"/>
  <c r="BM157"/>
  <c r="BL157"/>
  <c r="BK157"/>
  <c r="BQ156"/>
  <c r="BP156"/>
  <c r="BO156"/>
  <c r="BN156"/>
  <c r="BM156"/>
  <c r="BK156"/>
  <c r="BN155"/>
  <c r="BM155"/>
  <c r="BL155"/>
  <c r="BK155"/>
  <c r="U155"/>
  <c r="U159" s="1"/>
  <c r="T155"/>
  <c r="S155"/>
  <c r="S159" s="1"/>
  <c r="BQ154"/>
  <c r="BP154"/>
  <c r="BO154"/>
  <c r="BN154"/>
  <c r="BL154"/>
  <c r="BK154"/>
  <c r="H154"/>
  <c r="H159" s="1"/>
  <c r="BO152"/>
  <c r="BO153" s="1"/>
  <c r="BN152"/>
  <c r="BN153" s="1"/>
  <c r="BM152"/>
  <c r="BM153" s="1"/>
  <c r="BL152"/>
  <c r="BL153" s="1"/>
  <c r="BK152"/>
  <c r="BK153" s="1"/>
  <c r="U152"/>
  <c r="T152"/>
  <c r="T153" s="1"/>
  <c r="BQ150"/>
  <c r="BM150"/>
  <c r="BL150"/>
  <c r="BK150"/>
  <c r="AR150"/>
  <c r="AR151" s="1"/>
  <c r="AQ150"/>
  <c r="AP150"/>
  <c r="AP151" s="1"/>
  <c r="I150"/>
  <c r="BQ149"/>
  <c r="BN149"/>
  <c r="BM149"/>
  <c r="BL149"/>
  <c r="BK149"/>
  <c r="AL149"/>
  <c r="AK149"/>
  <c r="AK151" s="1"/>
  <c r="BH148"/>
  <c r="BG148"/>
  <c r="BF148"/>
  <c r="BE148"/>
  <c r="BD148"/>
  <c r="BB148"/>
  <c r="AV148"/>
  <c r="AS148"/>
  <c r="AP148"/>
  <c r="AM148"/>
  <c r="AJ148"/>
  <c r="AI148"/>
  <c r="AH148"/>
  <c r="AG148"/>
  <c r="AA148"/>
  <c r="Z148"/>
  <c r="Y148"/>
  <c r="X148"/>
  <c r="Q148"/>
  <c r="P148"/>
  <c r="O148"/>
  <c r="L148"/>
  <c r="K148"/>
  <c r="J148"/>
  <c r="G148"/>
  <c r="F148"/>
  <c r="BQ147"/>
  <c r="BP147"/>
  <c r="BO147"/>
  <c r="BL147"/>
  <c r="BK147"/>
  <c r="R147"/>
  <c r="W147" s="1"/>
  <c r="H147"/>
  <c r="BM147" s="1"/>
  <c r="BP146"/>
  <c r="BO146"/>
  <c r="BN146"/>
  <c r="BM146"/>
  <c r="BL146"/>
  <c r="BK146"/>
  <c r="U146"/>
  <c r="BQ146" s="1"/>
  <c r="BN145"/>
  <c r="BM145"/>
  <c r="BL145"/>
  <c r="BK145"/>
  <c r="U145"/>
  <c r="T145"/>
  <c r="BP145" s="1"/>
  <c r="S145"/>
  <c r="S148" s="1"/>
  <c r="BN144"/>
  <c r="BM144"/>
  <c r="BL144"/>
  <c r="BK144"/>
  <c r="AD144"/>
  <c r="AD148" s="1"/>
  <c r="AC144"/>
  <c r="BP144" s="1"/>
  <c r="AB144"/>
  <c r="AB148" s="1"/>
  <c r="BQ143"/>
  <c r="BP143"/>
  <c r="BO143"/>
  <c r="BN143"/>
  <c r="BL143"/>
  <c r="BK143"/>
  <c r="H143"/>
  <c r="N143" s="1"/>
  <c r="BQ142"/>
  <c r="BL142"/>
  <c r="BK142"/>
  <c r="AR142"/>
  <c r="AR148" s="1"/>
  <c r="AQ142"/>
  <c r="AQ148" s="1"/>
  <c r="I142"/>
  <c r="BN142" s="1"/>
  <c r="H142"/>
  <c r="BQ141"/>
  <c r="BP141"/>
  <c r="BO141"/>
  <c r="BN141"/>
  <c r="BM141"/>
  <c r="BL141"/>
  <c r="BK141"/>
  <c r="BQ140"/>
  <c r="BP140"/>
  <c r="BO140"/>
  <c r="BN140"/>
  <c r="BM140"/>
  <c r="BL140"/>
  <c r="BK140"/>
  <c r="BP139"/>
  <c r="BN139"/>
  <c r="BM139"/>
  <c r="BL139"/>
  <c r="BK139"/>
  <c r="AY139"/>
  <c r="BQ139" s="1"/>
  <c r="AW139"/>
  <c r="BO139" s="1"/>
  <c r="BQ138"/>
  <c r="BP138"/>
  <c r="BO138"/>
  <c r="BN138"/>
  <c r="BM138"/>
  <c r="BL138"/>
  <c r="BK138"/>
  <c r="BQ137"/>
  <c r="BP137"/>
  <c r="BO137"/>
  <c r="BN137"/>
  <c r="BL137"/>
  <c r="BK137"/>
  <c r="H137"/>
  <c r="BQ136"/>
  <c r="BP136"/>
  <c r="BO136"/>
  <c r="BN136"/>
  <c r="BM136"/>
  <c r="BL136"/>
  <c r="BK136"/>
  <c r="BP135"/>
  <c r="BO135"/>
  <c r="BN135"/>
  <c r="BM135"/>
  <c r="BL135"/>
  <c r="BK135"/>
  <c r="AY135"/>
  <c r="BQ135" s="1"/>
  <c r="BQ134"/>
  <c r="BN134"/>
  <c r="BM134"/>
  <c r="BL134"/>
  <c r="BK134"/>
  <c r="AL134"/>
  <c r="AL148" s="1"/>
  <c r="AK134"/>
  <c r="AK148" s="1"/>
  <c r="BN133"/>
  <c r="BM133"/>
  <c r="BL133"/>
  <c r="BK133"/>
  <c r="AY133"/>
  <c r="AX133"/>
  <c r="AX148" s="1"/>
  <c r="AW133"/>
  <c r="BQ132"/>
  <c r="BP132"/>
  <c r="BO132"/>
  <c r="BN132"/>
  <c r="BM132"/>
  <c r="BK132"/>
  <c r="BC132"/>
  <c r="BC148" s="1"/>
  <c r="BH131"/>
  <c r="BG131"/>
  <c r="BF131"/>
  <c r="BE131"/>
  <c r="BD131"/>
  <c r="BC131"/>
  <c r="BB131"/>
  <c r="AY131"/>
  <c r="AX131"/>
  <c r="AW131"/>
  <c r="AV131"/>
  <c r="AS131"/>
  <c r="AR131"/>
  <c r="AQ131"/>
  <c r="AP131"/>
  <c r="AM131"/>
  <c r="AL131"/>
  <c r="AK131"/>
  <c r="AJ131"/>
  <c r="AI131"/>
  <c r="AH131"/>
  <c r="AG131"/>
  <c r="AD131"/>
  <c r="AC131"/>
  <c r="AB131"/>
  <c r="AA131"/>
  <c r="Z131"/>
  <c r="Y131"/>
  <c r="X131"/>
  <c r="U131"/>
  <c r="T131"/>
  <c r="S131"/>
  <c r="R131"/>
  <c r="Q131"/>
  <c r="P131"/>
  <c r="O131"/>
  <c r="L131"/>
  <c r="K131"/>
  <c r="J131"/>
  <c r="H131"/>
  <c r="G131"/>
  <c r="F131"/>
  <c r="BQ130"/>
  <c r="BQ131" s="1"/>
  <c r="BP130"/>
  <c r="BP131" s="1"/>
  <c r="BO130"/>
  <c r="BO131" s="1"/>
  <c r="BM130"/>
  <c r="BM131" s="1"/>
  <c r="BL130"/>
  <c r="BL131" s="1"/>
  <c r="BK130"/>
  <c r="BK131" s="1"/>
  <c r="AO131"/>
  <c r="W131"/>
  <c r="I130"/>
  <c r="I131" s="1"/>
  <c r="BH129"/>
  <c r="BG129"/>
  <c r="BF129"/>
  <c r="BE129"/>
  <c r="BD129"/>
  <c r="BC129"/>
  <c r="BB129"/>
  <c r="AY129"/>
  <c r="AX129"/>
  <c r="AW129"/>
  <c r="AV129"/>
  <c r="AS129"/>
  <c r="AR129"/>
  <c r="AQ129"/>
  <c r="AP129"/>
  <c r="AM129"/>
  <c r="AL129"/>
  <c r="AK129"/>
  <c r="AJ129"/>
  <c r="AI129"/>
  <c r="AH129"/>
  <c r="AG129"/>
  <c r="AD129"/>
  <c r="AC129"/>
  <c r="AB129"/>
  <c r="AA129"/>
  <c r="Z129"/>
  <c r="Y129"/>
  <c r="X129"/>
  <c r="U129"/>
  <c r="T129"/>
  <c r="S129"/>
  <c r="R129"/>
  <c r="Q129"/>
  <c r="P129"/>
  <c r="O129"/>
  <c r="L129"/>
  <c r="I129"/>
  <c r="H129"/>
  <c r="G129"/>
  <c r="F129"/>
  <c r="BQ128"/>
  <c r="BQ129" s="1"/>
  <c r="BN128"/>
  <c r="BM128"/>
  <c r="BM129" s="1"/>
  <c r="BL128"/>
  <c r="BL129" s="1"/>
  <c r="BK128"/>
  <c r="BK129" s="1"/>
  <c r="BJ129"/>
  <c r="K128"/>
  <c r="K129" s="1"/>
  <c r="J128"/>
  <c r="J129" s="1"/>
  <c r="BH127"/>
  <c r="BG127"/>
  <c r="BF127"/>
  <c r="BE127"/>
  <c r="BD127"/>
  <c r="BC127"/>
  <c r="BB127"/>
  <c r="AY127"/>
  <c r="AX127"/>
  <c r="AW127"/>
  <c r="AV127"/>
  <c r="AS127"/>
  <c r="AR127"/>
  <c r="AQ127"/>
  <c r="AP127"/>
  <c r="AM127"/>
  <c r="AL127"/>
  <c r="AK127"/>
  <c r="AJ127"/>
  <c r="AI127"/>
  <c r="AH127"/>
  <c r="AG127"/>
  <c r="AD127"/>
  <c r="AC127"/>
  <c r="AB127"/>
  <c r="AA127"/>
  <c r="Z127"/>
  <c r="Y127"/>
  <c r="X127"/>
  <c r="U127"/>
  <c r="T127"/>
  <c r="S127"/>
  <c r="R127"/>
  <c r="Q127"/>
  <c r="P127"/>
  <c r="O127"/>
  <c r="L127"/>
  <c r="J127"/>
  <c r="I127"/>
  <c r="G127"/>
  <c r="F127"/>
  <c r="BQ126"/>
  <c r="BP126"/>
  <c r="BO126"/>
  <c r="BN126"/>
  <c r="BM126"/>
  <c r="BL126"/>
  <c r="BK126"/>
  <c r="BQ125"/>
  <c r="BO125"/>
  <c r="BN125"/>
  <c r="BL125"/>
  <c r="BK125"/>
  <c r="K125"/>
  <c r="K127" s="1"/>
  <c r="H125"/>
  <c r="H127" s="1"/>
  <c r="BQ124"/>
  <c r="BP124"/>
  <c r="BO124"/>
  <c r="BN124"/>
  <c r="BM124"/>
  <c r="BL124"/>
  <c r="BK124"/>
  <c r="BH123"/>
  <c r="BG123"/>
  <c r="BF123"/>
  <c r="BE123"/>
  <c r="BD123"/>
  <c r="BC123"/>
  <c r="BB123"/>
  <c r="AY123"/>
  <c r="AX123"/>
  <c r="AW123"/>
  <c r="AV123"/>
  <c r="AS123"/>
  <c r="AR123"/>
  <c r="AQ123"/>
  <c r="AP123"/>
  <c r="AM123"/>
  <c r="AL123"/>
  <c r="AJ123"/>
  <c r="AH123"/>
  <c r="AG123"/>
  <c r="AD123"/>
  <c r="AC123"/>
  <c r="AB123"/>
  <c r="AA123"/>
  <c r="Z123"/>
  <c r="Y123"/>
  <c r="X123"/>
  <c r="T123"/>
  <c r="R123"/>
  <c r="Q123"/>
  <c r="P123"/>
  <c r="O123"/>
  <c r="L123"/>
  <c r="K123"/>
  <c r="J123"/>
  <c r="I123"/>
  <c r="H123"/>
  <c r="G123"/>
  <c r="F123"/>
  <c r="BQ122"/>
  <c r="BP122"/>
  <c r="BO122"/>
  <c r="BN122"/>
  <c r="BM122"/>
  <c r="BL122"/>
  <c r="BK122"/>
  <c r="BQ121"/>
  <c r="BP121"/>
  <c r="BN121"/>
  <c r="BL121"/>
  <c r="BK121"/>
  <c r="AK121"/>
  <c r="AK123" s="1"/>
  <c r="AI121"/>
  <c r="AI123" s="1"/>
  <c r="BP120"/>
  <c r="BN120"/>
  <c r="BM120"/>
  <c r="BL120"/>
  <c r="BK120"/>
  <c r="U120"/>
  <c r="U123" s="1"/>
  <c r="S120"/>
  <c r="BQ119"/>
  <c r="BP119"/>
  <c r="BO119"/>
  <c r="BN119"/>
  <c r="BM119"/>
  <c r="BL119"/>
  <c r="BK119"/>
  <c r="BH118"/>
  <c r="BG118"/>
  <c r="BF118"/>
  <c r="BE118"/>
  <c r="BB118"/>
  <c r="AV118"/>
  <c r="AS118"/>
  <c r="AP118"/>
  <c r="AM118"/>
  <c r="AJ118"/>
  <c r="AH118"/>
  <c r="AG118"/>
  <c r="AA118"/>
  <c r="Z118"/>
  <c r="Y118"/>
  <c r="X118"/>
  <c r="R118"/>
  <c r="Q118"/>
  <c r="P118"/>
  <c r="O118"/>
  <c r="L118"/>
  <c r="G118"/>
  <c r="F118"/>
  <c r="BQ117"/>
  <c r="BP117"/>
  <c r="BO117"/>
  <c r="BN117"/>
  <c r="BM117"/>
  <c r="BL117"/>
  <c r="BK117"/>
  <c r="BQ116"/>
  <c r="BM116"/>
  <c r="BL116"/>
  <c r="BK116"/>
  <c r="AR116"/>
  <c r="BP116" s="1"/>
  <c r="AQ116"/>
  <c r="BO116" s="1"/>
  <c r="I116"/>
  <c r="BN116" s="1"/>
  <c r="BQ115"/>
  <c r="BM115"/>
  <c r="BL115"/>
  <c r="BK115"/>
  <c r="AR115"/>
  <c r="BP115" s="1"/>
  <c r="AQ115"/>
  <c r="I115"/>
  <c r="BN115" s="1"/>
  <c r="BQ114"/>
  <c r="BP114"/>
  <c r="BO114"/>
  <c r="BN114"/>
  <c r="BM114"/>
  <c r="BL114"/>
  <c r="BK114"/>
  <c r="BQ113"/>
  <c r="BP113"/>
  <c r="BO113"/>
  <c r="BN113"/>
  <c r="BM113"/>
  <c r="BL113"/>
  <c r="BK113"/>
  <c r="BQ112"/>
  <c r="BN112"/>
  <c r="BL112"/>
  <c r="BK112"/>
  <c r="K112"/>
  <c r="BP112" s="1"/>
  <c r="J112"/>
  <c r="BO112" s="1"/>
  <c r="H112"/>
  <c r="BN111"/>
  <c r="BM111"/>
  <c r="BL111"/>
  <c r="BK111"/>
  <c r="AD111"/>
  <c r="AD118" s="1"/>
  <c r="AC111"/>
  <c r="AC118" s="1"/>
  <c r="AB111"/>
  <c r="AB118" s="1"/>
  <c r="BQ110"/>
  <c r="BN110"/>
  <c r="BL110"/>
  <c r="BK110"/>
  <c r="AL110"/>
  <c r="BP110" s="1"/>
  <c r="AK110"/>
  <c r="BO110" s="1"/>
  <c r="H110"/>
  <c r="BM110" s="1"/>
  <c r="BQ109"/>
  <c r="BP109"/>
  <c r="BO109"/>
  <c r="BN109"/>
  <c r="BM109"/>
  <c r="BL109"/>
  <c r="BK109"/>
  <c r="BQ108"/>
  <c r="BL108"/>
  <c r="BK108"/>
  <c r="AR108"/>
  <c r="BP108" s="1"/>
  <c r="AQ108"/>
  <c r="BO108" s="1"/>
  <c r="I108"/>
  <c r="BN108" s="1"/>
  <c r="H108"/>
  <c r="BM108" s="1"/>
  <c r="BN107"/>
  <c r="BM107"/>
  <c r="BL107"/>
  <c r="BK107"/>
  <c r="U107"/>
  <c r="BQ107" s="1"/>
  <c r="T107"/>
  <c r="BP107" s="1"/>
  <c r="S107"/>
  <c r="BO107" s="1"/>
  <c r="BQ106"/>
  <c r="BP106"/>
  <c r="BN106"/>
  <c r="BM106"/>
  <c r="BL106"/>
  <c r="BK106"/>
  <c r="AK106"/>
  <c r="BO106" s="1"/>
  <c r="BL105"/>
  <c r="BK105"/>
  <c r="AY105"/>
  <c r="BQ105" s="1"/>
  <c r="AX105"/>
  <c r="BP105" s="1"/>
  <c r="AW105"/>
  <c r="BO105" s="1"/>
  <c r="I105"/>
  <c r="BN105" s="1"/>
  <c r="H105"/>
  <c r="BM105" s="1"/>
  <c r="BQ104"/>
  <c r="BL104"/>
  <c r="BK104"/>
  <c r="BD104"/>
  <c r="BD118" s="1"/>
  <c r="AR104"/>
  <c r="BP104" s="1"/>
  <c r="AQ104"/>
  <c r="I104"/>
  <c r="BN104" s="1"/>
  <c r="H104"/>
  <c r="BQ103"/>
  <c r="BP103"/>
  <c r="BO103"/>
  <c r="BN103"/>
  <c r="BM103"/>
  <c r="BL103"/>
  <c r="BK103"/>
  <c r="BQ102"/>
  <c r="BN102"/>
  <c r="BL102"/>
  <c r="BK102"/>
  <c r="AR102"/>
  <c r="BP102" s="1"/>
  <c r="AQ102"/>
  <c r="BO102" s="1"/>
  <c r="H102"/>
  <c r="BM102" s="1"/>
  <c r="BQ101"/>
  <c r="BL101"/>
  <c r="BK101"/>
  <c r="AR101"/>
  <c r="BP101" s="1"/>
  <c r="AQ101"/>
  <c r="BO101" s="1"/>
  <c r="I101"/>
  <c r="BN101" s="1"/>
  <c r="H101"/>
  <c r="BM101" s="1"/>
  <c r="BQ100"/>
  <c r="BP100"/>
  <c r="BO100"/>
  <c r="BN100"/>
  <c r="BM100"/>
  <c r="BL100"/>
  <c r="BK100"/>
  <c r="BN99"/>
  <c r="BM99"/>
  <c r="BL99"/>
  <c r="BK99"/>
  <c r="U99"/>
  <c r="BQ99" s="1"/>
  <c r="T99"/>
  <c r="BP99" s="1"/>
  <c r="S99"/>
  <c r="BN98"/>
  <c r="BL98"/>
  <c r="BK98"/>
  <c r="AY98"/>
  <c r="BQ98" s="1"/>
  <c r="AX98"/>
  <c r="BP98" s="1"/>
  <c r="AW98"/>
  <c r="BO98" s="1"/>
  <c r="H98"/>
  <c r="BM98" s="1"/>
  <c r="BP97"/>
  <c r="BN97"/>
  <c r="BM97"/>
  <c r="BL97"/>
  <c r="BK97"/>
  <c r="U97"/>
  <c r="BQ97" s="1"/>
  <c r="S97"/>
  <c r="BO97" s="1"/>
  <c r="BQ96"/>
  <c r="BP96"/>
  <c r="BO96"/>
  <c r="BN96"/>
  <c r="BM96"/>
  <c r="BL96"/>
  <c r="BK96"/>
  <c r="BL95"/>
  <c r="BK95"/>
  <c r="U95"/>
  <c r="T95"/>
  <c r="S95"/>
  <c r="I95"/>
  <c r="BN95" s="1"/>
  <c r="H95"/>
  <c r="BM95" s="1"/>
  <c r="BQ94"/>
  <c r="BL94"/>
  <c r="BK94"/>
  <c r="AR94"/>
  <c r="AQ94"/>
  <c r="BO94" s="1"/>
  <c r="I94"/>
  <c r="BN94" s="1"/>
  <c r="H94"/>
  <c r="BQ93"/>
  <c r="BN93"/>
  <c r="BL93"/>
  <c r="BK93"/>
  <c r="AL93"/>
  <c r="AK93"/>
  <c r="BO93" s="1"/>
  <c r="H93"/>
  <c r="BM93" s="1"/>
  <c r="BQ92"/>
  <c r="BN92"/>
  <c r="BM92"/>
  <c r="BL92"/>
  <c r="BK92"/>
  <c r="AL92"/>
  <c r="BP92" s="1"/>
  <c r="AK92"/>
  <c r="BO92" s="1"/>
  <c r="BQ91"/>
  <c r="BP91"/>
  <c r="BO91"/>
  <c r="BN91"/>
  <c r="BM91"/>
  <c r="BL91"/>
  <c r="BK91"/>
  <c r="BQ90"/>
  <c r="BN90"/>
  <c r="BL90"/>
  <c r="BK90"/>
  <c r="K90"/>
  <c r="K118" s="1"/>
  <c r="J90"/>
  <c r="H90"/>
  <c r="BM90" s="1"/>
  <c r="BQ89"/>
  <c r="BN89"/>
  <c r="BM89"/>
  <c r="BL89"/>
  <c r="BK89"/>
  <c r="AL89"/>
  <c r="AK89"/>
  <c r="BQ88"/>
  <c r="BP88"/>
  <c r="BL88"/>
  <c r="BK88"/>
  <c r="AQ88"/>
  <c r="AI88"/>
  <c r="AO88" s="1"/>
  <c r="I88"/>
  <c r="BN88" s="1"/>
  <c r="BK87"/>
  <c r="BC87"/>
  <c r="BL87" s="1"/>
  <c r="AY87"/>
  <c r="AX87"/>
  <c r="BP87" s="1"/>
  <c r="AW87"/>
  <c r="AI87"/>
  <c r="I87"/>
  <c r="BN87" s="1"/>
  <c r="H87"/>
  <c r="BH86"/>
  <c r="BG86"/>
  <c r="BF86"/>
  <c r="BE86"/>
  <c r="BD86"/>
  <c r="BC86"/>
  <c r="BB86"/>
  <c r="AY86"/>
  <c r="AX86"/>
  <c r="AW86"/>
  <c r="AV86"/>
  <c r="AS86"/>
  <c r="AR86"/>
  <c r="AQ86"/>
  <c r="AP86"/>
  <c r="AM86"/>
  <c r="AL86"/>
  <c r="AK86"/>
  <c r="AJ86"/>
  <c r="AI86"/>
  <c r="AH86"/>
  <c r="AG86"/>
  <c r="AD86"/>
  <c r="AC86"/>
  <c r="AB86"/>
  <c r="AA86"/>
  <c r="Z86"/>
  <c r="Y86"/>
  <c r="X86"/>
  <c r="U86"/>
  <c r="T86"/>
  <c r="S86"/>
  <c r="R86"/>
  <c r="Q86"/>
  <c r="P86"/>
  <c r="O86"/>
  <c r="L86"/>
  <c r="I86"/>
  <c r="G86"/>
  <c r="F86"/>
  <c r="BQ85"/>
  <c r="BQ86" s="1"/>
  <c r="BN85"/>
  <c r="BN86" s="1"/>
  <c r="BL85"/>
  <c r="BL86" s="1"/>
  <c r="BK85"/>
  <c r="BK86" s="1"/>
  <c r="BJ86"/>
  <c r="AO86"/>
  <c r="K85"/>
  <c r="K86" s="1"/>
  <c r="J85"/>
  <c r="J86" s="1"/>
  <c r="H85"/>
  <c r="BH84"/>
  <c r="BG84"/>
  <c r="BF84"/>
  <c r="BE84"/>
  <c r="BD84"/>
  <c r="BC84"/>
  <c r="BB84"/>
  <c r="AY84"/>
  <c r="AX84"/>
  <c r="AW84"/>
  <c r="AV84"/>
  <c r="AS84"/>
  <c r="AR84"/>
  <c r="AQ84"/>
  <c r="AP84"/>
  <c r="AM84"/>
  <c r="AJ84"/>
  <c r="AI84"/>
  <c r="AH84"/>
  <c r="AG84"/>
  <c r="AD84"/>
  <c r="AC84"/>
  <c r="AB84"/>
  <c r="AA84"/>
  <c r="Z84"/>
  <c r="Y84"/>
  <c r="X84"/>
  <c r="U84"/>
  <c r="T84"/>
  <c r="S84"/>
  <c r="R84"/>
  <c r="Q84"/>
  <c r="P84"/>
  <c r="O84"/>
  <c r="L84"/>
  <c r="I84"/>
  <c r="G84"/>
  <c r="F84"/>
  <c r="BQ83"/>
  <c r="BP83"/>
  <c r="BN83"/>
  <c r="BM83"/>
  <c r="BL83"/>
  <c r="BK83"/>
  <c r="J83"/>
  <c r="N83" s="1"/>
  <c r="BQ82"/>
  <c r="BP82"/>
  <c r="BO82"/>
  <c r="BN82"/>
  <c r="BM82"/>
  <c r="BL82"/>
  <c r="BK82"/>
  <c r="BQ81"/>
  <c r="BP81"/>
  <c r="BO81"/>
  <c r="BN81"/>
  <c r="BM81"/>
  <c r="BL81"/>
  <c r="BK81"/>
  <c r="BQ80"/>
  <c r="BN80"/>
  <c r="BM80"/>
  <c r="BL80"/>
  <c r="BK80"/>
  <c r="AL80"/>
  <c r="AL84" s="1"/>
  <c r="AK80"/>
  <c r="AK84" s="1"/>
  <c r="BQ79"/>
  <c r="BP79"/>
  <c r="BN79"/>
  <c r="BM79"/>
  <c r="BL79"/>
  <c r="BK79"/>
  <c r="J79"/>
  <c r="BO79" s="1"/>
  <c r="BQ78"/>
  <c r="BN78"/>
  <c r="BL78"/>
  <c r="BK78"/>
  <c r="K78"/>
  <c r="K84" s="1"/>
  <c r="J78"/>
  <c r="BO78" s="1"/>
  <c r="H78"/>
  <c r="BM78" s="1"/>
  <c r="BQ77"/>
  <c r="BP77"/>
  <c r="BO77"/>
  <c r="BN77"/>
  <c r="BM77"/>
  <c r="BL77"/>
  <c r="BK77"/>
  <c r="BQ75"/>
  <c r="BP75"/>
  <c r="BO75"/>
  <c r="BN75"/>
  <c r="BL75"/>
  <c r="BK75"/>
  <c r="H75"/>
  <c r="BQ74"/>
  <c r="BP74"/>
  <c r="BO74"/>
  <c r="BN74"/>
  <c r="BM74"/>
  <c r="BL74"/>
  <c r="BK74"/>
  <c r="BH73"/>
  <c r="BG73"/>
  <c r="BF73"/>
  <c r="BE73"/>
  <c r="BD73"/>
  <c r="BC73"/>
  <c r="BB73"/>
  <c r="AY73"/>
  <c r="AX73"/>
  <c r="AW73"/>
  <c r="AV73"/>
  <c r="AS73"/>
  <c r="AR73"/>
  <c r="AQ73"/>
  <c r="AP73"/>
  <c r="AM73"/>
  <c r="AL73"/>
  <c r="AK73"/>
  <c r="AJ73"/>
  <c r="AI73"/>
  <c r="AH73"/>
  <c r="AG73"/>
  <c r="AC73"/>
  <c r="AB73"/>
  <c r="AA73"/>
  <c r="Z73"/>
  <c r="Y73"/>
  <c r="X73"/>
  <c r="U73"/>
  <c r="T73"/>
  <c r="S73"/>
  <c r="R73"/>
  <c r="Q73"/>
  <c r="P73"/>
  <c r="O73"/>
  <c r="L73"/>
  <c r="K73"/>
  <c r="J73"/>
  <c r="I73"/>
  <c r="H73"/>
  <c r="G73"/>
  <c r="F73"/>
  <c r="BP72"/>
  <c r="BP73" s="1"/>
  <c r="BO72"/>
  <c r="BO73" s="1"/>
  <c r="BN72"/>
  <c r="BM72"/>
  <c r="BM73" s="1"/>
  <c r="BL72"/>
  <c r="BL73" s="1"/>
  <c r="BK72"/>
  <c r="BK73" s="1"/>
  <c r="BJ73"/>
  <c r="BA73"/>
  <c r="AD72"/>
  <c r="AD73" s="1"/>
  <c r="BH71"/>
  <c r="BG71"/>
  <c r="BF71"/>
  <c r="BE71"/>
  <c r="BD71"/>
  <c r="BC71"/>
  <c r="BB71"/>
  <c r="AY71"/>
  <c r="AX71"/>
  <c r="AW71"/>
  <c r="AV71"/>
  <c r="AS71"/>
  <c r="AR71"/>
  <c r="AQ71"/>
  <c r="AP71"/>
  <c r="AM71"/>
  <c r="AL71"/>
  <c r="AK71"/>
  <c r="AJ71"/>
  <c r="AI71"/>
  <c r="AH71"/>
  <c r="AG71"/>
  <c r="AD71"/>
  <c r="AC71"/>
  <c r="AB71"/>
  <c r="AA71"/>
  <c r="Z71"/>
  <c r="Y71"/>
  <c r="X71"/>
  <c r="U71"/>
  <c r="T71"/>
  <c r="S71"/>
  <c r="R71"/>
  <c r="Q71"/>
  <c r="P71"/>
  <c r="O71"/>
  <c r="L71"/>
  <c r="K71"/>
  <c r="J71"/>
  <c r="I71"/>
  <c r="H71"/>
  <c r="G71"/>
  <c r="F71"/>
  <c r="BQ69"/>
  <c r="BQ71" s="1"/>
  <c r="BP69"/>
  <c r="BP71" s="1"/>
  <c r="BO69"/>
  <c r="BO71" s="1"/>
  <c r="BN69"/>
  <c r="BN71" s="1"/>
  <c r="BM69"/>
  <c r="BM71" s="1"/>
  <c r="BL69"/>
  <c r="BL71" s="1"/>
  <c r="BK69"/>
  <c r="BK71" s="1"/>
  <c r="BJ71"/>
  <c r="AU71"/>
  <c r="W71"/>
  <c r="BH68"/>
  <c r="BG68"/>
  <c r="BF68"/>
  <c r="BE68"/>
  <c r="BD68"/>
  <c r="BC68"/>
  <c r="BB68"/>
  <c r="AY68"/>
  <c r="AX68"/>
  <c r="AW68"/>
  <c r="AV68"/>
  <c r="AS68"/>
  <c r="AP68"/>
  <c r="AM68"/>
  <c r="AL68"/>
  <c r="AK68"/>
  <c r="AJ68"/>
  <c r="AI68"/>
  <c r="AH68"/>
  <c r="AG68"/>
  <c r="AD68"/>
  <c r="AC68"/>
  <c r="AB68"/>
  <c r="AA68"/>
  <c r="Z68"/>
  <c r="Y68"/>
  <c r="X68"/>
  <c r="U68"/>
  <c r="T68"/>
  <c r="S68"/>
  <c r="R68"/>
  <c r="Q68"/>
  <c r="P68"/>
  <c r="O68"/>
  <c r="L68"/>
  <c r="K68"/>
  <c r="J68"/>
  <c r="H68"/>
  <c r="G68"/>
  <c r="F68"/>
  <c r="BQ67"/>
  <c r="BP67"/>
  <c r="BO67"/>
  <c r="BN67"/>
  <c r="BM67"/>
  <c r="BL67"/>
  <c r="BK67"/>
  <c r="BQ66"/>
  <c r="BM66"/>
  <c r="BL66"/>
  <c r="BK66"/>
  <c r="AR66"/>
  <c r="BP66" s="1"/>
  <c r="AQ66"/>
  <c r="BO66" s="1"/>
  <c r="I66"/>
  <c r="I68" s="1"/>
  <c r="BQ65"/>
  <c r="BN65"/>
  <c r="BM65"/>
  <c r="BL65"/>
  <c r="BK65"/>
  <c r="AR65"/>
  <c r="BP65" s="1"/>
  <c r="AQ65"/>
  <c r="BQ64"/>
  <c r="BP64"/>
  <c r="BO64"/>
  <c r="BN64"/>
  <c r="BM64"/>
  <c r="BL64"/>
  <c r="BK64"/>
  <c r="BH63"/>
  <c r="BG63"/>
  <c r="BF63"/>
  <c r="BE63"/>
  <c r="BD63"/>
  <c r="BC63"/>
  <c r="BB63"/>
  <c r="AY63"/>
  <c r="AX63"/>
  <c r="AW63"/>
  <c r="AV63"/>
  <c r="AS63"/>
  <c r="AR63"/>
  <c r="AQ63"/>
  <c r="AP63"/>
  <c r="AM63"/>
  <c r="AL63"/>
  <c r="AJ63"/>
  <c r="AH63"/>
  <c r="AG63"/>
  <c r="AD63"/>
  <c r="AC63"/>
  <c r="AB63"/>
  <c r="AA63"/>
  <c r="Z63"/>
  <c r="Y63"/>
  <c r="X63"/>
  <c r="U63"/>
  <c r="T63"/>
  <c r="S63"/>
  <c r="R63"/>
  <c r="Q63"/>
  <c r="P63"/>
  <c r="O63"/>
  <c r="L63"/>
  <c r="I63"/>
  <c r="G63"/>
  <c r="F63"/>
  <c r="BQ62"/>
  <c r="BP62"/>
  <c r="BO62"/>
  <c r="BN62"/>
  <c r="BM62"/>
  <c r="BL62"/>
  <c r="BK62"/>
  <c r="BQ61"/>
  <c r="BN61"/>
  <c r="BM61"/>
  <c r="BL61"/>
  <c r="BK61"/>
  <c r="K61"/>
  <c r="K63" s="1"/>
  <c r="J61"/>
  <c r="J63" s="1"/>
  <c r="BQ60"/>
  <c r="BP60"/>
  <c r="BN60"/>
  <c r="BM60"/>
  <c r="BL60"/>
  <c r="BK60"/>
  <c r="AK60"/>
  <c r="BO60" s="1"/>
  <c r="BQ59"/>
  <c r="BP59"/>
  <c r="BO59"/>
  <c r="BN59"/>
  <c r="BL59"/>
  <c r="BK59"/>
  <c r="H59"/>
  <c r="BM59" s="1"/>
  <c r="BQ58"/>
  <c r="BP58"/>
  <c r="BO58"/>
  <c r="BN58"/>
  <c r="BL58"/>
  <c r="BK58"/>
  <c r="H58"/>
  <c r="BQ57"/>
  <c r="BP57"/>
  <c r="BO57"/>
  <c r="BN57"/>
  <c r="BM57"/>
  <c r="BL57"/>
  <c r="BK57"/>
  <c r="BQ56"/>
  <c r="BP56"/>
  <c r="BO56"/>
  <c r="BN56"/>
  <c r="BM56"/>
  <c r="BL56"/>
  <c r="BK56"/>
  <c r="BQ55"/>
  <c r="BP55"/>
  <c r="BN55"/>
  <c r="BL55"/>
  <c r="BK55"/>
  <c r="AK55"/>
  <c r="AI55"/>
  <c r="BM55" s="1"/>
  <c r="BH54"/>
  <c r="BG54"/>
  <c r="BF54"/>
  <c r="BE54"/>
  <c r="BD54"/>
  <c r="BC54"/>
  <c r="BB54"/>
  <c r="AY54"/>
  <c r="AX54"/>
  <c r="AW54"/>
  <c r="AV54"/>
  <c r="AS54"/>
  <c r="AP54"/>
  <c r="AM54"/>
  <c r="AJ54"/>
  <c r="AH54"/>
  <c r="AG54"/>
  <c r="AB54"/>
  <c r="AA54"/>
  <c r="Z54"/>
  <c r="Y54"/>
  <c r="X54"/>
  <c r="U54"/>
  <c r="T54"/>
  <c r="S54"/>
  <c r="R54"/>
  <c r="Q54"/>
  <c r="P54"/>
  <c r="O54"/>
  <c r="L54"/>
  <c r="K54"/>
  <c r="G54"/>
  <c r="F54"/>
  <c r="BQ53"/>
  <c r="BL53"/>
  <c r="BK53"/>
  <c r="AR53"/>
  <c r="BP53" s="1"/>
  <c r="AQ53"/>
  <c r="BO53" s="1"/>
  <c r="I53"/>
  <c r="BN53" s="1"/>
  <c r="H53"/>
  <c r="BO52"/>
  <c r="BN52"/>
  <c r="BL52"/>
  <c r="BK52"/>
  <c r="AD52"/>
  <c r="BQ52" s="1"/>
  <c r="AC52"/>
  <c r="AC54" s="1"/>
  <c r="H52"/>
  <c r="BM52" s="1"/>
  <c r="BQ51"/>
  <c r="BP51"/>
  <c r="BN51"/>
  <c r="BL51"/>
  <c r="BK51"/>
  <c r="J51"/>
  <c r="BO51" s="1"/>
  <c r="H51"/>
  <c r="BM51" s="1"/>
  <c r="BQ50"/>
  <c r="BO50"/>
  <c r="BN50"/>
  <c r="BL50"/>
  <c r="BK50"/>
  <c r="AR50"/>
  <c r="AU50" s="1"/>
  <c r="H50"/>
  <c r="BM50" s="1"/>
  <c r="BQ49"/>
  <c r="BP49"/>
  <c r="BO49"/>
  <c r="BN49"/>
  <c r="BM49"/>
  <c r="BL49"/>
  <c r="BK49"/>
  <c r="BQ48"/>
  <c r="BP48"/>
  <c r="BO48"/>
  <c r="BN48"/>
  <c r="BM48"/>
  <c r="BL48"/>
  <c r="BK48"/>
  <c r="BQ47"/>
  <c r="BL47"/>
  <c r="BK47"/>
  <c r="AR47"/>
  <c r="BP47" s="1"/>
  <c r="AQ47"/>
  <c r="I47"/>
  <c r="H47"/>
  <c r="BM47" s="1"/>
  <c r="BQ46"/>
  <c r="BN46"/>
  <c r="BL46"/>
  <c r="BK46"/>
  <c r="AL46"/>
  <c r="BP46" s="1"/>
  <c r="AK46"/>
  <c r="AK54" s="1"/>
  <c r="AI46"/>
  <c r="AI54" s="1"/>
  <c r="BH45"/>
  <c r="BG45"/>
  <c r="BF45"/>
  <c r="BE45"/>
  <c r="BD45"/>
  <c r="BC45"/>
  <c r="BB45"/>
  <c r="AY45"/>
  <c r="AX45"/>
  <c r="AW45"/>
  <c r="AV45"/>
  <c r="AS45"/>
  <c r="AP45"/>
  <c r="AM45"/>
  <c r="AL45"/>
  <c r="AK45"/>
  <c r="AJ45"/>
  <c r="AG45"/>
  <c r="AD45"/>
  <c r="AC45"/>
  <c r="AB45"/>
  <c r="AA45"/>
  <c r="Z45"/>
  <c r="Y45"/>
  <c r="X45"/>
  <c r="T45"/>
  <c r="R45"/>
  <c r="Q45"/>
  <c r="P45"/>
  <c r="O45"/>
  <c r="L45"/>
  <c r="G45"/>
  <c r="F45"/>
  <c r="BQ44"/>
  <c r="BP44"/>
  <c r="BO44"/>
  <c r="BN44"/>
  <c r="BM44"/>
  <c r="BL44"/>
  <c r="BK44"/>
  <c r="BQ43"/>
  <c r="BN43"/>
  <c r="BL43"/>
  <c r="BK43"/>
  <c r="K43"/>
  <c r="K45" s="1"/>
  <c r="J43"/>
  <c r="J45" s="1"/>
  <c r="H43"/>
  <c r="BM43" s="1"/>
  <c r="BQ42"/>
  <c r="BP42"/>
  <c r="BO42"/>
  <c r="BN42"/>
  <c r="BM42"/>
  <c r="BL42"/>
  <c r="BK42"/>
  <c r="BQ41"/>
  <c r="BP41"/>
  <c r="BO41"/>
  <c r="BN41"/>
  <c r="BM41"/>
  <c r="BL41"/>
  <c r="BK41"/>
  <c r="BQ40"/>
  <c r="BM40"/>
  <c r="BK40"/>
  <c r="AR40"/>
  <c r="AR45" s="1"/>
  <c r="AQ40"/>
  <c r="AQ45" s="1"/>
  <c r="AH40"/>
  <c r="AH45" s="1"/>
  <c r="I40"/>
  <c r="I45" s="1"/>
  <c r="BQ39"/>
  <c r="BP39"/>
  <c r="BO39"/>
  <c r="BN39"/>
  <c r="BM39"/>
  <c r="BL39"/>
  <c r="BK39"/>
  <c r="BP38"/>
  <c r="BN38"/>
  <c r="BM38"/>
  <c r="BL38"/>
  <c r="BK38"/>
  <c r="U38"/>
  <c r="U45" s="1"/>
  <c r="S38"/>
  <c r="BO38" s="1"/>
  <c r="BQ37"/>
  <c r="BP37"/>
  <c r="BO37"/>
  <c r="BN37"/>
  <c r="BL37"/>
  <c r="BK37"/>
  <c r="AI37"/>
  <c r="AI45" s="1"/>
  <c r="BQ36"/>
  <c r="BP36"/>
  <c r="BO36"/>
  <c r="BN36"/>
  <c r="BL36"/>
  <c r="BK36"/>
  <c r="H36"/>
  <c r="BH35"/>
  <c r="BG35"/>
  <c r="BF35"/>
  <c r="BE35"/>
  <c r="BD35"/>
  <c r="BC35"/>
  <c r="BB35"/>
  <c r="AX35"/>
  <c r="AW35"/>
  <c r="AV35"/>
  <c r="AS35"/>
  <c r="AR35"/>
  <c r="AQ35"/>
  <c r="AP35"/>
  <c r="AM35"/>
  <c r="AL35"/>
  <c r="AK35"/>
  <c r="AJ35"/>
  <c r="AI35"/>
  <c r="AH35"/>
  <c r="AG35"/>
  <c r="AD35"/>
  <c r="AC35"/>
  <c r="AB35"/>
  <c r="AA35"/>
  <c r="Z35"/>
  <c r="Y35"/>
  <c r="X35"/>
  <c r="U35"/>
  <c r="T35"/>
  <c r="S35"/>
  <c r="R35"/>
  <c r="Q35"/>
  <c r="P35"/>
  <c r="O35"/>
  <c r="L35"/>
  <c r="K35"/>
  <c r="J35"/>
  <c r="I35"/>
  <c r="G35"/>
  <c r="F35"/>
  <c r="BQ34"/>
  <c r="BP34"/>
  <c r="BO34"/>
  <c r="BN34"/>
  <c r="BM34"/>
  <c r="BL34"/>
  <c r="BK34"/>
  <c r="BQ33"/>
  <c r="BP33"/>
  <c r="BO33"/>
  <c r="BN33"/>
  <c r="BM33"/>
  <c r="BL33"/>
  <c r="BK33"/>
  <c r="BP32"/>
  <c r="BO32"/>
  <c r="BN32"/>
  <c r="BL32"/>
  <c r="BK32"/>
  <c r="AY32"/>
  <c r="AY35" s="1"/>
  <c r="H32"/>
  <c r="BM32" s="1"/>
  <c r="BQ31"/>
  <c r="BP31"/>
  <c r="BO31"/>
  <c r="BN31"/>
  <c r="BM31"/>
  <c r="BL31"/>
  <c r="BK31"/>
  <c r="BA31"/>
  <c r="BH30"/>
  <c r="BG30"/>
  <c r="BF30"/>
  <c r="BE30"/>
  <c r="BD30"/>
  <c r="BC30"/>
  <c r="BB30"/>
  <c r="AY30"/>
  <c r="AX30"/>
  <c r="AW30"/>
  <c r="AV30"/>
  <c r="AS30"/>
  <c r="AR30"/>
  <c r="AQ30"/>
  <c r="AP30"/>
  <c r="AM30"/>
  <c r="AL30"/>
  <c r="AK30"/>
  <c r="AJ30"/>
  <c r="AI30"/>
  <c r="AH30"/>
  <c r="AG30"/>
  <c r="AD30"/>
  <c r="AC30"/>
  <c r="AB30"/>
  <c r="AA30"/>
  <c r="Z30"/>
  <c r="Y30"/>
  <c r="X30"/>
  <c r="U30"/>
  <c r="T30"/>
  <c r="S30"/>
  <c r="R30"/>
  <c r="Q30"/>
  <c r="P30"/>
  <c r="O30"/>
  <c r="L30"/>
  <c r="K30"/>
  <c r="J30"/>
  <c r="I30"/>
  <c r="H30"/>
  <c r="G30"/>
  <c r="F30"/>
  <c r="BQ29"/>
  <c r="BP29"/>
  <c r="BO29"/>
  <c r="BN29"/>
  <c r="BM29"/>
  <c r="BL29"/>
  <c r="BK29"/>
  <c r="BQ28"/>
  <c r="BP28"/>
  <c r="BO28"/>
  <c r="BN28"/>
  <c r="BM28"/>
  <c r="BL28"/>
  <c r="BK28"/>
  <c r="W30"/>
  <c r="BH27"/>
  <c r="BG27"/>
  <c r="BF27"/>
  <c r="BE27"/>
  <c r="BD27"/>
  <c r="BC27"/>
  <c r="BB27"/>
  <c r="AY27"/>
  <c r="AX27"/>
  <c r="AW27"/>
  <c r="AV27"/>
  <c r="AS27"/>
  <c r="AP27"/>
  <c r="AM27"/>
  <c r="AL27"/>
  <c r="AJ27"/>
  <c r="AH27"/>
  <c r="AG27"/>
  <c r="AD27"/>
  <c r="AC27"/>
  <c r="AB27"/>
  <c r="AA27"/>
  <c r="Z27"/>
  <c r="Y27"/>
  <c r="X27"/>
  <c r="U27"/>
  <c r="T27"/>
  <c r="S27"/>
  <c r="R27"/>
  <c r="Q27"/>
  <c r="P27"/>
  <c r="O27"/>
  <c r="L27"/>
  <c r="K27"/>
  <c r="G27"/>
  <c r="F27"/>
  <c r="BQ26"/>
  <c r="BP26"/>
  <c r="BO26"/>
  <c r="BN26"/>
  <c r="BM26"/>
  <c r="BL26"/>
  <c r="BK26"/>
  <c r="BQ25"/>
  <c r="BP25"/>
  <c r="BN25"/>
  <c r="BM25"/>
  <c r="BL25"/>
  <c r="BK25"/>
  <c r="AK25"/>
  <c r="AK27" s="1"/>
  <c r="BQ24"/>
  <c r="BP24"/>
  <c r="BN24"/>
  <c r="BL24"/>
  <c r="BK24"/>
  <c r="J24"/>
  <c r="BO24" s="1"/>
  <c r="H24"/>
  <c r="BM24" s="1"/>
  <c r="BQ23"/>
  <c r="BL23"/>
  <c r="BK23"/>
  <c r="AR23"/>
  <c r="BP23" s="1"/>
  <c r="AQ23"/>
  <c r="BO23" s="1"/>
  <c r="AI23"/>
  <c r="AI27" s="1"/>
  <c r="I23"/>
  <c r="BN23" s="1"/>
  <c r="BQ22"/>
  <c r="BM22"/>
  <c r="BL22"/>
  <c r="BK22"/>
  <c r="AR22"/>
  <c r="AQ22"/>
  <c r="I22"/>
  <c r="BH21"/>
  <c r="BG21"/>
  <c r="BF21"/>
  <c r="BE21"/>
  <c r="BD21"/>
  <c r="BC21"/>
  <c r="BB21"/>
  <c r="AY21"/>
  <c r="AX21"/>
  <c r="AW21"/>
  <c r="AV21"/>
  <c r="AS21"/>
  <c r="AR21"/>
  <c r="AQ21"/>
  <c r="AP21"/>
  <c r="AM21"/>
  <c r="AL21"/>
  <c r="AK21"/>
  <c r="AJ21"/>
  <c r="AI21"/>
  <c r="AH21"/>
  <c r="AG21"/>
  <c r="AD21"/>
  <c r="AC21"/>
  <c r="AB21"/>
  <c r="AA21"/>
  <c r="Z21"/>
  <c r="Y21"/>
  <c r="X21"/>
  <c r="U21"/>
  <c r="T21"/>
  <c r="S21"/>
  <c r="R21"/>
  <c r="Q21"/>
  <c r="P21"/>
  <c r="O21"/>
  <c r="L21"/>
  <c r="I21"/>
  <c r="G21"/>
  <c r="F21"/>
  <c r="BQ20"/>
  <c r="BN20"/>
  <c r="BL20"/>
  <c r="BK20"/>
  <c r="K20"/>
  <c r="BP20" s="1"/>
  <c r="J20"/>
  <c r="BO20" s="1"/>
  <c r="H20"/>
  <c r="H21" s="1"/>
  <c r="BQ19"/>
  <c r="BP19"/>
  <c r="BO19"/>
  <c r="BN19"/>
  <c r="BM19"/>
  <c r="BL19"/>
  <c r="BK19"/>
  <c r="BQ18"/>
  <c r="BN18"/>
  <c r="BM18"/>
  <c r="BL18"/>
  <c r="BK18"/>
  <c r="K18"/>
  <c r="J18"/>
  <c r="BO18" s="1"/>
  <c r="BQ17"/>
  <c r="BP17"/>
  <c r="BO17"/>
  <c r="BN17"/>
  <c r="BM17"/>
  <c r="BL17"/>
  <c r="BK17"/>
  <c r="BH16"/>
  <c r="BG16"/>
  <c r="BF16"/>
  <c r="BE16"/>
  <c r="BD16"/>
  <c r="BC16"/>
  <c r="BB16"/>
  <c r="AV16"/>
  <c r="AS16"/>
  <c r="AP16"/>
  <c r="AM16"/>
  <c r="AJ16"/>
  <c r="AH16"/>
  <c r="AG16"/>
  <c r="AD16"/>
  <c r="AC16"/>
  <c r="AB16"/>
  <c r="AA16"/>
  <c r="Z16"/>
  <c r="Y16"/>
  <c r="X16"/>
  <c r="R16"/>
  <c r="Q16"/>
  <c r="P16"/>
  <c r="O16"/>
  <c r="L16"/>
  <c r="K16"/>
  <c r="J16"/>
  <c r="G16"/>
  <c r="F16"/>
  <c r="BP15"/>
  <c r="BL15"/>
  <c r="BK15"/>
  <c r="U15"/>
  <c r="BQ15" s="1"/>
  <c r="S15"/>
  <c r="BO15" s="1"/>
  <c r="I15"/>
  <c r="BN15" s="1"/>
  <c r="H15"/>
  <c r="BM15" s="1"/>
  <c r="BQ14"/>
  <c r="BL14"/>
  <c r="BK14"/>
  <c r="AR14"/>
  <c r="BP14" s="1"/>
  <c r="AQ14"/>
  <c r="BO14" s="1"/>
  <c r="AI14"/>
  <c r="AO14" s="1"/>
  <c r="I14"/>
  <c r="BN14" s="1"/>
  <c r="H14"/>
  <c r="BN13"/>
  <c r="BM13"/>
  <c r="BL13"/>
  <c r="BK13"/>
  <c r="U13"/>
  <c r="BQ13" s="1"/>
  <c r="T13"/>
  <c r="T16" s="1"/>
  <c r="S13"/>
  <c r="BQ12"/>
  <c r="BN12"/>
  <c r="BL12"/>
  <c r="BK12"/>
  <c r="AL12"/>
  <c r="BP12" s="1"/>
  <c r="AK12"/>
  <c r="BO12" s="1"/>
  <c r="AI12"/>
  <c r="BM12" s="1"/>
  <c r="BQ11"/>
  <c r="BN11"/>
  <c r="BM11"/>
  <c r="BL11"/>
  <c r="BK11"/>
  <c r="AR11"/>
  <c r="BP11" s="1"/>
  <c r="AQ11"/>
  <c r="BO11" s="1"/>
  <c r="BQ10"/>
  <c r="BN10"/>
  <c r="BL10"/>
  <c r="BK10"/>
  <c r="AL10"/>
  <c r="AK10"/>
  <c r="AI10"/>
  <c r="BM10" s="1"/>
  <c r="BN9"/>
  <c r="BM9"/>
  <c r="BL9"/>
  <c r="BK9"/>
  <c r="AY9"/>
  <c r="AY16" s="1"/>
  <c r="AX9"/>
  <c r="BP9" s="1"/>
  <c r="AW9"/>
  <c r="AW16" s="1"/>
  <c r="BQ8"/>
  <c r="BL8"/>
  <c r="BK8"/>
  <c r="AR8"/>
  <c r="BP8" s="1"/>
  <c r="AQ8"/>
  <c r="AI8"/>
  <c r="AO8" s="1"/>
  <c r="I8"/>
  <c r="BN8" s="1"/>
  <c r="H8"/>
  <c r="BQ7"/>
  <c r="BL7"/>
  <c r="BK7"/>
  <c r="AR7"/>
  <c r="BP7" s="1"/>
  <c r="AQ7"/>
  <c r="AI7"/>
  <c r="BM7" s="1"/>
  <c r="I7"/>
  <c r="N7" s="1"/>
  <c r="BQ6"/>
  <c r="BM6"/>
  <c r="BL6"/>
  <c r="BK6"/>
  <c r="AR6"/>
  <c r="BP6" s="1"/>
  <c r="AQ6"/>
  <c r="BO6" s="1"/>
  <c r="I6"/>
  <c r="BN6" s="1"/>
  <c r="BQ5"/>
  <c r="BL5"/>
  <c r="BK5"/>
  <c r="AR5"/>
  <c r="AQ5"/>
  <c r="AI5"/>
  <c r="AO5" s="1"/>
  <c r="I5"/>
  <c r="H5"/>
  <c r="G130" i="25"/>
  <c r="F130"/>
  <c r="E130"/>
  <c r="I127"/>
  <c r="K127" s="1"/>
  <c r="I119"/>
  <c r="K119" s="1"/>
  <c r="H117"/>
  <c r="K117" s="1"/>
  <c r="I116"/>
  <c r="K116" s="1"/>
  <c r="J112"/>
  <c r="K112" s="1"/>
  <c r="I110"/>
  <c r="K110" s="1"/>
  <c r="I109"/>
  <c r="K109" s="1"/>
  <c r="J103"/>
  <c r="K103" s="1"/>
  <c r="H101"/>
  <c r="K101" s="1"/>
  <c r="H100"/>
  <c r="K100" s="1"/>
  <c r="I92"/>
  <c r="K92" s="1"/>
  <c r="H89"/>
  <c r="K89" s="1"/>
  <c r="J88"/>
  <c r="K88" s="1"/>
  <c r="H86"/>
  <c r="K86" s="1"/>
  <c r="I82"/>
  <c r="K82" s="1"/>
  <c r="I81"/>
  <c r="K81" s="1"/>
  <c r="I78"/>
  <c r="K78" s="1"/>
  <c r="I77"/>
  <c r="K77" s="1"/>
  <c r="H76"/>
  <c r="K76" s="1"/>
  <c r="J74"/>
  <c r="K74" s="1"/>
  <c r="J73"/>
  <c r="K73" s="1"/>
  <c r="J71"/>
  <c r="K71" s="1"/>
  <c r="I66"/>
  <c r="K66" s="1"/>
  <c r="H61"/>
  <c r="K61" s="1"/>
  <c r="I58"/>
  <c r="K58" s="1"/>
  <c r="J57"/>
  <c r="K57" s="1"/>
  <c r="I53"/>
  <c r="K53" s="1"/>
  <c r="J52"/>
  <c r="K52" s="1"/>
  <c r="I51"/>
  <c r="K51" s="1"/>
  <c r="I50"/>
  <c r="K50" s="1"/>
  <c r="J43"/>
  <c r="K43" s="1"/>
  <c r="H39"/>
  <c r="K39" s="1"/>
  <c r="H31"/>
  <c r="K31" s="1"/>
  <c r="I25"/>
  <c r="K25" s="1"/>
  <c r="J23"/>
  <c r="K23" s="1"/>
  <c r="I13"/>
  <c r="K13" s="1"/>
  <c r="I11"/>
  <c r="K11" s="1"/>
  <c r="J7"/>
  <c r="K7" s="1"/>
  <c r="BR228" i="32" l="1"/>
  <c r="AR228"/>
  <c r="AF228"/>
  <c r="BM216"/>
  <c r="H228"/>
  <c r="BQ224"/>
  <c r="BQ228" s="1"/>
  <c r="U228"/>
  <c r="BA228"/>
  <c r="BK228"/>
  <c r="BJ159"/>
  <c r="AQ212"/>
  <c r="I212"/>
  <c r="AC168"/>
  <c r="BP194"/>
  <c r="K212"/>
  <c r="AW212"/>
  <c r="BK212"/>
  <c r="BP175"/>
  <c r="AL212"/>
  <c r="BR212"/>
  <c r="BQ195"/>
  <c r="U212"/>
  <c r="AK212"/>
  <c r="BP176"/>
  <c r="AR212"/>
  <c r="AF183"/>
  <c r="AD212"/>
  <c r="AF159"/>
  <c r="BL168"/>
  <c r="H212"/>
  <c r="BQ187"/>
  <c r="AY212"/>
  <c r="BM160"/>
  <c r="H168"/>
  <c r="W168"/>
  <c r="BJ168"/>
  <c r="BR168"/>
  <c r="BP161"/>
  <c r="AL168"/>
  <c r="AK168"/>
  <c r="BN168"/>
  <c r="W151"/>
  <c r="BK168"/>
  <c r="AU168"/>
  <c r="AB168"/>
  <c r="AO156"/>
  <c r="AO159" s="1"/>
  <c r="AH159"/>
  <c r="BA159"/>
  <c r="BP155"/>
  <c r="T159"/>
  <c r="BQ151"/>
  <c r="AU159"/>
  <c r="BN159"/>
  <c r="BR159"/>
  <c r="BK159"/>
  <c r="BQ152"/>
  <c r="BQ153" s="1"/>
  <c r="U153"/>
  <c r="BO150"/>
  <c r="AQ151"/>
  <c r="N150"/>
  <c r="N151" s="1"/>
  <c r="I151"/>
  <c r="BM151"/>
  <c r="BA151"/>
  <c r="BL151"/>
  <c r="BK151"/>
  <c r="BP149"/>
  <c r="AL151"/>
  <c r="AF151"/>
  <c r="BJ127"/>
  <c r="H45"/>
  <c r="N193"/>
  <c r="AQ54"/>
  <c r="BM87"/>
  <c r="T118"/>
  <c r="N85"/>
  <c r="N86" s="1"/>
  <c r="AF127"/>
  <c r="AQ68"/>
  <c r="BJ30"/>
  <c r="BM8"/>
  <c r="W13"/>
  <c r="W99"/>
  <c r="BM104"/>
  <c r="BL156"/>
  <c r="BS156" s="1"/>
  <c r="BA123"/>
  <c r="H63"/>
  <c r="AU30"/>
  <c r="BJ68"/>
  <c r="H148"/>
  <c r="N112"/>
  <c r="W120"/>
  <c r="AO30"/>
  <c r="AU5"/>
  <c r="BJ63"/>
  <c r="AL16"/>
  <c r="AK16"/>
  <c r="AY118"/>
  <c r="AR118"/>
  <c r="AU222"/>
  <c r="AU35"/>
  <c r="AU104"/>
  <c r="AW148"/>
  <c r="AO211"/>
  <c r="AF209"/>
  <c r="W35"/>
  <c r="J118"/>
  <c r="W195"/>
  <c r="BJ21"/>
  <c r="BR45"/>
  <c r="BR68"/>
  <c r="S118"/>
  <c r="AF162"/>
  <c r="N30"/>
  <c r="AO35"/>
  <c r="AF167"/>
  <c r="AU223"/>
  <c r="W63"/>
  <c r="AF27"/>
  <c r="AF63"/>
  <c r="AU7"/>
  <c r="BM14"/>
  <c r="BS14" s="1"/>
  <c r="AU115"/>
  <c r="AK174"/>
  <c r="AU179"/>
  <c r="AU219"/>
  <c r="AO127"/>
  <c r="W27"/>
  <c r="AU123"/>
  <c r="AF16"/>
  <c r="AF21"/>
  <c r="AF45"/>
  <c r="AF68"/>
  <c r="BA21"/>
  <c r="BA54"/>
  <c r="AU8"/>
  <c r="I54"/>
  <c r="AY148"/>
  <c r="U148"/>
  <c r="AO161"/>
  <c r="BJ27"/>
  <c r="BJ174"/>
  <c r="BR30"/>
  <c r="BM5"/>
  <c r="BA87"/>
  <c r="AK118"/>
  <c r="AO21"/>
  <c r="AQ27"/>
  <c r="AK63"/>
  <c r="W21"/>
  <c r="W84"/>
  <c r="U118"/>
  <c r="AF35"/>
  <c r="AF84"/>
  <c r="BA63"/>
  <c r="BA84"/>
  <c r="BR35"/>
  <c r="BR54"/>
  <c r="BR127"/>
  <c r="BR84"/>
  <c r="BR21"/>
  <c r="BR174"/>
  <c r="W54"/>
  <c r="AO68"/>
  <c r="BR123"/>
  <c r="BR148"/>
  <c r="BR63"/>
  <c r="AF174"/>
  <c r="BS114"/>
  <c r="BS157"/>
  <c r="BK30"/>
  <c r="BO30"/>
  <c r="BS124"/>
  <c r="F230"/>
  <c r="BS220"/>
  <c r="N123"/>
  <c r="N174"/>
  <c r="AP230"/>
  <c r="BS56"/>
  <c r="BQ27"/>
  <c r="BS79"/>
  <c r="BS82"/>
  <c r="AA230"/>
  <c r="BG230"/>
  <c r="BG232" s="1"/>
  <c r="BS31"/>
  <c r="BS42"/>
  <c r="BM68"/>
  <c r="BQ68"/>
  <c r="BS203"/>
  <c r="BS207"/>
  <c r="BS17"/>
  <c r="BS39"/>
  <c r="BS57"/>
  <c r="BS67"/>
  <c r="BS74"/>
  <c r="BS98"/>
  <c r="BS110"/>
  <c r="BS122"/>
  <c r="BS136"/>
  <c r="BS140"/>
  <c r="BS172"/>
  <c r="BS180"/>
  <c r="BS184"/>
  <c r="BS192"/>
  <c r="BS200"/>
  <c r="AJ230"/>
  <c r="BL27"/>
  <c r="BS24"/>
  <c r="BS26"/>
  <c r="BS44"/>
  <c r="BS48"/>
  <c r="BS59"/>
  <c r="BS62"/>
  <c r="BS64"/>
  <c r="BS102"/>
  <c r="BS103"/>
  <c r="BS107"/>
  <c r="BS108"/>
  <c r="BS119"/>
  <c r="BS126"/>
  <c r="BS139"/>
  <c r="BS146"/>
  <c r="BS164"/>
  <c r="BK174"/>
  <c r="BS171"/>
  <c r="BS177"/>
  <c r="BS181"/>
  <c r="BS196"/>
  <c r="BS197"/>
  <c r="BS198"/>
  <c r="BS201"/>
  <c r="BS205"/>
  <c r="BS211"/>
  <c r="BS217"/>
  <c r="BS218"/>
  <c r="BS101"/>
  <c r="BS15"/>
  <c r="O230"/>
  <c r="X230"/>
  <c r="AS230"/>
  <c r="BD230"/>
  <c r="BD232" s="1"/>
  <c r="BH230"/>
  <c r="BS19"/>
  <c r="BS29"/>
  <c r="BS34"/>
  <c r="BS41"/>
  <c r="BS49"/>
  <c r="BS51"/>
  <c r="BS60"/>
  <c r="BS77"/>
  <c r="BS81"/>
  <c r="BS96"/>
  <c r="BS106"/>
  <c r="BS109"/>
  <c r="BS113"/>
  <c r="BS116"/>
  <c r="BS117"/>
  <c r="BS135"/>
  <c r="BS163"/>
  <c r="BS182"/>
  <c r="BS188"/>
  <c r="BS190"/>
  <c r="BS199"/>
  <c r="BS210"/>
  <c r="BS221"/>
  <c r="BS227"/>
  <c r="I130" i="25"/>
  <c r="BS206" i="32"/>
  <c r="BS91"/>
  <c r="BS92"/>
  <c r="BS208"/>
  <c r="BN30"/>
  <c r="N53"/>
  <c r="AL118"/>
  <c r="BS141"/>
  <c r="N142"/>
  <c r="BN174"/>
  <c r="N178"/>
  <c r="N186"/>
  <c r="N194"/>
  <c r="W38"/>
  <c r="W45" s="1"/>
  <c r="W145"/>
  <c r="AF185"/>
  <c r="AO89"/>
  <c r="AO93"/>
  <c r="AO134"/>
  <c r="AO148" s="1"/>
  <c r="AU22"/>
  <c r="AU178"/>
  <c r="AU182"/>
  <c r="AU186"/>
  <c r="AU216"/>
  <c r="AU220"/>
  <c r="BA98"/>
  <c r="BA135"/>
  <c r="BA139"/>
  <c r="BI230"/>
  <c r="BI232" s="1"/>
  <c r="BJ104"/>
  <c r="BJ187"/>
  <c r="BS6"/>
  <c r="BS97"/>
  <c r="BS105"/>
  <c r="BS11"/>
  <c r="BS138"/>
  <c r="N225"/>
  <c r="BS28"/>
  <c r="BS69"/>
  <c r="BS71" s="1"/>
  <c r="BS169"/>
  <c r="W95"/>
  <c r="W107"/>
  <c r="W155"/>
  <c r="W159" s="1"/>
  <c r="W173"/>
  <c r="W174" s="1"/>
  <c r="W224"/>
  <c r="W228" s="1"/>
  <c r="AF52"/>
  <c r="AF54" s="1"/>
  <c r="AO12"/>
  <c r="AO23"/>
  <c r="AO60"/>
  <c r="AO92"/>
  <c r="AO121"/>
  <c r="AO123" s="1"/>
  <c r="AO166"/>
  <c r="AO171"/>
  <c r="AO188"/>
  <c r="AO204"/>
  <c r="AO226"/>
  <c r="AO228" s="1"/>
  <c r="AU11"/>
  <c r="AU40"/>
  <c r="AU45" s="1"/>
  <c r="AU53"/>
  <c r="AU94"/>
  <c r="AU102"/>
  <c r="AU193"/>
  <c r="BA9"/>
  <c r="BA16" s="1"/>
  <c r="BA105"/>
  <c r="BJ45"/>
  <c r="BJ87"/>
  <c r="BJ132"/>
  <c r="BJ148" s="1"/>
  <c r="BJ224"/>
  <c r="BJ228" s="1"/>
  <c r="BS33"/>
  <c r="BS100"/>
  <c r="BS12"/>
  <c r="BK21"/>
  <c r="K21"/>
  <c r="I27"/>
  <c r="AR27"/>
  <c r="BL30"/>
  <c r="BP30"/>
  <c r="AI118"/>
  <c r="AQ118"/>
  <c r="N94"/>
  <c r="BL123"/>
  <c r="BP123"/>
  <c r="W15"/>
  <c r="AF72"/>
  <c r="AF73" s="1"/>
  <c r="AO7"/>
  <c r="AO37"/>
  <c r="AO46"/>
  <c r="AO54" s="1"/>
  <c r="AO55"/>
  <c r="AO87"/>
  <c r="AO149"/>
  <c r="AO151" s="1"/>
  <c r="AO170"/>
  <c r="AO175"/>
  <c r="AO199"/>
  <c r="AU6"/>
  <c r="AU14"/>
  <c r="AU66"/>
  <c r="AU101"/>
  <c r="AU142"/>
  <c r="AU148" s="1"/>
  <c r="AU176"/>
  <c r="AU218"/>
  <c r="BA133"/>
  <c r="BA165"/>
  <c r="BA168" s="1"/>
  <c r="BA187"/>
  <c r="U16"/>
  <c r="BM35"/>
  <c r="H84"/>
  <c r="W97"/>
  <c r="W146"/>
  <c r="W152"/>
  <c r="W153" s="1"/>
  <c r="W196"/>
  <c r="W208"/>
  <c r="W213"/>
  <c r="W214" s="1"/>
  <c r="AF111"/>
  <c r="AF118" s="1"/>
  <c r="AF144"/>
  <c r="AF148" s="1"/>
  <c r="AO10"/>
  <c r="AO25"/>
  <c r="AO40"/>
  <c r="AO80"/>
  <c r="AO84" s="1"/>
  <c r="AO106"/>
  <c r="AO110"/>
  <c r="AO164"/>
  <c r="AO202"/>
  <c r="AU23"/>
  <c r="AU47"/>
  <c r="AU65"/>
  <c r="AU88"/>
  <c r="AU108"/>
  <c r="AU116"/>
  <c r="AU150"/>
  <c r="AU151" s="1"/>
  <c r="AU191"/>
  <c r="BA32"/>
  <c r="BA35" s="1"/>
  <c r="BA198"/>
  <c r="BJ176"/>
  <c r="BR118"/>
  <c r="BR27"/>
  <c r="AG230"/>
  <c r="BR16"/>
  <c r="BJ16"/>
  <c r="AZ230"/>
  <c r="AT230"/>
  <c r="AN230"/>
  <c r="AE230"/>
  <c r="V230"/>
  <c r="BP226"/>
  <c r="N15"/>
  <c r="N20"/>
  <c r="N36"/>
  <c r="N40"/>
  <c r="N58"/>
  <c r="N75"/>
  <c r="N90"/>
  <c r="N98"/>
  <c r="N102"/>
  <c r="N110"/>
  <c r="N130"/>
  <c r="N131" s="1"/>
  <c r="N147"/>
  <c r="N154"/>
  <c r="N158"/>
  <c r="N215"/>
  <c r="N219"/>
  <c r="BK123"/>
  <c r="BL187"/>
  <c r="BL212" s="1"/>
  <c r="N6"/>
  <c r="N14"/>
  <c r="N24"/>
  <c r="N43"/>
  <c r="N52"/>
  <c r="N61"/>
  <c r="N66"/>
  <c r="N68" s="1"/>
  <c r="N79"/>
  <c r="N93"/>
  <c r="N101"/>
  <c r="N105"/>
  <c r="N128"/>
  <c r="N129" s="1"/>
  <c r="N176"/>
  <c r="N196"/>
  <c r="N208"/>
  <c r="N222"/>
  <c r="AR16"/>
  <c r="AF123"/>
  <c r="BJ123"/>
  <c r="W127"/>
  <c r="BA127"/>
  <c r="AU174"/>
  <c r="N5"/>
  <c r="N18"/>
  <c r="N23"/>
  <c r="N47"/>
  <c r="N51"/>
  <c r="N78"/>
  <c r="N88"/>
  <c r="N104"/>
  <c r="N108"/>
  <c r="N116"/>
  <c r="N137"/>
  <c r="N179"/>
  <c r="N183"/>
  <c r="N187"/>
  <c r="N195"/>
  <c r="N221"/>
  <c r="I16"/>
  <c r="AQ16"/>
  <c r="BK16"/>
  <c r="AU127"/>
  <c r="BL127"/>
  <c r="N8"/>
  <c r="N22"/>
  <c r="N32"/>
  <c r="N35" s="1"/>
  <c r="N50"/>
  <c r="N59"/>
  <c r="N87"/>
  <c r="N95"/>
  <c r="N115"/>
  <c r="N125"/>
  <c r="N127" s="1"/>
  <c r="N160"/>
  <c r="N168" s="1"/>
  <c r="N182"/>
  <c r="N198"/>
  <c r="N216"/>
  <c r="M230"/>
  <c r="BP5"/>
  <c r="BO10"/>
  <c r="J21"/>
  <c r="BP22"/>
  <c r="BP27" s="1"/>
  <c r="H27"/>
  <c r="BA30"/>
  <c r="BO40"/>
  <c r="BO43"/>
  <c r="BJ54"/>
  <c r="BN47"/>
  <c r="BM53"/>
  <c r="BS53" s="1"/>
  <c r="BP68"/>
  <c r="BA68"/>
  <c r="AR68"/>
  <c r="BP78"/>
  <c r="BS78" s="1"/>
  <c r="BP90"/>
  <c r="BP125"/>
  <c r="BP127" s="1"/>
  <c r="BN130"/>
  <c r="BN131" s="1"/>
  <c r="BL132"/>
  <c r="BS132" s="1"/>
  <c r="BO142"/>
  <c r="BN147"/>
  <c r="BS147" s="1"/>
  <c r="R148"/>
  <c r="R230" s="1"/>
  <c r="BO149"/>
  <c r="BO151" s="1"/>
  <c r="BP150"/>
  <c r="BQ155"/>
  <c r="BQ159" s="1"/>
  <c r="BM166"/>
  <c r="BS166" s="1"/>
  <c r="BO222"/>
  <c r="BO223"/>
  <c r="BS223" s="1"/>
  <c r="BO224"/>
  <c r="BO5"/>
  <c r="BO7"/>
  <c r="BO22"/>
  <c r="BA27"/>
  <c r="BM23"/>
  <c r="BS23" s="1"/>
  <c r="BA45"/>
  <c r="BM46"/>
  <c r="AR54"/>
  <c r="AD54"/>
  <c r="AL54"/>
  <c r="W68"/>
  <c r="BM75"/>
  <c r="BS75" s="1"/>
  <c r="BP133"/>
  <c r="BA174"/>
  <c r="BP215"/>
  <c r="BN7"/>
  <c r="BQ9"/>
  <c r="BQ16" s="1"/>
  <c r="AX16"/>
  <c r="AU21"/>
  <c r="BQ38"/>
  <c r="BS38" s="1"/>
  <c r="BO61"/>
  <c r="BO83"/>
  <c r="BS83" s="1"/>
  <c r="BO104"/>
  <c r="BP134"/>
  <c r="BQ165"/>
  <c r="BN176"/>
  <c r="BN212" s="1"/>
  <c r="BO187"/>
  <c r="BO8"/>
  <c r="BS8" s="1"/>
  <c r="BO21"/>
  <c r="BP18"/>
  <c r="BS18" s="1"/>
  <c r="BO25"/>
  <c r="BS25" s="1"/>
  <c r="AF30"/>
  <c r="BJ35"/>
  <c r="H35"/>
  <c r="BP40"/>
  <c r="BP43"/>
  <c r="AU63"/>
  <c r="BO80"/>
  <c r="BQ87"/>
  <c r="BO89"/>
  <c r="BO95"/>
  <c r="BO134"/>
  <c r="BM137"/>
  <c r="BS137" s="1"/>
  <c r="BO145"/>
  <c r="BP173"/>
  <c r="BP174" s="1"/>
  <c r="BM189"/>
  <c r="BS189" s="1"/>
  <c r="BM191"/>
  <c r="BS191" s="1"/>
  <c r="BO226"/>
  <c r="BN21"/>
  <c r="BL35"/>
  <c r="BN35"/>
  <c r="BL68"/>
  <c r="BQ84"/>
  <c r="BO127"/>
  <c r="BQ21"/>
  <c r="BK35"/>
  <c r="BO35"/>
  <c r="BL63"/>
  <c r="BK84"/>
  <c r="BN118"/>
  <c r="BN127"/>
  <c r="BK148"/>
  <c r="BM174"/>
  <c r="BK27"/>
  <c r="BP35"/>
  <c r="BN63"/>
  <c r="BK118"/>
  <c r="BK127"/>
  <c r="BL16"/>
  <c r="BL21"/>
  <c r="BM30"/>
  <c r="BQ30"/>
  <c r="BL54"/>
  <c r="BK63"/>
  <c r="BQ63"/>
  <c r="BN123"/>
  <c r="BQ127"/>
  <c r="BL174"/>
  <c r="BQ54"/>
  <c r="BN5"/>
  <c r="BO9"/>
  <c r="BP13"/>
  <c r="H16"/>
  <c r="L230"/>
  <c r="Q230"/>
  <c r="Z230"/>
  <c r="AI16"/>
  <c r="AM230"/>
  <c r="BB230"/>
  <c r="BB232" s="1"/>
  <c r="BF230"/>
  <c r="BF232" s="1"/>
  <c r="BN22"/>
  <c r="BN27" s="1"/>
  <c r="J27"/>
  <c r="BQ32"/>
  <c r="BS32" s="1"/>
  <c r="BM36"/>
  <c r="BS36" s="1"/>
  <c r="BM37"/>
  <c r="BS37" s="1"/>
  <c r="BN40"/>
  <c r="BN45" s="1"/>
  <c r="S45"/>
  <c r="BO46"/>
  <c r="J54"/>
  <c r="BN66"/>
  <c r="BS66" s="1"/>
  <c r="BN73"/>
  <c r="J84"/>
  <c r="W123"/>
  <c r="BP10"/>
  <c r="BO13"/>
  <c r="G230"/>
  <c r="P230"/>
  <c r="Y230"/>
  <c r="AH230"/>
  <c r="AV230"/>
  <c r="BE230"/>
  <c r="BE232" s="1"/>
  <c r="BM20"/>
  <c r="BM21" s="1"/>
  <c r="BO47"/>
  <c r="BP50"/>
  <c r="BS50" s="1"/>
  <c r="BO55"/>
  <c r="BM58"/>
  <c r="BM63" s="1"/>
  <c r="BP61"/>
  <c r="BP63" s="1"/>
  <c r="AI63"/>
  <c r="BO65"/>
  <c r="BO68" s="1"/>
  <c r="BJ84"/>
  <c r="BN84"/>
  <c r="BP80"/>
  <c r="BP84" s="1"/>
  <c r="BD234"/>
  <c r="BL118"/>
  <c r="S16"/>
  <c r="BL40"/>
  <c r="BL45" s="1"/>
  <c r="BK45"/>
  <c r="BP52"/>
  <c r="BS52" s="1"/>
  <c r="H54"/>
  <c r="BK54"/>
  <c r="BK68"/>
  <c r="BG234"/>
  <c r="BQ72"/>
  <c r="BQ73" s="1"/>
  <c r="AU84"/>
  <c r="BL84"/>
  <c r="BO85"/>
  <c r="BO86" s="1"/>
  <c r="BO87"/>
  <c r="BM88"/>
  <c r="BP89"/>
  <c r="BP93"/>
  <c r="BS93" s="1"/>
  <c r="BM94"/>
  <c r="BQ95"/>
  <c r="BQ111"/>
  <c r="BO115"/>
  <c r="BS115" s="1"/>
  <c r="I118"/>
  <c r="AX118"/>
  <c r="BC118"/>
  <c r="BC230" s="1"/>
  <c r="BC232" s="1"/>
  <c r="BO121"/>
  <c r="BP128"/>
  <c r="BP129" s="1"/>
  <c r="BN129"/>
  <c r="BM142"/>
  <c r="BM143"/>
  <c r="BS143" s="1"/>
  <c r="BO144"/>
  <c r="BQ145"/>
  <c r="T148"/>
  <c r="AC148"/>
  <c r="BN150"/>
  <c r="BN151" s="1"/>
  <c r="BM154"/>
  <c r="BM159" s="1"/>
  <c r="BO155"/>
  <c r="BP158"/>
  <c r="BP160"/>
  <c r="BO161"/>
  <c r="BS161" s="1"/>
  <c r="BQ162"/>
  <c r="BO165"/>
  <c r="BO175"/>
  <c r="BO176"/>
  <c r="BM178"/>
  <c r="BS178" s="1"/>
  <c r="BO179"/>
  <c r="BS179" s="1"/>
  <c r="BQ183"/>
  <c r="BS183" s="1"/>
  <c r="BP185"/>
  <c r="BM186"/>
  <c r="BS186" s="1"/>
  <c r="BP187"/>
  <c r="BM193"/>
  <c r="BS193" s="1"/>
  <c r="BO194"/>
  <c r="BP195"/>
  <c r="BP202"/>
  <c r="BS202" s="1"/>
  <c r="BP204"/>
  <c r="BS204" s="1"/>
  <c r="BO215"/>
  <c r="BL216"/>
  <c r="BP216"/>
  <c r="BO219"/>
  <c r="BS219" s="1"/>
  <c r="BN222"/>
  <c r="BN228" s="1"/>
  <c r="BL224"/>
  <c r="BP224"/>
  <c r="BP94"/>
  <c r="BP95"/>
  <c r="BO99"/>
  <c r="BS99" s="1"/>
  <c r="BP111"/>
  <c r="H118"/>
  <c r="AW118"/>
  <c r="BO120"/>
  <c r="S123"/>
  <c r="BM125"/>
  <c r="BM127" s="1"/>
  <c r="BO128"/>
  <c r="BO129" s="1"/>
  <c r="BQ133"/>
  <c r="BP142"/>
  <c r="BO158"/>
  <c r="BO160"/>
  <c r="BP162"/>
  <c r="BO170"/>
  <c r="BS170" s="1"/>
  <c r="BQ173"/>
  <c r="BQ174" s="1"/>
  <c r="BO185"/>
  <c r="BO195"/>
  <c r="BQ213"/>
  <c r="BQ214" s="1"/>
  <c r="BO216"/>
  <c r="BM225"/>
  <c r="BS225" s="1"/>
  <c r="BM85"/>
  <c r="H86"/>
  <c r="BO88"/>
  <c r="BO111"/>
  <c r="BM112"/>
  <c r="BS112" s="1"/>
  <c r="BM121"/>
  <c r="BM123" s="1"/>
  <c r="BQ144"/>
  <c r="I148"/>
  <c r="BO162"/>
  <c r="BO167"/>
  <c r="BS167" s="1"/>
  <c r="AB230"/>
  <c r="AL174"/>
  <c r="BM176"/>
  <c r="BM194"/>
  <c r="BO209"/>
  <c r="BS209" s="1"/>
  <c r="AY230"/>
  <c r="BP85"/>
  <c r="BP86" s="1"/>
  <c r="BO90"/>
  <c r="BQ120"/>
  <c r="BQ123" s="1"/>
  <c r="BO133"/>
  <c r="BP152"/>
  <c r="BP153" s="1"/>
  <c r="BP165"/>
  <c r="BO173"/>
  <c r="BO213"/>
  <c r="BO214" s="1"/>
  <c r="BM224"/>
  <c r="K130" i="25"/>
  <c r="J130"/>
  <c r="H130"/>
  <c r="AU228" i="32" l="1"/>
  <c r="BM228"/>
  <c r="AW230"/>
  <c r="BO228"/>
  <c r="BL228"/>
  <c r="BA212"/>
  <c r="BP228"/>
  <c r="BJ212"/>
  <c r="N228"/>
  <c r="P232"/>
  <c r="P234" s="1"/>
  <c r="AZ232"/>
  <c r="AZ234" s="1"/>
  <c r="O232"/>
  <c r="O234" s="1"/>
  <c r="AP232"/>
  <c r="AP234" s="1"/>
  <c r="Y232"/>
  <c r="Y234" s="1"/>
  <c r="L232"/>
  <c r="L234" s="1"/>
  <c r="AT232"/>
  <c r="AT234" s="1"/>
  <c r="X232"/>
  <c r="X234" s="1"/>
  <c r="AH232"/>
  <c r="AH234" s="1"/>
  <c r="Q232"/>
  <c r="Q234" s="1"/>
  <c r="AN232"/>
  <c r="AN234" s="1"/>
  <c r="AS232"/>
  <c r="AS234" s="1"/>
  <c r="AV232"/>
  <c r="AV234" s="1"/>
  <c r="Z232"/>
  <c r="Z234" s="1"/>
  <c r="AE232"/>
  <c r="AE234" s="1"/>
  <c r="V232"/>
  <c r="V234" s="1"/>
  <c r="BH234"/>
  <c r="BH232"/>
  <c r="AJ232"/>
  <c r="AJ234" s="1"/>
  <c r="AM232"/>
  <c r="AM234" s="1"/>
  <c r="AA232"/>
  <c r="AA234" s="1"/>
  <c r="R232"/>
  <c r="R234" s="1"/>
  <c r="AY232"/>
  <c r="AY234" s="1"/>
  <c r="M232"/>
  <c r="M234" s="1"/>
  <c r="F234"/>
  <c r="F232"/>
  <c r="AU212"/>
  <c r="BL159"/>
  <c r="AG232"/>
  <c r="AG234" s="1"/>
  <c r="AB232"/>
  <c r="AB234" s="1"/>
  <c r="AW234"/>
  <c r="AW232"/>
  <c r="G232"/>
  <c r="G234" s="1"/>
  <c r="N212"/>
  <c r="W212"/>
  <c r="W16"/>
  <c r="AF212"/>
  <c r="AF230" s="1"/>
  <c r="AF232" s="1"/>
  <c r="BM212"/>
  <c r="AK230"/>
  <c r="AF168"/>
  <c r="BS90"/>
  <c r="BQ212"/>
  <c r="BO159"/>
  <c r="AO168"/>
  <c r="BQ168"/>
  <c r="AO212"/>
  <c r="BP212"/>
  <c r="BS175"/>
  <c r="BO212"/>
  <c r="BM168"/>
  <c r="BP168"/>
  <c r="BO168"/>
  <c r="BP159"/>
  <c r="N159"/>
  <c r="BM16"/>
  <c r="BP151"/>
  <c r="BM54"/>
  <c r="BP148"/>
  <c r="BS134"/>
  <c r="BL148"/>
  <c r="BS104"/>
  <c r="W148"/>
  <c r="BM84"/>
  <c r="BS226"/>
  <c r="BS160"/>
  <c r="AO174"/>
  <c r="AO63"/>
  <c r="AO27"/>
  <c r="AU27"/>
  <c r="BA118"/>
  <c r="BS158"/>
  <c r="BS185"/>
  <c r="BO63"/>
  <c r="BP45"/>
  <c r="AQ230"/>
  <c r="N21"/>
  <c r="BS155"/>
  <c r="N27"/>
  <c r="BS173"/>
  <c r="BS174" s="1"/>
  <c r="BS215"/>
  <c r="N63"/>
  <c r="AU68"/>
  <c r="N148"/>
  <c r="BS133"/>
  <c r="BS176"/>
  <c r="BS85"/>
  <c r="BS86" s="1"/>
  <c r="AD230"/>
  <c r="BN148"/>
  <c r="AX230"/>
  <c r="BS9"/>
  <c r="BO27"/>
  <c r="AU16"/>
  <c r="AO45"/>
  <c r="N54"/>
  <c r="BS194"/>
  <c r="BS224"/>
  <c r="AR230"/>
  <c r="BS7"/>
  <c r="BS46"/>
  <c r="N84"/>
  <c r="BP21"/>
  <c r="BQ45"/>
  <c r="BS111"/>
  <c r="BS195"/>
  <c r="BS120"/>
  <c r="BM148"/>
  <c r="BN16"/>
  <c r="BM27"/>
  <c r="BS145"/>
  <c r="BS89"/>
  <c r="BI234"/>
  <c r="BS43"/>
  <c r="BS162"/>
  <c r="BS165"/>
  <c r="AC230"/>
  <c r="BS94"/>
  <c r="BS87"/>
  <c r="BO16"/>
  <c r="BO84"/>
  <c r="BS95"/>
  <c r="BS47"/>
  <c r="BS10"/>
  <c r="BS187"/>
  <c r="K230"/>
  <c r="BS216"/>
  <c r="BS144"/>
  <c r="BS88"/>
  <c r="BO45"/>
  <c r="BS80"/>
  <c r="BS84" s="1"/>
  <c r="BS61"/>
  <c r="BN54"/>
  <c r="BS128"/>
  <c r="BS129" s="1"/>
  <c r="BS130"/>
  <c r="BS131" s="1"/>
  <c r="BS65"/>
  <c r="BS68" s="1"/>
  <c r="BS149"/>
  <c r="BS22"/>
  <c r="BS27" s="1"/>
  <c r="BS142"/>
  <c r="BS150"/>
  <c r="BS152"/>
  <c r="BS153" s="1"/>
  <c r="BS5"/>
  <c r="BS72"/>
  <c r="BS73" s="1"/>
  <c r="BS55"/>
  <c r="BS20"/>
  <c r="BS21" s="1"/>
  <c r="BS121"/>
  <c r="BS40"/>
  <c r="BS213"/>
  <c r="BS214" s="1"/>
  <c r="BS58"/>
  <c r="BS154"/>
  <c r="BS222"/>
  <c r="BS125"/>
  <c r="BS127" s="1"/>
  <c r="BS13"/>
  <c r="BR230"/>
  <c r="BR232" s="1"/>
  <c r="BA148"/>
  <c r="AL230"/>
  <c r="J230"/>
  <c r="U230"/>
  <c r="BQ118"/>
  <c r="AI230"/>
  <c r="AU118"/>
  <c r="AU54"/>
  <c r="AO16"/>
  <c r="T230"/>
  <c r="I230"/>
  <c r="W118"/>
  <c r="S230"/>
  <c r="BQ35"/>
  <c r="BQ148"/>
  <c r="BM118"/>
  <c r="BK230"/>
  <c r="BK232" s="1"/>
  <c r="BS30"/>
  <c r="BO148"/>
  <c r="BP118"/>
  <c r="BO54"/>
  <c r="BS35"/>
  <c r="BO174"/>
  <c r="BC234"/>
  <c r="BE234"/>
  <c r="BP54"/>
  <c r="BP16"/>
  <c r="BN68"/>
  <c r="BB234"/>
  <c r="BO123"/>
  <c r="BJ118"/>
  <c r="BO118"/>
  <c r="BM86"/>
  <c r="BF234"/>
  <c r="N118"/>
  <c r="AO118"/>
  <c r="N45"/>
  <c r="N16"/>
  <c r="BM45"/>
  <c r="H230"/>
  <c r="AT163" i="24"/>
  <c r="AT9"/>
  <c r="AT32"/>
  <c r="AT196"/>
  <c r="AT137"/>
  <c r="AT103"/>
  <c r="AT96"/>
  <c r="AT185"/>
  <c r="AT133"/>
  <c r="AT131"/>
  <c r="AT85"/>
  <c r="AB165"/>
  <c r="AB52"/>
  <c r="AB142"/>
  <c r="AB71"/>
  <c r="AB183"/>
  <c r="AB181"/>
  <c r="AB160"/>
  <c r="AB207"/>
  <c r="T15"/>
  <c r="T13"/>
  <c r="T171"/>
  <c r="T206"/>
  <c r="T144"/>
  <c r="T118"/>
  <c r="T143"/>
  <c r="T194"/>
  <c r="T211"/>
  <c r="T222"/>
  <c r="T193"/>
  <c r="T105"/>
  <c r="T153"/>
  <c r="T97"/>
  <c r="T95"/>
  <c r="T93"/>
  <c r="T150"/>
  <c r="T38"/>
  <c r="BJ230" i="32" l="1"/>
  <c r="BJ232" s="1"/>
  <c r="BL230"/>
  <c r="BL232" s="1"/>
  <c r="BS228"/>
  <c r="U234"/>
  <c r="U232"/>
  <c r="AR232"/>
  <c r="AR234" s="1"/>
  <c r="AD232"/>
  <c r="AD234" s="1"/>
  <c r="AQ232"/>
  <c r="AQ234" s="1"/>
  <c r="AK234"/>
  <c r="AK232"/>
  <c r="K232"/>
  <c r="K234" s="1"/>
  <c r="AX232"/>
  <c r="AX234" s="1"/>
  <c r="T232"/>
  <c r="T234" s="1"/>
  <c r="AC232"/>
  <c r="AC234" s="1"/>
  <c r="I232"/>
  <c r="I234" s="1"/>
  <c r="AI234"/>
  <c r="AI232"/>
  <c r="S232"/>
  <c r="S234" s="1"/>
  <c r="AL232"/>
  <c r="AL234" s="1"/>
  <c r="H232"/>
  <c r="H234" s="1"/>
  <c r="J232"/>
  <c r="J234" s="1"/>
  <c r="BS159"/>
  <c r="BS212"/>
  <c r="BS168"/>
  <c r="BS151"/>
  <c r="BN230"/>
  <c r="BN232" s="1"/>
  <c r="BA230"/>
  <c r="BA232" s="1"/>
  <c r="BS45"/>
  <c r="BS123"/>
  <c r="BS148"/>
  <c r="BS54"/>
  <c r="W230"/>
  <c r="W232" s="1"/>
  <c r="BS63"/>
  <c r="AU230"/>
  <c r="AU232" s="1"/>
  <c r="AO230"/>
  <c r="AO232" s="1"/>
  <c r="BS118"/>
  <c r="BQ230"/>
  <c r="BQ232" s="1"/>
  <c r="BM230"/>
  <c r="BM232" s="1"/>
  <c r="BO230"/>
  <c r="BO232" s="1"/>
  <c r="BS16"/>
  <c r="N230"/>
  <c r="N232" s="1"/>
  <c r="BP230"/>
  <c r="BP232" s="1"/>
  <c r="AB109" i="24"/>
  <c r="BS230" i="32" l="1"/>
  <c r="BS232" s="1"/>
  <c r="BI228" i="24"/>
  <c r="BH228"/>
  <c r="BF228"/>
  <c r="BE228"/>
  <c r="BD228"/>
  <c r="BC228"/>
  <c r="BB228"/>
  <c r="BA228"/>
  <c r="AZ228"/>
  <c r="AY228"/>
  <c r="AX228"/>
  <c r="AW228"/>
  <c r="AV228"/>
  <c r="AS228"/>
  <c r="AR228"/>
  <c r="AQ228"/>
  <c r="AN228"/>
  <c r="AM228"/>
  <c r="AL228"/>
  <c r="AI228"/>
  <c r="AH228"/>
  <c r="AF228"/>
  <c r="AE228"/>
  <c r="AD228"/>
  <c r="AA228"/>
  <c r="Z228"/>
  <c r="Y228"/>
  <c r="X228"/>
  <c r="W228"/>
  <c r="V228"/>
  <c r="S228"/>
  <c r="R228"/>
  <c r="Q228"/>
  <c r="P228"/>
  <c r="O228"/>
  <c r="N228"/>
  <c r="K228"/>
  <c r="J228"/>
  <c r="I228"/>
  <c r="H228"/>
  <c r="G228"/>
  <c r="F228"/>
  <c r="F16"/>
  <c r="BB70" l="1"/>
  <c r="BA70"/>
  <c r="AZ70"/>
  <c r="AY70"/>
  <c r="AX70"/>
  <c r="AW70"/>
  <c r="AV70"/>
  <c r="AT70"/>
  <c r="AS70"/>
  <c r="AR70"/>
  <c r="AQ70"/>
  <c r="AO70"/>
  <c r="AN70"/>
  <c r="AM70"/>
  <c r="AL70"/>
  <c r="AJ70"/>
  <c r="AI70"/>
  <c r="AH70"/>
  <c r="AG70"/>
  <c r="AF70"/>
  <c r="AE70"/>
  <c r="AD70"/>
  <c r="AB70"/>
  <c r="AA70"/>
  <c r="Z70"/>
  <c r="Y70"/>
  <c r="X70"/>
  <c r="W70"/>
  <c r="V70"/>
  <c r="T70"/>
  <c r="S70"/>
  <c r="R70"/>
  <c r="Q70"/>
  <c r="P70"/>
  <c r="O70"/>
  <c r="N70"/>
  <c r="L70"/>
  <c r="K70"/>
  <c r="J70"/>
  <c r="I70"/>
  <c r="H70"/>
  <c r="G70"/>
  <c r="F70"/>
  <c r="BJ69"/>
  <c r="BJ70" s="1"/>
  <c r="BI69"/>
  <c r="BI70" s="1"/>
  <c r="BH69"/>
  <c r="BH70" s="1"/>
  <c r="BG69"/>
  <c r="BG70" s="1"/>
  <c r="BF69"/>
  <c r="BF70" s="1"/>
  <c r="BE69"/>
  <c r="BE70" s="1"/>
  <c r="BD69"/>
  <c r="BD70" s="1"/>
  <c r="BC69"/>
  <c r="BC70" s="1"/>
  <c r="AU69"/>
  <c r="AU70" s="1"/>
  <c r="AP69"/>
  <c r="AP70" s="1"/>
  <c r="AK69"/>
  <c r="AK70" s="1"/>
  <c r="AC69"/>
  <c r="AC70" s="1"/>
  <c r="U69"/>
  <c r="U70" s="1"/>
  <c r="M69"/>
  <c r="M70" s="1"/>
  <c r="BK69" l="1"/>
  <c r="BK70" s="1"/>
  <c r="AJ210" l="1"/>
  <c r="L127" l="1"/>
  <c r="BH211" l="1"/>
  <c r="K124" i="22" l="1"/>
  <c r="L123"/>
  <c r="K122"/>
  <c r="L121"/>
  <c r="H121"/>
  <c r="L120"/>
  <c r="E120"/>
  <c r="L119"/>
  <c r="F119"/>
  <c r="L118"/>
  <c r="I118"/>
  <c r="L117"/>
  <c r="I117"/>
  <c r="L116"/>
  <c r="E116"/>
  <c r="L115"/>
  <c r="I114"/>
  <c r="L114" s="1"/>
  <c r="L113"/>
  <c r="L112"/>
  <c r="I112"/>
  <c r="L111"/>
  <c r="E111"/>
  <c r="L110"/>
  <c r="H109"/>
  <c r="L109" s="1"/>
  <c r="G108"/>
  <c r="L108" s="1"/>
  <c r="F107"/>
  <c r="L107" s="1"/>
  <c r="H106"/>
  <c r="L106" s="1"/>
  <c r="H105"/>
  <c r="L105" s="1"/>
  <c r="H104"/>
  <c r="L104" s="1"/>
  <c r="J103"/>
  <c r="L103" s="1"/>
  <c r="L102"/>
  <c r="L101"/>
  <c r="F101"/>
  <c r="L100"/>
  <c r="E100"/>
  <c r="L99"/>
  <c r="I99"/>
  <c r="L98"/>
  <c r="I98"/>
  <c r="L97"/>
  <c r="H97"/>
  <c r="L96"/>
  <c r="J96"/>
  <c r="L95"/>
  <c r="I95"/>
  <c r="L94"/>
  <c r="G94"/>
  <c r="L93"/>
  <c r="I93"/>
  <c r="L92"/>
  <c r="I92"/>
  <c r="L91"/>
  <c r="I91"/>
  <c r="L90"/>
  <c r="I90"/>
  <c r="L89"/>
  <c r="H89"/>
  <c r="L88"/>
  <c r="F88"/>
  <c r="L87"/>
  <c r="H87"/>
  <c r="L86"/>
  <c r="G85"/>
  <c r="L85" s="1"/>
  <c r="J84"/>
  <c r="L84" s="1"/>
  <c r="H83"/>
  <c r="L83" s="1"/>
  <c r="G82"/>
  <c r="L82" s="1"/>
  <c r="H81"/>
  <c r="L81" s="1"/>
  <c r="E80"/>
  <c r="L80" s="1"/>
  <c r="E79"/>
  <c r="L79" s="1"/>
  <c r="F78"/>
  <c r="L78" s="1"/>
  <c r="F77"/>
  <c r="L77" s="1"/>
  <c r="I76"/>
  <c r="L76" s="1"/>
  <c r="H75"/>
  <c r="L75" s="1"/>
  <c r="L74"/>
  <c r="F74"/>
  <c r="G73"/>
  <c r="L73" s="1"/>
  <c r="L72"/>
  <c r="I72"/>
  <c r="L71"/>
  <c r="L70"/>
  <c r="L69"/>
  <c r="H69"/>
  <c r="J68"/>
  <c r="L68" s="1"/>
  <c r="E67"/>
  <c r="L67" s="1"/>
  <c r="L66"/>
  <c r="L65"/>
  <c r="E65"/>
  <c r="L64"/>
  <c r="L63"/>
  <c r="L62"/>
  <c r="I62"/>
  <c r="I61"/>
  <c r="L61" s="1"/>
  <c r="L60"/>
  <c r="E60"/>
  <c r="G59"/>
  <c r="L59" s="1"/>
  <c r="L58"/>
  <c r="H58"/>
  <c r="I57"/>
  <c r="L57" s="1"/>
  <c r="L56"/>
  <c r="F56"/>
  <c r="L55"/>
  <c r="J54"/>
  <c r="L54" s="1"/>
  <c r="L53"/>
  <c r="I53"/>
  <c r="I52"/>
  <c r="L52" s="1"/>
  <c r="L51"/>
  <c r="I51"/>
  <c r="F50"/>
  <c r="L50" s="1"/>
  <c r="L49"/>
  <c r="J49"/>
  <c r="L48"/>
  <c r="L47"/>
  <c r="F47"/>
  <c r="I46"/>
  <c r="L46" s="1"/>
  <c r="L45"/>
  <c r="H45"/>
  <c r="H44"/>
  <c r="L44" s="1"/>
  <c r="L43"/>
  <c r="E43"/>
  <c r="H42"/>
  <c r="L42" s="1"/>
  <c r="L41"/>
  <c r="J41"/>
  <c r="E40"/>
  <c r="L40" s="1"/>
  <c r="L39"/>
  <c r="H38"/>
  <c r="L38" s="1"/>
  <c r="L37"/>
  <c r="L36"/>
  <c r="E36"/>
  <c r="I35"/>
  <c r="L35" s="1"/>
  <c r="L34"/>
  <c r="I34"/>
  <c r="L33"/>
  <c r="E33"/>
  <c r="L32"/>
  <c r="L31"/>
  <c r="L30"/>
  <c r="I30"/>
  <c r="L29"/>
  <c r="G29"/>
  <c r="G122" s="1"/>
  <c r="G124" s="1"/>
  <c r="L28"/>
  <c r="I27"/>
  <c r="L27" s="1"/>
  <c r="I26"/>
  <c r="L26" s="1"/>
  <c r="H25"/>
  <c r="L25" s="1"/>
  <c r="E24"/>
  <c r="L24" s="1"/>
  <c r="I23"/>
  <c r="L23" s="1"/>
  <c r="L22"/>
  <c r="L21"/>
  <c r="I20"/>
  <c r="L20" s="1"/>
  <c r="I19"/>
  <c r="L19" s="1"/>
  <c r="E18"/>
  <c r="L18" s="1"/>
  <c r="L17"/>
  <c r="E16"/>
  <c r="L16" s="1"/>
  <c r="L15"/>
  <c r="L14"/>
  <c r="I13"/>
  <c r="L13" s="1"/>
  <c r="L12"/>
  <c r="F12"/>
  <c r="F122" s="1"/>
  <c r="F124" s="1"/>
  <c r="H11"/>
  <c r="L11" s="1"/>
  <c r="L10"/>
  <c r="I10"/>
  <c r="L9"/>
  <c r="H9"/>
  <c r="H122" s="1"/>
  <c r="H124" s="1"/>
  <c r="L8"/>
  <c r="J8"/>
  <c r="J122" s="1"/>
  <c r="J124" s="1"/>
  <c r="I7"/>
  <c r="L7" s="1"/>
  <c r="L6"/>
  <c r="I6"/>
  <c r="I5"/>
  <c r="L5" s="1"/>
  <c r="L4"/>
  <c r="I4"/>
  <c r="I122" s="1"/>
  <c r="I124" s="1"/>
  <c r="BI212" i="24"/>
  <c r="BI226"/>
  <c r="BI210"/>
  <c r="BI172"/>
  <c r="BI166"/>
  <c r="BI157"/>
  <c r="BI127"/>
  <c r="BI125"/>
  <c r="BI121"/>
  <c r="BI84"/>
  <c r="BI82"/>
  <c r="BI68"/>
  <c r="BI63"/>
  <c r="BI54"/>
  <c r="BI45"/>
  <c r="BI35"/>
  <c r="BI30"/>
  <c r="BI27"/>
  <c r="BI21"/>
  <c r="BI16"/>
  <c r="K121" i="19"/>
  <c r="H120"/>
  <c r="L120" s="1"/>
  <c r="E119"/>
  <c r="L119" s="1"/>
  <c r="F118"/>
  <c r="L118" s="1"/>
  <c r="I117"/>
  <c r="L117" s="1"/>
  <c r="I116"/>
  <c r="L116" s="1"/>
  <c r="E115"/>
  <c r="L115" s="1"/>
  <c r="I114"/>
  <c r="L114" s="1"/>
  <c r="I113"/>
  <c r="L113" s="1"/>
  <c r="I112"/>
  <c r="L112" s="1"/>
  <c r="I111"/>
  <c r="L111" s="1"/>
  <c r="E110"/>
  <c r="L110" s="1"/>
  <c r="L109"/>
  <c r="F109"/>
  <c r="H108"/>
  <c r="L108" s="1"/>
  <c r="G107"/>
  <c r="L107" s="1"/>
  <c r="F106"/>
  <c r="L106" s="1"/>
  <c r="H105"/>
  <c r="L105" s="1"/>
  <c r="H104"/>
  <c r="L104" s="1"/>
  <c r="L103"/>
  <c r="L102"/>
  <c r="J102"/>
  <c r="L101"/>
  <c r="F101"/>
  <c r="L100"/>
  <c r="F100"/>
  <c r="L99"/>
  <c r="E99"/>
  <c r="L98"/>
  <c r="I98"/>
  <c r="L97"/>
  <c r="H97"/>
  <c r="L96"/>
  <c r="J96"/>
  <c r="L95"/>
  <c r="I95"/>
  <c r="L94"/>
  <c r="G94"/>
  <c r="L93"/>
  <c r="I93"/>
  <c r="L92"/>
  <c r="I92"/>
  <c r="L91"/>
  <c r="I91"/>
  <c r="L90"/>
  <c r="I90"/>
  <c r="L89"/>
  <c r="H89"/>
  <c r="L88"/>
  <c r="F88"/>
  <c r="L87"/>
  <c r="H87"/>
  <c r="L86"/>
  <c r="H86"/>
  <c r="L85"/>
  <c r="G85"/>
  <c r="L84"/>
  <c r="J83"/>
  <c r="L83" s="1"/>
  <c r="H82"/>
  <c r="L82" s="1"/>
  <c r="G81"/>
  <c r="L81" s="1"/>
  <c r="H80"/>
  <c r="L80" s="1"/>
  <c r="E79"/>
  <c r="L79" s="1"/>
  <c r="E78"/>
  <c r="L78" s="1"/>
  <c r="F77"/>
  <c r="L77" s="1"/>
  <c r="I76"/>
  <c r="L76" s="1"/>
  <c r="H75"/>
  <c r="L75" s="1"/>
  <c r="F74"/>
  <c r="L74" s="1"/>
  <c r="G73"/>
  <c r="L73" s="1"/>
  <c r="I72"/>
  <c r="L72" s="1"/>
  <c r="L71"/>
  <c r="L70"/>
  <c r="J70"/>
  <c r="L69"/>
  <c r="H69"/>
  <c r="L68"/>
  <c r="J68"/>
  <c r="E67"/>
  <c r="L67" s="1"/>
  <c r="L66"/>
  <c r="H65"/>
  <c r="L65" s="1"/>
  <c r="F64"/>
  <c r="L64" s="1"/>
  <c r="L63"/>
  <c r="I63"/>
  <c r="I62"/>
  <c r="L62" s="1"/>
  <c r="E61"/>
  <c r="L61" s="1"/>
  <c r="G60"/>
  <c r="G121" s="1"/>
  <c r="H59"/>
  <c r="L59" s="1"/>
  <c r="I58"/>
  <c r="L58" s="1"/>
  <c r="F57"/>
  <c r="L57" s="1"/>
  <c r="H56"/>
  <c r="L56" s="1"/>
  <c r="L55"/>
  <c r="J55"/>
  <c r="I54"/>
  <c r="L54" s="1"/>
  <c r="I53"/>
  <c r="L53" s="1"/>
  <c r="I52"/>
  <c r="L52" s="1"/>
  <c r="F51"/>
  <c r="L51" s="1"/>
  <c r="J50"/>
  <c r="L50" s="1"/>
  <c r="F49"/>
  <c r="L49" s="1"/>
  <c r="F48"/>
  <c r="L48" s="1"/>
  <c r="I47"/>
  <c r="L47" s="1"/>
  <c r="H46"/>
  <c r="L46" s="1"/>
  <c r="H45"/>
  <c r="L45" s="1"/>
  <c r="E44"/>
  <c r="L44" s="1"/>
  <c r="H43"/>
  <c r="L43" s="1"/>
  <c r="I42"/>
  <c r="L42" s="1"/>
  <c r="J41"/>
  <c r="L41" s="1"/>
  <c r="E40"/>
  <c r="L40" s="1"/>
  <c r="E39"/>
  <c r="L39" s="1"/>
  <c r="H38"/>
  <c r="L38" s="1"/>
  <c r="E37"/>
  <c r="L37" s="1"/>
  <c r="E36"/>
  <c r="L36" s="1"/>
  <c r="I35"/>
  <c r="L35" s="1"/>
  <c r="I34"/>
  <c r="L34" s="1"/>
  <c r="L33"/>
  <c r="E32"/>
  <c r="L32" s="1"/>
  <c r="L31"/>
  <c r="H31"/>
  <c r="H30"/>
  <c r="L30" s="1"/>
  <c r="L29"/>
  <c r="I29"/>
  <c r="E28"/>
  <c r="L28" s="1"/>
  <c r="L27"/>
  <c r="I27"/>
  <c r="H26"/>
  <c r="L26" s="1"/>
  <c r="L25"/>
  <c r="E25"/>
  <c r="I24"/>
  <c r="L24" s="1"/>
  <c r="L23"/>
  <c r="F23"/>
  <c r="L22"/>
  <c r="H21"/>
  <c r="L21" s="1"/>
  <c r="E20"/>
  <c r="L20" s="1"/>
  <c r="I19"/>
  <c r="L19" s="1"/>
  <c r="I18"/>
  <c r="L18" s="1"/>
  <c r="E17"/>
  <c r="L17" s="1"/>
  <c r="L16"/>
  <c r="E15"/>
  <c r="E121" s="1"/>
  <c r="L14"/>
  <c r="F14"/>
  <c r="I13"/>
  <c r="L13" s="1"/>
  <c r="L12"/>
  <c r="F12"/>
  <c r="F121" s="1"/>
  <c r="H11"/>
  <c r="L11" s="1"/>
  <c r="L10"/>
  <c r="I10"/>
  <c r="L9"/>
  <c r="H9"/>
  <c r="H121" s="1"/>
  <c r="L8"/>
  <c r="J8"/>
  <c r="J121" s="1"/>
  <c r="I7"/>
  <c r="L7" s="1"/>
  <c r="L6"/>
  <c r="I6"/>
  <c r="I5"/>
  <c r="L5" s="1"/>
  <c r="L4"/>
  <c r="I4"/>
  <c r="I121" s="1"/>
  <c r="K140" i="16"/>
  <c r="J140"/>
  <c r="H140"/>
  <c r="G140"/>
  <c r="L139"/>
  <c r="L138"/>
  <c r="L137"/>
  <c r="L136"/>
  <c r="E136"/>
  <c r="L135"/>
  <c r="L134"/>
  <c r="L133"/>
  <c r="L132"/>
  <c r="L131"/>
  <c r="L130"/>
  <c r="L129"/>
  <c r="L128"/>
  <c r="L127"/>
  <c r="L126"/>
  <c r="E126"/>
  <c r="L125"/>
  <c r="L124"/>
  <c r="L123"/>
  <c r="L122"/>
  <c r="E122"/>
  <c r="L121"/>
  <c r="L120"/>
  <c r="L119"/>
  <c r="E118"/>
  <c r="L118" s="1"/>
  <c r="L117"/>
  <c r="L116"/>
  <c r="E116"/>
  <c r="E115"/>
  <c r="L115" s="1"/>
  <c r="L114"/>
  <c r="E113"/>
  <c r="L113" s="1"/>
  <c r="L112"/>
  <c r="E112"/>
  <c r="E111"/>
  <c r="L111" s="1"/>
  <c r="L110"/>
  <c r="E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I92"/>
  <c r="I140" s="1"/>
  <c r="E92"/>
  <c r="L91"/>
  <c r="L90"/>
  <c r="F90"/>
  <c r="F140" s="1"/>
  <c r="L89"/>
  <c r="L88"/>
  <c r="L87"/>
  <c r="L86"/>
  <c r="E86"/>
  <c r="L85"/>
  <c r="L84"/>
  <c r="L83"/>
  <c r="L82"/>
  <c r="L81"/>
  <c r="L80"/>
  <c r="L79"/>
  <c r="E79"/>
  <c r="L78"/>
  <c r="L77"/>
  <c r="L76"/>
  <c r="L75"/>
  <c r="E74"/>
  <c r="L74" s="1"/>
  <c r="L73"/>
  <c r="E73"/>
  <c r="L72"/>
  <c r="L71"/>
  <c r="L70"/>
  <c r="L69"/>
  <c r="E68"/>
  <c r="L68" s="1"/>
  <c r="L67"/>
  <c r="L66"/>
  <c r="E65"/>
  <c r="L65" s="1"/>
  <c r="L64"/>
  <c r="E64"/>
  <c r="L63"/>
  <c r="L62"/>
  <c r="E62"/>
  <c r="L61"/>
  <c r="L60"/>
  <c r="L59"/>
  <c r="L58"/>
  <c r="L57"/>
  <c r="E57"/>
  <c r="L56"/>
  <c r="E56"/>
  <c r="L55"/>
  <c r="L54"/>
  <c r="L53"/>
  <c r="L52"/>
  <c r="L51"/>
  <c r="E51"/>
  <c r="L50"/>
  <c r="E50"/>
  <c r="L49"/>
  <c r="L48"/>
  <c r="L47"/>
  <c r="L46"/>
  <c r="L45"/>
  <c r="L44"/>
  <c r="L43"/>
  <c r="L42"/>
  <c r="L41"/>
  <c r="E41"/>
  <c r="L40"/>
  <c r="L39"/>
  <c r="L38"/>
  <c r="L37"/>
  <c r="L36"/>
  <c r="L35"/>
  <c r="L34"/>
  <c r="E34"/>
  <c r="L33"/>
  <c r="L32"/>
  <c r="L31"/>
  <c r="E31"/>
  <c r="L30"/>
  <c r="L29"/>
  <c r="L28"/>
  <c r="E27"/>
  <c r="L27" s="1"/>
  <c r="L26"/>
  <c r="L25"/>
  <c r="L24"/>
  <c r="L23"/>
  <c r="L22"/>
  <c r="L21"/>
  <c r="L20"/>
  <c r="L19"/>
  <c r="L18"/>
  <c r="E18"/>
  <c r="E17"/>
  <c r="L17" s="1"/>
  <c r="L16"/>
  <c r="L15"/>
  <c r="E14"/>
  <c r="L14" s="1"/>
  <c r="L13"/>
  <c r="E13"/>
  <c r="L12"/>
  <c r="L11"/>
  <c r="L10"/>
  <c r="L9"/>
  <c r="L8"/>
  <c r="L7"/>
  <c r="E7"/>
  <c r="L6"/>
  <c r="E6"/>
  <c r="L5"/>
  <c r="E5"/>
  <c r="L4"/>
  <c r="E4"/>
  <c r="E140" s="1"/>
  <c r="BF230" i="24"/>
  <c r="BE230"/>
  <c r="BD230"/>
  <c r="G181" i="27"/>
  <c r="J180"/>
  <c r="E179"/>
  <c r="J179" s="1"/>
  <c r="I178"/>
  <c r="F178"/>
  <c r="F181" s="1"/>
  <c r="J177"/>
  <c r="E176"/>
  <c r="J176" s="1"/>
  <c r="E175"/>
  <c r="J175" s="1"/>
  <c r="J174"/>
  <c r="E173"/>
  <c r="J173" s="1"/>
  <c r="J172"/>
  <c r="J171"/>
  <c r="E170"/>
  <c r="J170" s="1"/>
  <c r="J169"/>
  <c r="J168"/>
  <c r="J167"/>
  <c r="J166"/>
  <c r="E165"/>
  <c r="J165" s="1"/>
  <c r="J164"/>
  <c r="J163"/>
  <c r="J162"/>
  <c r="J161"/>
  <c r="J160"/>
  <c r="J159"/>
  <c r="J158"/>
  <c r="E157"/>
  <c r="J157" s="1"/>
  <c r="J156"/>
  <c r="E155"/>
  <c r="E154"/>
  <c r="J154" s="1"/>
  <c r="E153"/>
  <c r="J153" s="1"/>
  <c r="E152"/>
  <c r="J152" s="1"/>
  <c r="E151"/>
  <c r="E150"/>
  <c r="J149"/>
  <c r="E148"/>
  <c r="E147"/>
  <c r="J147" s="1"/>
  <c r="J146"/>
  <c r="J145"/>
  <c r="E144"/>
  <c r="E143"/>
  <c r="J143" s="1"/>
  <c r="J142"/>
  <c r="J141"/>
  <c r="J140"/>
  <c r="E139"/>
  <c r="J139" s="1"/>
  <c r="J138"/>
  <c r="I137"/>
  <c r="E137"/>
  <c r="J136"/>
  <c r="J135"/>
  <c r="J134"/>
  <c r="J133"/>
  <c r="J132"/>
  <c r="J131"/>
  <c r="J130"/>
  <c r="H129"/>
  <c r="J129" s="1"/>
  <c r="J128"/>
  <c r="J127"/>
  <c r="J126"/>
  <c r="J125"/>
  <c r="J124"/>
  <c r="E123"/>
  <c r="J122"/>
  <c r="J121"/>
  <c r="J120"/>
  <c r="E119"/>
  <c r="J118"/>
  <c r="J117"/>
  <c r="J116"/>
  <c r="E115"/>
  <c r="J114"/>
  <c r="J113"/>
  <c r="J112"/>
  <c r="E111"/>
  <c r="E110"/>
  <c r="J110" s="1"/>
  <c r="J109"/>
  <c r="J108"/>
  <c r="J107"/>
  <c r="J106"/>
  <c r="E105"/>
  <c r="J104"/>
  <c r="J103"/>
  <c r="J102"/>
  <c r="J101"/>
  <c r="J100"/>
  <c r="E99"/>
  <c r="J99" s="1"/>
  <c r="J98"/>
  <c r="H97"/>
  <c r="J96"/>
  <c r="J95"/>
  <c r="J94"/>
  <c r="J93"/>
  <c r="J92"/>
  <c r="J91"/>
  <c r="J90"/>
  <c r="E89"/>
  <c r="J89" s="1"/>
  <c r="J88"/>
  <c r="E87"/>
  <c r="J87" s="1"/>
  <c r="J86"/>
  <c r="E85"/>
  <c r="J85" s="1"/>
  <c r="J84"/>
  <c r="J83"/>
  <c r="E82"/>
  <c r="J82" s="1"/>
  <c r="I81"/>
  <c r="E81"/>
  <c r="J80"/>
  <c r="E79"/>
  <c r="J79" s="1"/>
  <c r="E78"/>
  <c r="J78" s="1"/>
  <c r="J77"/>
  <c r="J76"/>
  <c r="E75"/>
  <c r="J75" s="1"/>
  <c r="J74"/>
  <c r="J73"/>
  <c r="E72"/>
  <c r="J72" s="1"/>
  <c r="E71"/>
  <c r="J71" s="1"/>
  <c r="E70"/>
  <c r="J70" s="1"/>
  <c r="J69"/>
  <c r="J68"/>
  <c r="E67"/>
  <c r="J67" s="1"/>
  <c r="J66"/>
  <c r="H65"/>
  <c r="J65" s="1"/>
  <c r="H64"/>
  <c r="E64"/>
  <c r="E63"/>
  <c r="J62"/>
  <c r="J61"/>
  <c r="J60"/>
  <c r="J59"/>
  <c r="J58"/>
  <c r="E57"/>
  <c r="J57" s="1"/>
  <c r="J56"/>
  <c r="E55"/>
  <c r="J54"/>
  <c r="J53"/>
  <c r="J52"/>
  <c r="J51"/>
  <c r="J50"/>
  <c r="J49"/>
  <c r="J48"/>
  <c r="E47"/>
  <c r="J47" s="1"/>
  <c r="E46"/>
  <c r="J45"/>
  <c r="J44"/>
  <c r="H43"/>
  <c r="E42"/>
  <c r="E41"/>
  <c r="J41" s="1"/>
  <c r="E40"/>
  <c r="J40" s="1"/>
  <c r="E39"/>
  <c r="J38"/>
  <c r="J37"/>
  <c r="E36"/>
  <c r="H35"/>
  <c r="J34"/>
  <c r="E33"/>
  <c r="J32"/>
  <c r="J31"/>
  <c r="J30"/>
  <c r="J29"/>
  <c r="H28"/>
  <c r="E27"/>
  <c r="J27" s="1"/>
  <c r="J26"/>
  <c r="E25"/>
  <c r="J25" s="1"/>
  <c r="J24"/>
  <c r="J23"/>
  <c r="J22"/>
  <c r="J21"/>
  <c r="J20"/>
  <c r="E19"/>
  <c r="H18"/>
  <c r="J17"/>
  <c r="E16"/>
  <c r="J15"/>
  <c r="E14"/>
  <c r="J14" s="1"/>
  <c r="H13"/>
  <c r="E13"/>
  <c r="J12"/>
  <c r="H11"/>
  <c r="J11" s="1"/>
  <c r="J10"/>
  <c r="H9"/>
  <c r="J8"/>
  <c r="H7"/>
  <c r="E7"/>
  <c r="H6"/>
  <c r="J5"/>
  <c r="H4"/>
  <c r="E4"/>
  <c r="G150" i="26"/>
  <c r="J139"/>
  <c r="J149"/>
  <c r="J148"/>
  <c r="F147"/>
  <c r="F150" s="1"/>
  <c r="J146"/>
  <c r="J145"/>
  <c r="J144"/>
  <c r="J143"/>
  <c r="J142"/>
  <c r="J141"/>
  <c r="E140"/>
  <c r="J140" s="1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I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I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I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H22"/>
  <c r="H150" s="1"/>
  <c r="J21"/>
  <c r="J20"/>
  <c r="J19"/>
  <c r="J18"/>
  <c r="J17"/>
  <c r="J16"/>
  <c r="J15"/>
  <c r="J14"/>
  <c r="J13"/>
  <c r="J12"/>
  <c r="J11"/>
  <c r="J10"/>
  <c r="J9"/>
  <c r="J8"/>
  <c r="J7"/>
  <c r="J6"/>
  <c r="J5"/>
  <c r="J4"/>
  <c r="I53" i="23"/>
  <c r="H53"/>
  <c r="G53"/>
  <c r="F53"/>
  <c r="E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AE40" i="24"/>
  <c r="AB40" i="20"/>
  <c r="Y39" i="14"/>
  <c r="V39" i="15"/>
  <c r="S39" i="12"/>
  <c r="S46"/>
  <c r="S16"/>
  <c r="S19"/>
  <c r="S25"/>
  <c r="S28"/>
  <c r="S33"/>
  <c r="S55"/>
  <c r="S64"/>
  <c r="S69"/>
  <c r="S71"/>
  <c r="S81"/>
  <c r="S83"/>
  <c r="S116"/>
  <c r="S121"/>
  <c r="S124"/>
  <c r="S126"/>
  <c r="S143"/>
  <c r="S146"/>
  <c r="S148"/>
  <c r="S151"/>
  <c r="S155"/>
  <c r="S165"/>
  <c r="S171"/>
  <c r="S208"/>
  <c r="S210"/>
  <c r="AT134" i="14"/>
  <c r="AS134"/>
  <c r="AR134"/>
  <c r="AQ134"/>
  <c r="AP134"/>
  <c r="AU134"/>
  <c r="AO134"/>
  <c r="AI134"/>
  <c r="AF134"/>
  <c r="AC134"/>
  <c r="W134"/>
  <c r="Q134"/>
  <c r="K134"/>
  <c r="AT33"/>
  <c r="AS33"/>
  <c r="AR33"/>
  <c r="AQ33"/>
  <c r="AP33"/>
  <c r="AU33"/>
  <c r="AU34" s="1"/>
  <c r="AO33"/>
  <c r="AI33"/>
  <c r="AF33"/>
  <c r="AC33"/>
  <c r="W33"/>
  <c r="Q33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BH35" i="24"/>
  <c r="BG35"/>
  <c r="BF35"/>
  <c r="BE35"/>
  <c r="BD35"/>
  <c r="BC35"/>
  <c r="BB35"/>
  <c r="BA35"/>
  <c r="AZ35"/>
  <c r="AY35"/>
  <c r="AX35"/>
  <c r="AW35"/>
  <c r="AV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B35"/>
  <c r="AA35"/>
  <c r="Z35"/>
  <c r="Y35"/>
  <c r="X35"/>
  <c r="W35"/>
  <c r="V35"/>
  <c r="T35"/>
  <c r="S35"/>
  <c r="R35"/>
  <c r="Q35"/>
  <c r="P35"/>
  <c r="O35"/>
  <c r="N35"/>
  <c r="M35"/>
  <c r="L35"/>
  <c r="K35"/>
  <c r="J35"/>
  <c r="I35"/>
  <c r="H35"/>
  <c r="G35"/>
  <c r="F35"/>
  <c r="BJ34"/>
  <c r="BI34"/>
  <c r="BH34"/>
  <c r="BG34"/>
  <c r="BF34"/>
  <c r="BE34"/>
  <c r="BD34"/>
  <c r="BC34"/>
  <c r="AU34"/>
  <c r="AP34"/>
  <c r="AK34"/>
  <c r="AC34"/>
  <c r="U34"/>
  <c r="M34"/>
  <c r="P222"/>
  <c r="O222"/>
  <c r="N218" i="14"/>
  <c r="M218"/>
  <c r="BJ138" i="24"/>
  <c r="BI138"/>
  <c r="BH138"/>
  <c r="BG138"/>
  <c r="BF138"/>
  <c r="BE138"/>
  <c r="BD138"/>
  <c r="BK138" s="1"/>
  <c r="BC138"/>
  <c r="AU138"/>
  <c r="AP138"/>
  <c r="AK138"/>
  <c r="AC138"/>
  <c r="U138"/>
  <c r="M138"/>
  <c r="AB135" i="12"/>
  <c r="AA135"/>
  <c r="AC135" s="1"/>
  <c r="Z135"/>
  <c r="Y135"/>
  <c r="U135"/>
  <c r="Q135"/>
  <c r="M135"/>
  <c r="I135"/>
  <c r="G214" i="24"/>
  <c r="G210" i="14"/>
  <c r="G211" i="15"/>
  <c r="G212" i="12"/>
  <c r="BI229" i="24"/>
  <c r="BJ229"/>
  <c r="BH229"/>
  <c r="BG229"/>
  <c r="BF229"/>
  <c r="BE229"/>
  <c r="BD229"/>
  <c r="BC229"/>
  <c r="AP229"/>
  <c r="AU229"/>
  <c r="AK229"/>
  <c r="AC229"/>
  <c r="U229"/>
  <c r="M229"/>
  <c r="BB227" i="20"/>
  <c r="BA227"/>
  <c r="AZ227"/>
  <c r="AY227"/>
  <c r="AX227"/>
  <c r="AW227"/>
  <c r="AW228" s="1"/>
  <c r="AV227"/>
  <c r="AV228" s="1"/>
  <c r="AO227"/>
  <c r="AO228" s="1"/>
  <c r="L228"/>
  <c r="AK228"/>
  <c r="AK227"/>
  <c r="AG227"/>
  <c r="BB228"/>
  <c r="BA228"/>
  <c r="AU228"/>
  <c r="AT228"/>
  <c r="AT230" s="1"/>
  <c r="AS228"/>
  <c r="AS230" s="1"/>
  <c r="AR228"/>
  <c r="AR230" s="1"/>
  <c r="AQ228"/>
  <c r="AP228"/>
  <c r="AP230" s="1"/>
  <c r="AN228"/>
  <c r="AN230" s="1"/>
  <c r="AM228"/>
  <c r="AM230" s="1"/>
  <c r="AL228"/>
  <c r="AL230" s="1"/>
  <c r="AJ228"/>
  <c r="AJ230" s="1"/>
  <c r="AI228"/>
  <c r="AH228"/>
  <c r="AH230" s="1"/>
  <c r="AF228"/>
  <c r="AF230" s="1"/>
  <c r="AE228"/>
  <c r="AE230" s="1"/>
  <c r="AC228"/>
  <c r="AC230" s="1"/>
  <c r="AA228"/>
  <c r="Y228"/>
  <c r="Y230" s="1"/>
  <c r="X228"/>
  <c r="X230" s="1"/>
  <c r="W228"/>
  <c r="W230" s="1"/>
  <c r="U228"/>
  <c r="U230" s="1"/>
  <c r="T228"/>
  <c r="T230" s="1"/>
  <c r="Z227"/>
  <c r="AU230"/>
  <c r="AQ230"/>
  <c r="AI230"/>
  <c r="AA230"/>
  <c r="R230"/>
  <c r="Q230"/>
  <c r="P230"/>
  <c r="O230"/>
  <c r="N230"/>
  <c r="M230"/>
  <c r="K230"/>
  <c r="J230"/>
  <c r="I230"/>
  <c r="H230"/>
  <c r="G230"/>
  <c r="S227"/>
  <c r="S228" s="1"/>
  <c r="R228"/>
  <c r="Q228"/>
  <c r="P228"/>
  <c r="O228"/>
  <c r="N228"/>
  <c r="M228"/>
  <c r="L227"/>
  <c r="G212"/>
  <c r="F230"/>
  <c r="J228"/>
  <c r="I228"/>
  <c r="H228"/>
  <c r="F228"/>
  <c r="K228"/>
  <c r="BB34"/>
  <c r="BA34"/>
  <c r="AZ34"/>
  <c r="AY34"/>
  <c r="AX34"/>
  <c r="AW34"/>
  <c r="BC34" s="1"/>
  <c r="AV34"/>
  <c r="AO34"/>
  <c r="AK34"/>
  <c r="AG34"/>
  <c r="Z34"/>
  <c r="S34"/>
  <c r="AU35"/>
  <c r="AT35"/>
  <c r="AS35"/>
  <c r="AR35"/>
  <c r="AQ35"/>
  <c r="AP35"/>
  <c r="AN35"/>
  <c r="AM35"/>
  <c r="AL35"/>
  <c r="AJ35"/>
  <c r="AI35"/>
  <c r="AH35"/>
  <c r="AF35"/>
  <c r="AE35"/>
  <c r="AD35"/>
  <c r="AC35"/>
  <c r="AB35"/>
  <c r="AA35"/>
  <c r="Y35"/>
  <c r="X35"/>
  <c r="W35"/>
  <c r="V35"/>
  <c r="U35"/>
  <c r="T35"/>
  <c r="R35"/>
  <c r="Q35"/>
  <c r="P35"/>
  <c r="O35"/>
  <c r="N35"/>
  <c r="M35"/>
  <c r="L220" i="12"/>
  <c r="K220"/>
  <c r="AM133" i="15"/>
  <c r="AL133"/>
  <c r="AK133"/>
  <c r="AJ133"/>
  <c r="AI133"/>
  <c r="AH133"/>
  <c r="AC133"/>
  <c r="AA133"/>
  <c r="Y133"/>
  <c r="T133"/>
  <c r="O133"/>
  <c r="J133"/>
  <c r="M219"/>
  <c r="L219"/>
  <c r="O220" i="20"/>
  <c r="N220"/>
  <c r="BB136"/>
  <c r="BA136"/>
  <c r="AZ136"/>
  <c r="AY136"/>
  <c r="AX136"/>
  <c r="AW136"/>
  <c r="AV136"/>
  <c r="AO136"/>
  <c r="AG136"/>
  <c r="Z136"/>
  <c r="S136"/>
  <c r="L136"/>
  <c r="H15" i="15"/>
  <c r="H14"/>
  <c r="H8"/>
  <c r="H5"/>
  <c r="H16" s="1"/>
  <c r="H18"/>
  <c r="H19"/>
  <c r="H22"/>
  <c r="H25" s="1"/>
  <c r="H28"/>
  <c r="H30"/>
  <c r="H33" s="1"/>
  <c r="H35"/>
  <c r="H42"/>
  <c r="H46"/>
  <c r="H48"/>
  <c r="H55" s="1"/>
  <c r="H51"/>
  <c r="H52"/>
  <c r="H53"/>
  <c r="H54"/>
  <c r="H59"/>
  <c r="H60"/>
  <c r="H64" s="1"/>
  <c r="H69"/>
  <c r="H71"/>
  <c r="H73"/>
  <c r="H81" s="1"/>
  <c r="H75"/>
  <c r="H82"/>
  <c r="H83"/>
  <c r="H84"/>
  <c r="H115" s="1"/>
  <c r="H87"/>
  <c r="H90"/>
  <c r="H91"/>
  <c r="H92"/>
  <c r="H95"/>
  <c r="H98"/>
  <c r="H99"/>
  <c r="H101"/>
  <c r="H102"/>
  <c r="H105"/>
  <c r="H107"/>
  <c r="H109"/>
  <c r="H120"/>
  <c r="H122"/>
  <c r="H123" s="1"/>
  <c r="H125"/>
  <c r="H131"/>
  <c r="H136"/>
  <c r="H142" s="1"/>
  <c r="H137"/>
  <c r="H141"/>
  <c r="H144"/>
  <c r="H145" s="1"/>
  <c r="H147"/>
  <c r="H148"/>
  <c r="H154"/>
  <c r="H155"/>
  <c r="H164" s="1"/>
  <c r="H170"/>
  <c r="H172"/>
  <c r="H207" s="1"/>
  <c r="H174"/>
  <c r="H178"/>
  <c r="H179"/>
  <c r="H182"/>
  <c r="H183"/>
  <c r="H185"/>
  <c r="H187"/>
  <c r="H189"/>
  <c r="H190"/>
  <c r="H191"/>
  <c r="H192"/>
  <c r="H194"/>
  <c r="H203"/>
  <c r="H209"/>
  <c r="H211"/>
  <c r="H224" s="1"/>
  <c r="H214"/>
  <c r="H216"/>
  <c r="H217"/>
  <c r="H221"/>
  <c r="L122" i="22" l="1"/>
  <c r="L124" s="1"/>
  <c r="E122"/>
  <c r="E124" s="1"/>
  <c r="L60" i="19"/>
  <c r="L15"/>
  <c r="L140" i="16"/>
  <c r="I181" i="27"/>
  <c r="H181"/>
  <c r="E181"/>
  <c r="J13"/>
  <c r="J64"/>
  <c r="J7"/>
  <c r="J178"/>
  <c r="J19"/>
  <c r="J36"/>
  <c r="J42"/>
  <c r="J28"/>
  <c r="J81"/>
  <c r="J148"/>
  <c r="J151"/>
  <c r="J115"/>
  <c r="J144"/>
  <c r="J150"/>
  <c r="J155"/>
  <c r="J6"/>
  <c r="J55"/>
  <c r="J4"/>
  <c r="J9"/>
  <c r="J18"/>
  <c r="J39"/>
  <c r="J43"/>
  <c r="J33"/>
  <c r="J35"/>
  <c r="J46"/>
  <c r="J16"/>
  <c r="J97"/>
  <c r="J137"/>
  <c r="J105"/>
  <c r="J111"/>
  <c r="J119"/>
  <c r="J123"/>
  <c r="J63"/>
  <c r="I150" i="26"/>
  <c r="E150"/>
  <c r="J79"/>
  <c r="J52"/>
  <c r="J22"/>
  <c r="J147"/>
  <c r="J117"/>
  <c r="J53" i="23"/>
  <c r="BK34" i="24"/>
  <c r="BK229"/>
  <c r="BC227" i="20"/>
  <c r="BC136"/>
  <c r="H226" i="15"/>
  <c r="I228"/>
  <c r="I5" i="20"/>
  <c r="I6"/>
  <c r="I7"/>
  <c r="I8"/>
  <c r="I14"/>
  <c r="I15"/>
  <c r="I21"/>
  <c r="I22"/>
  <c r="I23"/>
  <c r="I30"/>
  <c r="I35"/>
  <c r="I40"/>
  <c r="I45" s="1"/>
  <c r="I47"/>
  <c r="I53"/>
  <c r="I63"/>
  <c r="I66"/>
  <c r="I68" s="1"/>
  <c r="I70"/>
  <c r="I80"/>
  <c r="I82"/>
  <c r="I83"/>
  <c r="I84"/>
  <c r="I90"/>
  <c r="I91"/>
  <c r="I97"/>
  <c r="I100"/>
  <c r="I101"/>
  <c r="I104"/>
  <c r="I111"/>
  <c r="I112"/>
  <c r="I119"/>
  <c r="I123"/>
  <c r="I125"/>
  <c r="I126"/>
  <c r="I127" s="1"/>
  <c r="I138"/>
  <c r="I144"/>
  <c r="I146"/>
  <c r="I147" s="1"/>
  <c r="I149"/>
  <c r="I155"/>
  <c r="I164"/>
  <c r="I170"/>
  <c r="I172"/>
  <c r="I174"/>
  <c r="I175"/>
  <c r="I178"/>
  <c r="I182"/>
  <c r="I183"/>
  <c r="I189"/>
  <c r="I194"/>
  <c r="I204"/>
  <c r="I210"/>
  <c r="I218"/>
  <c r="L121" i="19" l="1"/>
  <c r="J181" i="27"/>
  <c r="J150" i="26"/>
  <c r="I208" i="20"/>
  <c r="I54"/>
  <c r="I27"/>
  <c r="I114"/>
  <c r="I16"/>
  <c r="BC225" i="24"/>
  <c r="BC224"/>
  <c r="BC223"/>
  <c r="BC221"/>
  <c r="BC220"/>
  <c r="BC219"/>
  <c r="BC218"/>
  <c r="BC217"/>
  <c r="BC216"/>
  <c r="BC215"/>
  <c r="BC214"/>
  <c r="BC213"/>
  <c r="BC211"/>
  <c r="BC212" s="1"/>
  <c r="BC209"/>
  <c r="BC208"/>
  <c r="BC207"/>
  <c r="BC206"/>
  <c r="BC205"/>
  <c r="BC204"/>
  <c r="BC203"/>
  <c r="BC202"/>
  <c r="BC201"/>
  <c r="BC200"/>
  <c r="BC199"/>
  <c r="BC198"/>
  <c r="BC197"/>
  <c r="BC196"/>
  <c r="BC195"/>
  <c r="BC194"/>
  <c r="BC193"/>
  <c r="BC192"/>
  <c r="BC191"/>
  <c r="BC190"/>
  <c r="BC189"/>
  <c r="BC188"/>
  <c r="BC187"/>
  <c r="BC186"/>
  <c r="BC184"/>
  <c r="BC183"/>
  <c r="BC182"/>
  <c r="BC181"/>
  <c r="BC180"/>
  <c r="BC179"/>
  <c r="BC178"/>
  <c r="BC177"/>
  <c r="BC176"/>
  <c r="BC175"/>
  <c r="BC173"/>
  <c r="BC171"/>
  <c r="BC170"/>
  <c r="BC169"/>
  <c r="BC168"/>
  <c r="BC167"/>
  <c r="BC165"/>
  <c r="BC164"/>
  <c r="BC163"/>
  <c r="BC162"/>
  <c r="BC161"/>
  <c r="BC160"/>
  <c r="BC159"/>
  <c r="BC158"/>
  <c r="BC156"/>
  <c r="BC155"/>
  <c r="BC154"/>
  <c r="BC153"/>
  <c r="BC152"/>
  <c r="BC150"/>
  <c r="BC151" s="1"/>
  <c r="BC148"/>
  <c r="BC147"/>
  <c r="BC145"/>
  <c r="BC144"/>
  <c r="BC143"/>
  <c r="BC142"/>
  <c r="BC141"/>
  <c r="BC140"/>
  <c r="BC139"/>
  <c r="BC137"/>
  <c r="BC136"/>
  <c r="BC135"/>
  <c r="BC134"/>
  <c r="BC133"/>
  <c r="BC132"/>
  <c r="BC131"/>
  <c r="BC128"/>
  <c r="BC129" s="1"/>
  <c r="BC126"/>
  <c r="BC124"/>
  <c r="BC123"/>
  <c r="BC122"/>
  <c r="BC120"/>
  <c r="BC119"/>
  <c r="BC118"/>
  <c r="BC117"/>
  <c r="BC115"/>
  <c r="BC114"/>
  <c r="BC113"/>
  <c r="BC112"/>
  <c r="BC111"/>
  <c r="BC110"/>
  <c r="BC109"/>
  <c r="BC108"/>
  <c r="BC107"/>
  <c r="BC106"/>
  <c r="BC105"/>
  <c r="BC104"/>
  <c r="BC103"/>
  <c r="BC101"/>
  <c r="BC100"/>
  <c r="BC99"/>
  <c r="BC98"/>
  <c r="BC97"/>
  <c r="BC96"/>
  <c r="BC95"/>
  <c r="BC94"/>
  <c r="BC93"/>
  <c r="BC92"/>
  <c r="BC91"/>
  <c r="BC90"/>
  <c r="BC89"/>
  <c r="BC88"/>
  <c r="BC87"/>
  <c r="BC86"/>
  <c r="BC83"/>
  <c r="BC84" s="1"/>
  <c r="BC81"/>
  <c r="BC80"/>
  <c r="BC79"/>
  <c r="BC78"/>
  <c r="BC77"/>
  <c r="BC76"/>
  <c r="BC75"/>
  <c r="BC74"/>
  <c r="BC73"/>
  <c r="BC71"/>
  <c r="BC67"/>
  <c r="BC66"/>
  <c r="BC65"/>
  <c r="BC64"/>
  <c r="BC62"/>
  <c r="BC61"/>
  <c r="BC60"/>
  <c r="BC59"/>
  <c r="BC58"/>
  <c r="BC57"/>
  <c r="BC56"/>
  <c r="BC55"/>
  <c r="BC53"/>
  <c r="BC52"/>
  <c r="BC51"/>
  <c r="BC50"/>
  <c r="BC49"/>
  <c r="BC48"/>
  <c r="BC47"/>
  <c r="BC46"/>
  <c r="BC44"/>
  <c r="BC43"/>
  <c r="BC42"/>
  <c r="BC41"/>
  <c r="BC40"/>
  <c r="BC39"/>
  <c r="BC38"/>
  <c r="BC37"/>
  <c r="BC36"/>
  <c r="BC33"/>
  <c r="BC32"/>
  <c r="BC31"/>
  <c r="BC29"/>
  <c r="BC28"/>
  <c r="BC26"/>
  <c r="BC25"/>
  <c r="BC24"/>
  <c r="BC23"/>
  <c r="BC22"/>
  <c r="BC20"/>
  <c r="BC19"/>
  <c r="BC18"/>
  <c r="BC17"/>
  <c r="BC15"/>
  <c r="BC14"/>
  <c r="BC13"/>
  <c r="BC12"/>
  <c r="BC11"/>
  <c r="BC10"/>
  <c r="BC9"/>
  <c r="BC8"/>
  <c r="BC7"/>
  <c r="BC6"/>
  <c r="BC5"/>
  <c r="AU225"/>
  <c r="AU224"/>
  <c r="AU223"/>
  <c r="AU222"/>
  <c r="AU221"/>
  <c r="AU220"/>
  <c r="AU219"/>
  <c r="AU218"/>
  <c r="AU217"/>
  <c r="AU216"/>
  <c r="AU215"/>
  <c r="AU214"/>
  <c r="AU213"/>
  <c r="AU211"/>
  <c r="AU212" s="1"/>
  <c r="AU209"/>
  <c r="AU208"/>
  <c r="AU207"/>
  <c r="AU206"/>
  <c r="AU205"/>
  <c r="AU204"/>
  <c r="AU203"/>
  <c r="AU202"/>
  <c r="AU201"/>
  <c r="AU200"/>
  <c r="AU199"/>
  <c r="AU198"/>
  <c r="AU197"/>
  <c r="AU195"/>
  <c r="AU194"/>
  <c r="AU193"/>
  <c r="AU192"/>
  <c r="AU191"/>
  <c r="AU190"/>
  <c r="AU189"/>
  <c r="AU188"/>
  <c r="AU187"/>
  <c r="AU186"/>
  <c r="AU184"/>
  <c r="AU183"/>
  <c r="AU182"/>
  <c r="AU181"/>
  <c r="AU180"/>
  <c r="AU179"/>
  <c r="AU178"/>
  <c r="AU177"/>
  <c r="AU176"/>
  <c r="AU175"/>
  <c r="AU174"/>
  <c r="AU173"/>
  <c r="AU171"/>
  <c r="AU170"/>
  <c r="AU169"/>
  <c r="AU168"/>
  <c r="AU167"/>
  <c r="AU165"/>
  <c r="AU164"/>
  <c r="AU162"/>
  <c r="AU161"/>
  <c r="AU160"/>
  <c r="AU159"/>
  <c r="AU158"/>
  <c r="AU156"/>
  <c r="AU155"/>
  <c r="AU154"/>
  <c r="AU153"/>
  <c r="AU152"/>
  <c r="AU150"/>
  <c r="AU151" s="1"/>
  <c r="AU148"/>
  <c r="AU147"/>
  <c r="AU145"/>
  <c r="AU144"/>
  <c r="AU143"/>
  <c r="AU142"/>
  <c r="AU141"/>
  <c r="AU140"/>
  <c r="AU139"/>
  <c r="AU136"/>
  <c r="AU135"/>
  <c r="AU134"/>
  <c r="AU133"/>
  <c r="AU132"/>
  <c r="AU130"/>
  <c r="AU128"/>
  <c r="AU129" s="1"/>
  <c r="AU126"/>
  <c r="AU127" s="1"/>
  <c r="AU124"/>
  <c r="AU123"/>
  <c r="AU122"/>
  <c r="AU120"/>
  <c r="AU119"/>
  <c r="AU118"/>
  <c r="AU117"/>
  <c r="AU115"/>
  <c r="AU114"/>
  <c r="AU113"/>
  <c r="AU112"/>
  <c r="AU111"/>
  <c r="AU110"/>
  <c r="AU109"/>
  <c r="AU108"/>
  <c r="AU107"/>
  <c r="AU106"/>
  <c r="AU105"/>
  <c r="AU104"/>
  <c r="AU102"/>
  <c r="AU101"/>
  <c r="AU100"/>
  <c r="AU99"/>
  <c r="AU98"/>
  <c r="AU97"/>
  <c r="AU95"/>
  <c r="AU94"/>
  <c r="AU93"/>
  <c r="AU92"/>
  <c r="AU91"/>
  <c r="AU90"/>
  <c r="AU89"/>
  <c r="AU88"/>
  <c r="AU87"/>
  <c r="AU86"/>
  <c r="AU83"/>
  <c r="AU84" s="1"/>
  <c r="AU81"/>
  <c r="AU80"/>
  <c r="AU79"/>
  <c r="AU78"/>
  <c r="AU77"/>
  <c r="AU76"/>
  <c r="AU75"/>
  <c r="AU74"/>
  <c r="AU73"/>
  <c r="AU71"/>
  <c r="AU72" s="1"/>
  <c r="AU67"/>
  <c r="AU66"/>
  <c r="AU65"/>
  <c r="AU64"/>
  <c r="AU62"/>
  <c r="AU61"/>
  <c r="AU60"/>
  <c r="AU59"/>
  <c r="AU58"/>
  <c r="AU57"/>
  <c r="AU56"/>
  <c r="AU55"/>
  <c r="AU53"/>
  <c r="AU52"/>
  <c r="AU51"/>
  <c r="AU50"/>
  <c r="AU49"/>
  <c r="AU48"/>
  <c r="AU47"/>
  <c r="AU46"/>
  <c r="AU44"/>
  <c r="AU43"/>
  <c r="AU42"/>
  <c r="AU41"/>
  <c r="AU40"/>
  <c r="AU39"/>
  <c r="AU38"/>
  <c r="AU37"/>
  <c r="AU36"/>
  <c r="AU33"/>
  <c r="AU32"/>
  <c r="AU31"/>
  <c r="AU29"/>
  <c r="AU28"/>
  <c r="AU26"/>
  <c r="AU25"/>
  <c r="AU24"/>
  <c r="AU23"/>
  <c r="AU22"/>
  <c r="AU20"/>
  <c r="AU19"/>
  <c r="AU18"/>
  <c r="AU17"/>
  <c r="AU15"/>
  <c r="AU14"/>
  <c r="AU13"/>
  <c r="AU12"/>
  <c r="AU11"/>
  <c r="AU10"/>
  <c r="AU8"/>
  <c r="AU7"/>
  <c r="AU6"/>
  <c r="AU5"/>
  <c r="AP225"/>
  <c r="AP224"/>
  <c r="AP223"/>
  <c r="AP222"/>
  <c r="AP219"/>
  <c r="AP215"/>
  <c r="AP213"/>
  <c r="AP211"/>
  <c r="AP212" s="1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P192"/>
  <c r="AP190"/>
  <c r="AP188"/>
  <c r="AP187"/>
  <c r="AP186"/>
  <c r="AP185"/>
  <c r="AP183"/>
  <c r="AP182"/>
  <c r="AP181"/>
  <c r="AP179"/>
  <c r="AP178"/>
  <c r="AP175"/>
  <c r="AP173"/>
  <c r="AP171"/>
  <c r="AP170"/>
  <c r="AP169"/>
  <c r="AP168"/>
  <c r="AP167"/>
  <c r="AP165"/>
  <c r="AP164"/>
  <c r="AP163"/>
  <c r="AP162"/>
  <c r="AP161"/>
  <c r="AP160"/>
  <c r="AP159"/>
  <c r="AP158"/>
  <c r="AP156"/>
  <c r="AP155"/>
  <c r="AP154"/>
  <c r="AP153"/>
  <c r="AP152"/>
  <c r="AP150"/>
  <c r="AP147"/>
  <c r="AP145"/>
  <c r="AP144"/>
  <c r="AP143"/>
  <c r="AP142"/>
  <c r="AP141"/>
  <c r="AP139"/>
  <c r="AP137"/>
  <c r="AP136"/>
  <c r="AP135"/>
  <c r="AP134"/>
  <c r="AP133"/>
  <c r="AP132"/>
  <c r="AP131"/>
  <c r="AP130"/>
  <c r="AP128"/>
  <c r="AP129" s="1"/>
  <c r="AP126"/>
  <c r="AP124"/>
  <c r="AP123"/>
  <c r="AP122"/>
  <c r="AP120"/>
  <c r="AP119"/>
  <c r="AP118"/>
  <c r="AP117"/>
  <c r="AP115"/>
  <c r="AP112"/>
  <c r="AP111"/>
  <c r="AP110"/>
  <c r="AP109"/>
  <c r="AP108"/>
  <c r="AP107"/>
  <c r="AP105"/>
  <c r="AP104"/>
  <c r="AP103"/>
  <c r="AP101"/>
  <c r="AP98"/>
  <c r="AP97"/>
  <c r="AP96"/>
  <c r="AP95"/>
  <c r="AP94"/>
  <c r="AP93"/>
  <c r="AP91"/>
  <c r="AP90"/>
  <c r="AP89"/>
  <c r="AP88"/>
  <c r="AP87"/>
  <c r="AP85"/>
  <c r="AP83"/>
  <c r="AP84" s="1"/>
  <c r="AP81"/>
  <c r="AP80"/>
  <c r="AP79"/>
  <c r="AP78"/>
  <c r="AP77"/>
  <c r="AP76"/>
  <c r="AP75"/>
  <c r="AP74"/>
  <c r="AP73"/>
  <c r="AP71"/>
  <c r="AP67"/>
  <c r="AP64"/>
  <c r="AP62"/>
  <c r="AP61"/>
  <c r="AP60"/>
  <c r="AP59"/>
  <c r="AP58"/>
  <c r="AP57"/>
  <c r="AP56"/>
  <c r="AP55"/>
  <c r="AP52"/>
  <c r="AP51"/>
  <c r="AP49"/>
  <c r="AP48"/>
  <c r="AP46"/>
  <c r="AP44"/>
  <c r="AP43"/>
  <c r="AP42"/>
  <c r="AP41"/>
  <c r="AP39"/>
  <c r="AP38"/>
  <c r="AP37"/>
  <c r="AP36"/>
  <c r="AP33"/>
  <c r="AP32"/>
  <c r="AP31"/>
  <c r="AP29"/>
  <c r="AP28"/>
  <c r="AP26"/>
  <c r="AP25"/>
  <c r="AP24"/>
  <c r="AP20"/>
  <c r="AP19"/>
  <c r="AP18"/>
  <c r="AP17"/>
  <c r="AP15"/>
  <c r="AP13"/>
  <c r="AP12"/>
  <c r="AP10"/>
  <c r="AP9"/>
  <c r="AK225"/>
  <c r="AK223"/>
  <c r="AK222"/>
  <c r="AK221"/>
  <c r="AK220"/>
  <c r="AK219"/>
  <c r="AK218"/>
  <c r="AK217"/>
  <c r="AK216"/>
  <c r="AK215"/>
  <c r="AK214"/>
  <c r="AK213"/>
  <c r="AK211"/>
  <c r="AK212" s="1"/>
  <c r="AK208"/>
  <c r="AK207"/>
  <c r="AK206"/>
  <c r="AK205"/>
  <c r="AK204"/>
  <c r="AK203"/>
  <c r="AK201"/>
  <c r="AK199"/>
  <c r="AK198"/>
  <c r="AK196"/>
  <c r="AK195"/>
  <c r="AK194"/>
  <c r="AK193"/>
  <c r="AK192"/>
  <c r="AK191"/>
  <c r="AK190"/>
  <c r="AK189"/>
  <c r="AK188"/>
  <c r="AK187"/>
  <c r="AK185"/>
  <c r="AK184"/>
  <c r="AK183"/>
  <c r="AK182"/>
  <c r="AK181"/>
  <c r="AK180"/>
  <c r="AK179"/>
  <c r="AK178"/>
  <c r="AK177"/>
  <c r="AK176"/>
  <c r="AK175"/>
  <c r="AK174"/>
  <c r="AK171"/>
  <c r="AK170"/>
  <c r="AK167"/>
  <c r="AK165"/>
  <c r="AK163"/>
  <c r="AK161"/>
  <c r="AK160"/>
  <c r="AK158"/>
  <c r="AK156"/>
  <c r="AK155"/>
  <c r="AK154"/>
  <c r="AK153"/>
  <c r="AK152"/>
  <c r="AK150"/>
  <c r="AK151" s="1"/>
  <c r="AK148"/>
  <c r="AK145"/>
  <c r="AK144"/>
  <c r="AK143"/>
  <c r="AK142"/>
  <c r="AK141"/>
  <c r="AK140"/>
  <c r="AK139"/>
  <c r="AK137"/>
  <c r="AK136"/>
  <c r="AK135"/>
  <c r="AK134"/>
  <c r="AK133"/>
  <c r="AK131"/>
  <c r="AK130"/>
  <c r="AK128"/>
  <c r="AK129" s="1"/>
  <c r="AK126"/>
  <c r="AK124"/>
  <c r="AK123"/>
  <c r="AK122"/>
  <c r="AK120"/>
  <c r="AK118"/>
  <c r="AK117"/>
  <c r="AK115"/>
  <c r="AK114"/>
  <c r="AK113"/>
  <c r="AK112"/>
  <c r="AK111"/>
  <c r="AK110"/>
  <c r="AK109"/>
  <c r="AK107"/>
  <c r="AK106"/>
  <c r="AK105"/>
  <c r="AK103"/>
  <c r="AK102"/>
  <c r="AK101"/>
  <c r="AK100"/>
  <c r="AK99"/>
  <c r="AK98"/>
  <c r="AK97"/>
  <c r="AK96"/>
  <c r="AK95"/>
  <c r="AK94"/>
  <c r="AK93"/>
  <c r="AK92"/>
  <c r="AK89"/>
  <c r="AK88"/>
  <c r="AK83"/>
  <c r="AK81"/>
  <c r="AK80"/>
  <c r="AK79"/>
  <c r="AK77"/>
  <c r="AK76"/>
  <c r="AK75"/>
  <c r="AK74"/>
  <c r="AK73"/>
  <c r="AK71"/>
  <c r="AK67"/>
  <c r="AK66"/>
  <c r="AK65"/>
  <c r="AK64"/>
  <c r="AK62"/>
  <c r="AK61"/>
  <c r="AK59"/>
  <c r="AK58"/>
  <c r="AK57"/>
  <c r="AK56"/>
  <c r="AK53"/>
  <c r="AK52"/>
  <c r="AK51"/>
  <c r="AK50"/>
  <c r="AK49"/>
  <c r="AK48"/>
  <c r="AK47"/>
  <c r="AK44"/>
  <c r="AK43"/>
  <c r="AK42"/>
  <c r="AK41"/>
  <c r="AK40"/>
  <c r="AK39"/>
  <c r="AK38"/>
  <c r="AK36"/>
  <c r="AK33"/>
  <c r="AK32"/>
  <c r="AK31"/>
  <c r="AK29"/>
  <c r="AK28"/>
  <c r="AK26"/>
  <c r="AK24"/>
  <c r="AK22"/>
  <c r="AK20"/>
  <c r="AK19"/>
  <c r="AK18"/>
  <c r="AK17"/>
  <c r="AK15"/>
  <c r="AK13"/>
  <c r="AK11"/>
  <c r="AK9"/>
  <c r="AK6"/>
  <c r="AC225"/>
  <c r="AC224"/>
  <c r="AC223"/>
  <c r="AC222"/>
  <c r="AC221"/>
  <c r="AC220"/>
  <c r="AC219"/>
  <c r="AC218"/>
  <c r="AC217"/>
  <c r="AC216"/>
  <c r="AC215"/>
  <c r="AC214"/>
  <c r="AC213"/>
  <c r="AC211"/>
  <c r="AC212" s="1"/>
  <c r="AC209"/>
  <c r="AC208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2"/>
  <c r="AC181"/>
  <c r="AC180"/>
  <c r="AC179"/>
  <c r="AC178"/>
  <c r="AC177"/>
  <c r="AC176"/>
  <c r="AC175"/>
  <c r="AC174"/>
  <c r="AC173"/>
  <c r="AC171"/>
  <c r="AC170"/>
  <c r="AC169"/>
  <c r="AC168"/>
  <c r="AC167"/>
  <c r="AC164"/>
  <c r="AC163"/>
  <c r="AC162"/>
  <c r="AC161"/>
  <c r="AC159"/>
  <c r="AC158"/>
  <c r="AC156"/>
  <c r="AC155"/>
  <c r="AC154"/>
  <c r="AC153"/>
  <c r="AC152"/>
  <c r="AC150"/>
  <c r="AC148"/>
  <c r="AC147"/>
  <c r="AC145"/>
  <c r="AC144"/>
  <c r="AC143"/>
  <c r="AC141"/>
  <c r="AC140"/>
  <c r="AC139"/>
  <c r="AC137"/>
  <c r="AC136"/>
  <c r="AC135"/>
  <c r="AC134"/>
  <c r="AC133"/>
  <c r="AC132"/>
  <c r="AC131"/>
  <c r="AC130"/>
  <c r="AC128"/>
  <c r="AC129" s="1"/>
  <c r="AC126"/>
  <c r="AC124"/>
  <c r="AC123"/>
  <c r="AC122"/>
  <c r="AC120"/>
  <c r="AC119"/>
  <c r="AC118"/>
  <c r="AC117"/>
  <c r="AC115"/>
  <c r="AC114"/>
  <c r="AC113"/>
  <c r="AC112"/>
  <c r="AC111"/>
  <c r="AC110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3"/>
  <c r="AC84" s="1"/>
  <c r="AC81"/>
  <c r="AC80"/>
  <c r="AC79"/>
  <c r="AC78"/>
  <c r="AC77"/>
  <c r="AC76"/>
  <c r="AC75"/>
  <c r="AC74"/>
  <c r="AC73"/>
  <c r="AC71"/>
  <c r="AC72" s="1"/>
  <c r="AC67"/>
  <c r="AC66"/>
  <c r="AC65"/>
  <c r="AC64"/>
  <c r="AC62"/>
  <c r="AC61"/>
  <c r="AC60"/>
  <c r="AC59"/>
  <c r="AC58"/>
  <c r="AC57"/>
  <c r="AC56"/>
  <c r="AC55"/>
  <c r="AC53"/>
  <c r="AC51"/>
  <c r="AC50"/>
  <c r="AC49"/>
  <c r="AC48"/>
  <c r="AC47"/>
  <c r="AC46"/>
  <c r="AC44"/>
  <c r="AC43"/>
  <c r="AC42"/>
  <c r="AC41"/>
  <c r="AC40"/>
  <c r="AC39"/>
  <c r="AC38"/>
  <c r="AC37"/>
  <c r="AC36"/>
  <c r="AC33"/>
  <c r="AC32"/>
  <c r="AC35" s="1"/>
  <c r="AC31"/>
  <c r="AC29"/>
  <c r="AC28"/>
  <c r="AC26"/>
  <c r="AC25"/>
  <c r="AC24"/>
  <c r="AC23"/>
  <c r="AC22"/>
  <c r="AC20"/>
  <c r="AC19"/>
  <c r="AC18"/>
  <c r="AC17"/>
  <c r="AC15"/>
  <c r="AC14"/>
  <c r="AC13"/>
  <c r="AC12"/>
  <c r="AC11"/>
  <c r="AC10"/>
  <c r="AC9"/>
  <c r="AC8"/>
  <c r="AC7"/>
  <c r="AC6"/>
  <c r="AC5"/>
  <c r="U225"/>
  <c r="U224"/>
  <c r="U223"/>
  <c r="U221"/>
  <c r="U220"/>
  <c r="U219"/>
  <c r="U218"/>
  <c r="U217"/>
  <c r="U216"/>
  <c r="U215"/>
  <c r="U214"/>
  <c r="U213"/>
  <c r="U209"/>
  <c r="U208"/>
  <c r="U207"/>
  <c r="U205"/>
  <c r="U204"/>
  <c r="U203"/>
  <c r="U202"/>
  <c r="U201"/>
  <c r="U200"/>
  <c r="U199"/>
  <c r="U198"/>
  <c r="U197"/>
  <c r="U196"/>
  <c r="U195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0"/>
  <c r="U169"/>
  <c r="U168"/>
  <c r="U167"/>
  <c r="U165"/>
  <c r="U164"/>
  <c r="U163"/>
  <c r="U162"/>
  <c r="U161"/>
  <c r="U160"/>
  <c r="U159"/>
  <c r="U158"/>
  <c r="U156"/>
  <c r="U155"/>
  <c r="U154"/>
  <c r="U152"/>
  <c r="U148"/>
  <c r="U147"/>
  <c r="U144"/>
  <c r="U142"/>
  <c r="U141"/>
  <c r="U140"/>
  <c r="U139"/>
  <c r="U137"/>
  <c r="U136"/>
  <c r="U135"/>
  <c r="U134"/>
  <c r="U133"/>
  <c r="U132"/>
  <c r="U131"/>
  <c r="U130"/>
  <c r="U128"/>
  <c r="U129" s="1"/>
  <c r="U126"/>
  <c r="U127" s="1"/>
  <c r="U124"/>
  <c r="U123"/>
  <c r="U122"/>
  <c r="U120"/>
  <c r="U119"/>
  <c r="U117"/>
  <c r="U115"/>
  <c r="U114"/>
  <c r="U113"/>
  <c r="U112"/>
  <c r="U111"/>
  <c r="U110"/>
  <c r="U109"/>
  <c r="U108"/>
  <c r="U107"/>
  <c r="U106"/>
  <c r="U104"/>
  <c r="U103"/>
  <c r="U102"/>
  <c r="U101"/>
  <c r="U100"/>
  <c r="U99"/>
  <c r="U98"/>
  <c r="U96"/>
  <c r="U94"/>
  <c r="U92"/>
  <c r="U91"/>
  <c r="U90"/>
  <c r="U89"/>
  <c r="U88"/>
  <c r="U87"/>
  <c r="U86"/>
  <c r="U85"/>
  <c r="U83"/>
  <c r="U84" s="1"/>
  <c r="U81"/>
  <c r="U80"/>
  <c r="U79"/>
  <c r="U78"/>
  <c r="U77"/>
  <c r="U76"/>
  <c r="U75"/>
  <c r="U74"/>
  <c r="U73"/>
  <c r="U71"/>
  <c r="U72" s="1"/>
  <c r="U67"/>
  <c r="U66"/>
  <c r="U65"/>
  <c r="U64"/>
  <c r="U62"/>
  <c r="U61"/>
  <c r="U60"/>
  <c r="U59"/>
  <c r="U58"/>
  <c r="U57"/>
  <c r="U56"/>
  <c r="U55"/>
  <c r="U53"/>
  <c r="U52"/>
  <c r="U51"/>
  <c r="U50"/>
  <c r="U49"/>
  <c r="U48"/>
  <c r="U47"/>
  <c r="U46"/>
  <c r="U44"/>
  <c r="U43"/>
  <c r="U42"/>
  <c r="U41"/>
  <c r="U40"/>
  <c r="U39"/>
  <c r="U37"/>
  <c r="U36"/>
  <c r="U33"/>
  <c r="U32"/>
  <c r="U35" s="1"/>
  <c r="U31"/>
  <c r="U29"/>
  <c r="U28"/>
  <c r="U26"/>
  <c r="U25"/>
  <c r="U24"/>
  <c r="U23"/>
  <c r="U22"/>
  <c r="U20"/>
  <c r="U19"/>
  <c r="U18"/>
  <c r="U17"/>
  <c r="U14"/>
  <c r="U12"/>
  <c r="U11"/>
  <c r="U10"/>
  <c r="U9"/>
  <c r="U8"/>
  <c r="U7"/>
  <c r="U6"/>
  <c r="U5"/>
  <c r="M225"/>
  <c r="M224"/>
  <c r="M222"/>
  <c r="M221"/>
  <c r="M218"/>
  <c r="M216"/>
  <c r="M215"/>
  <c r="M211"/>
  <c r="M209"/>
  <c r="M208"/>
  <c r="M207"/>
  <c r="M205"/>
  <c r="M204"/>
  <c r="M203"/>
  <c r="M202"/>
  <c r="M201"/>
  <c r="M200"/>
  <c r="M199"/>
  <c r="M198"/>
  <c r="M197"/>
  <c r="M195"/>
  <c r="M190"/>
  <c r="M188"/>
  <c r="M186"/>
  <c r="M183"/>
  <c r="M182"/>
  <c r="M179"/>
  <c r="M178"/>
  <c r="M175"/>
  <c r="M173"/>
  <c r="M171"/>
  <c r="M170"/>
  <c r="M169"/>
  <c r="M168"/>
  <c r="M167"/>
  <c r="M165"/>
  <c r="M164"/>
  <c r="M163"/>
  <c r="M162"/>
  <c r="M161"/>
  <c r="M160"/>
  <c r="M159"/>
  <c r="M155"/>
  <c r="M154"/>
  <c r="M153"/>
  <c r="M150"/>
  <c r="M151" s="1"/>
  <c r="M147"/>
  <c r="M144"/>
  <c r="M143"/>
  <c r="M142"/>
  <c r="M139"/>
  <c r="M137"/>
  <c r="M136"/>
  <c r="M134"/>
  <c r="M133"/>
  <c r="M132"/>
  <c r="M131"/>
  <c r="M130"/>
  <c r="M124"/>
  <c r="M122"/>
  <c r="M120"/>
  <c r="M119"/>
  <c r="M118"/>
  <c r="M117"/>
  <c r="M115"/>
  <c r="M112"/>
  <c r="M111"/>
  <c r="M109"/>
  <c r="M107"/>
  <c r="M105"/>
  <c r="M104"/>
  <c r="M101"/>
  <c r="M98"/>
  <c r="M97"/>
  <c r="M95"/>
  <c r="M94"/>
  <c r="M90"/>
  <c r="M89"/>
  <c r="M87"/>
  <c r="M80"/>
  <c r="M79"/>
  <c r="M78"/>
  <c r="M75"/>
  <c r="M73"/>
  <c r="M71"/>
  <c r="M67"/>
  <c r="M65"/>
  <c r="M64"/>
  <c r="M62"/>
  <c r="M60"/>
  <c r="M57"/>
  <c r="M56"/>
  <c r="M55"/>
  <c r="M49"/>
  <c r="M48"/>
  <c r="M46"/>
  <c r="M44"/>
  <c r="M42"/>
  <c r="M41"/>
  <c r="M39"/>
  <c r="M38"/>
  <c r="M37"/>
  <c r="M33"/>
  <c r="M31"/>
  <c r="M29"/>
  <c r="M28"/>
  <c r="M26"/>
  <c r="M25"/>
  <c r="M19"/>
  <c r="M17"/>
  <c r="M13"/>
  <c r="M12"/>
  <c r="M11"/>
  <c r="M10"/>
  <c r="M9"/>
  <c r="BJ225"/>
  <c r="BJ224"/>
  <c r="BJ223"/>
  <c r="BJ222"/>
  <c r="BJ221"/>
  <c r="BJ220"/>
  <c r="BJ219"/>
  <c r="BJ218"/>
  <c r="BJ217"/>
  <c r="BJ216"/>
  <c r="BJ215"/>
  <c r="BJ214"/>
  <c r="BJ213"/>
  <c r="BJ211"/>
  <c r="BJ212" s="1"/>
  <c r="BJ209"/>
  <c r="BJ208"/>
  <c r="BJ207"/>
  <c r="BJ206"/>
  <c r="BJ205"/>
  <c r="BJ204"/>
  <c r="BJ203"/>
  <c r="BJ202"/>
  <c r="BJ201"/>
  <c r="BJ200"/>
  <c r="BJ199"/>
  <c r="BJ198"/>
  <c r="BJ197"/>
  <c r="BJ196"/>
  <c r="BJ195"/>
  <c r="BJ194"/>
  <c r="BJ193"/>
  <c r="BJ192"/>
  <c r="BJ191"/>
  <c r="BJ190"/>
  <c r="BJ189"/>
  <c r="BJ188"/>
  <c r="BJ187"/>
  <c r="BJ186"/>
  <c r="BJ185"/>
  <c r="BJ184"/>
  <c r="BJ183"/>
  <c r="BJ182"/>
  <c r="BJ181"/>
  <c r="BJ180"/>
  <c r="BJ179"/>
  <c r="BJ178"/>
  <c r="BJ177"/>
  <c r="BJ176"/>
  <c r="BJ175"/>
  <c r="BJ174"/>
  <c r="BJ173"/>
  <c r="BJ171"/>
  <c r="BJ170"/>
  <c r="BJ169"/>
  <c r="BJ168"/>
  <c r="BJ167"/>
  <c r="BJ165"/>
  <c r="BJ164"/>
  <c r="BJ163"/>
  <c r="BJ162"/>
  <c r="BJ161"/>
  <c r="BJ160"/>
  <c r="BJ159"/>
  <c r="BJ158"/>
  <c r="BJ156"/>
  <c r="BJ155"/>
  <c r="BJ154"/>
  <c r="BJ153"/>
  <c r="BJ152"/>
  <c r="BJ150"/>
  <c r="BJ151" s="1"/>
  <c r="BJ148"/>
  <c r="BJ147"/>
  <c r="BJ145"/>
  <c r="BJ144"/>
  <c r="BJ143"/>
  <c r="BJ142"/>
  <c r="BJ141"/>
  <c r="BJ140"/>
  <c r="BJ139"/>
  <c r="BJ137"/>
  <c r="BJ136"/>
  <c r="BJ135"/>
  <c r="BJ134"/>
  <c r="BJ133"/>
  <c r="BJ132"/>
  <c r="BJ131"/>
  <c r="BJ130"/>
  <c r="BJ128"/>
  <c r="BJ129" s="1"/>
  <c r="BJ126"/>
  <c r="BJ124"/>
  <c r="BJ123"/>
  <c r="BJ122"/>
  <c r="BJ120"/>
  <c r="BJ119"/>
  <c r="BJ118"/>
  <c r="BJ117"/>
  <c r="BJ115"/>
  <c r="BJ114"/>
  <c r="BJ113"/>
  <c r="BJ112"/>
  <c r="BJ111"/>
  <c r="BJ110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3"/>
  <c r="BJ84" s="1"/>
  <c r="BJ81"/>
  <c r="BJ80"/>
  <c r="BJ79"/>
  <c r="BJ78"/>
  <c r="BJ77"/>
  <c r="BJ76"/>
  <c r="BJ75"/>
  <c r="BJ74"/>
  <c r="BJ73"/>
  <c r="BJ71"/>
  <c r="BJ72" s="1"/>
  <c r="BJ67"/>
  <c r="BJ66"/>
  <c r="BJ65"/>
  <c r="BJ64"/>
  <c r="BJ62"/>
  <c r="BJ61"/>
  <c r="BJ60"/>
  <c r="BJ59"/>
  <c r="BJ58"/>
  <c r="BJ57"/>
  <c r="BJ56"/>
  <c r="BJ55"/>
  <c r="BJ53"/>
  <c r="BJ52"/>
  <c r="BJ51"/>
  <c r="BJ50"/>
  <c r="BJ49"/>
  <c r="BJ48"/>
  <c r="BJ47"/>
  <c r="BJ46"/>
  <c r="BJ44"/>
  <c r="BJ43"/>
  <c r="BJ42"/>
  <c r="BJ41"/>
  <c r="BJ40"/>
  <c r="BJ39"/>
  <c r="BJ38"/>
  <c r="BJ37"/>
  <c r="BJ36"/>
  <c r="BJ33"/>
  <c r="BJ32"/>
  <c r="BJ31"/>
  <c r="BJ29"/>
  <c r="BJ28"/>
  <c r="BJ26"/>
  <c r="BJ25"/>
  <c r="BJ24"/>
  <c r="BJ23"/>
  <c r="BJ22"/>
  <c r="BJ20"/>
  <c r="BJ19"/>
  <c r="BJ18"/>
  <c r="BJ17"/>
  <c r="BJ15"/>
  <c r="BJ14"/>
  <c r="BJ13"/>
  <c r="BJ12"/>
  <c r="BJ11"/>
  <c r="BJ10"/>
  <c r="BJ9"/>
  <c r="BJ8"/>
  <c r="BJ7"/>
  <c r="BJ6"/>
  <c r="BJ5"/>
  <c r="BB226"/>
  <c r="BB212"/>
  <c r="BB210"/>
  <c r="BB172"/>
  <c r="BB166"/>
  <c r="BB157"/>
  <c r="BB151"/>
  <c r="BB149"/>
  <c r="BB146"/>
  <c r="BB129"/>
  <c r="BB127"/>
  <c r="BB125"/>
  <c r="BB121"/>
  <c r="BB116"/>
  <c r="BB84"/>
  <c r="BB82"/>
  <c r="BB72"/>
  <c r="BB68"/>
  <c r="BB63"/>
  <c r="BB54"/>
  <c r="BB45"/>
  <c r="BB30"/>
  <c r="BB27"/>
  <c r="BB21"/>
  <c r="BB16"/>
  <c r="AT226"/>
  <c r="AT212"/>
  <c r="AT210"/>
  <c r="AT172"/>
  <c r="AT166"/>
  <c r="AT157"/>
  <c r="AT151"/>
  <c r="AT149"/>
  <c r="AT146"/>
  <c r="AT129"/>
  <c r="AT127"/>
  <c r="AT125"/>
  <c r="AT121"/>
  <c r="AT116"/>
  <c r="AT84"/>
  <c r="AT82"/>
  <c r="AT72"/>
  <c r="AT68"/>
  <c r="AT63"/>
  <c r="AT54"/>
  <c r="AT45"/>
  <c r="AT30"/>
  <c r="AT27"/>
  <c r="AT21"/>
  <c r="AT16"/>
  <c r="AO226"/>
  <c r="AO212"/>
  <c r="AO210"/>
  <c r="AO172"/>
  <c r="AO166"/>
  <c r="AO157"/>
  <c r="AO151"/>
  <c r="AO149"/>
  <c r="AO146"/>
  <c r="AO129"/>
  <c r="AO127"/>
  <c r="AO125"/>
  <c r="AO121"/>
  <c r="AO116"/>
  <c r="AO84"/>
  <c r="AO82"/>
  <c r="AO72"/>
  <c r="AO68"/>
  <c r="AO63"/>
  <c r="AO54"/>
  <c r="AO45"/>
  <c r="AO30"/>
  <c r="AO27"/>
  <c r="AO21"/>
  <c r="AO16"/>
  <c r="AJ226"/>
  <c r="AJ212"/>
  <c r="AJ172"/>
  <c r="AJ166"/>
  <c r="AJ157"/>
  <c r="AJ151"/>
  <c r="AJ149"/>
  <c r="AJ146"/>
  <c r="AJ129"/>
  <c r="AJ127"/>
  <c r="AJ125"/>
  <c r="AJ121"/>
  <c r="AJ116"/>
  <c r="AJ84"/>
  <c r="AJ82"/>
  <c r="AJ72"/>
  <c r="AJ68"/>
  <c r="AJ63"/>
  <c r="AJ54"/>
  <c r="AJ45"/>
  <c r="AJ30"/>
  <c r="AJ27"/>
  <c r="AJ21"/>
  <c r="AJ16"/>
  <c r="AB226"/>
  <c r="AB212"/>
  <c r="AB210"/>
  <c r="AB172"/>
  <c r="AB166"/>
  <c r="AB157"/>
  <c r="AB151"/>
  <c r="AB149"/>
  <c r="AB146"/>
  <c r="AB129"/>
  <c r="AB127"/>
  <c r="AB125"/>
  <c r="AB121"/>
  <c r="AB116"/>
  <c r="AB84"/>
  <c r="AB82"/>
  <c r="AB72"/>
  <c r="AB68"/>
  <c r="AB63"/>
  <c r="AB54"/>
  <c r="AB45"/>
  <c r="AB30"/>
  <c r="AB27"/>
  <c r="AB21"/>
  <c r="AB16"/>
  <c r="T226"/>
  <c r="T212"/>
  <c r="T210"/>
  <c r="T172"/>
  <c r="T166"/>
  <c r="T157"/>
  <c r="T151"/>
  <c r="T149"/>
  <c r="T146"/>
  <c r="T129"/>
  <c r="T127"/>
  <c r="T125"/>
  <c r="T121"/>
  <c r="T116"/>
  <c r="T84"/>
  <c r="T82"/>
  <c r="T72"/>
  <c r="T68"/>
  <c r="T63"/>
  <c r="T54"/>
  <c r="T45"/>
  <c r="T30"/>
  <c r="T27"/>
  <c r="T21"/>
  <c r="T16"/>
  <c r="L226"/>
  <c r="L212"/>
  <c r="L210"/>
  <c r="L172"/>
  <c r="L166"/>
  <c r="L157"/>
  <c r="L151"/>
  <c r="L149"/>
  <c r="L146"/>
  <c r="L129"/>
  <c r="L125"/>
  <c r="L121"/>
  <c r="L116"/>
  <c r="L84"/>
  <c r="L82"/>
  <c r="L72"/>
  <c r="L68"/>
  <c r="L63"/>
  <c r="L54"/>
  <c r="L45"/>
  <c r="L30"/>
  <c r="L27"/>
  <c r="L21"/>
  <c r="L16"/>
  <c r="BA226"/>
  <c r="AZ226"/>
  <c r="AY226"/>
  <c r="AW226"/>
  <c r="AV226"/>
  <c r="AS226"/>
  <c r="AR226"/>
  <c r="AQ226"/>
  <c r="AL226"/>
  <c r="AG226"/>
  <c r="AF226"/>
  <c r="AE226"/>
  <c r="AD226"/>
  <c r="AA226"/>
  <c r="Z226"/>
  <c r="Y226"/>
  <c r="X226"/>
  <c r="W226"/>
  <c r="V226"/>
  <c r="Q226"/>
  <c r="P226"/>
  <c r="O226"/>
  <c r="N226"/>
  <c r="G226"/>
  <c r="F226"/>
  <c r="BI225"/>
  <c r="BH225"/>
  <c r="BG225"/>
  <c r="BF225"/>
  <c r="BE225"/>
  <c r="BD225"/>
  <c r="BG224"/>
  <c r="BF224"/>
  <c r="BE224"/>
  <c r="BD224"/>
  <c r="AI224"/>
  <c r="AH224"/>
  <c r="BH224" s="1"/>
  <c r="BG223"/>
  <c r="BE223"/>
  <c r="BD223"/>
  <c r="K223"/>
  <c r="BI223" s="1"/>
  <c r="J223"/>
  <c r="BH223" s="1"/>
  <c r="H223"/>
  <c r="BF223" s="1"/>
  <c r="BG222"/>
  <c r="BE222"/>
  <c r="BD222"/>
  <c r="AX222"/>
  <c r="BC222" s="1"/>
  <c r="S222"/>
  <c r="S226" s="1"/>
  <c r="R222"/>
  <c r="R226" s="1"/>
  <c r="BG221"/>
  <c r="BF221"/>
  <c r="BE221"/>
  <c r="BD221"/>
  <c r="AN221"/>
  <c r="BI221" s="1"/>
  <c r="AM221"/>
  <c r="BH221" s="1"/>
  <c r="BE220"/>
  <c r="BD220"/>
  <c r="AN220"/>
  <c r="BI220" s="1"/>
  <c r="AM220"/>
  <c r="BH220" s="1"/>
  <c r="I220"/>
  <c r="I226" s="1"/>
  <c r="H220"/>
  <c r="BF220" s="1"/>
  <c r="BG219"/>
  <c r="BE219"/>
  <c r="BD219"/>
  <c r="K219"/>
  <c r="BI219" s="1"/>
  <c r="J219"/>
  <c r="BH219" s="1"/>
  <c r="H219"/>
  <c r="BF219" s="1"/>
  <c r="BI218"/>
  <c r="BG218"/>
  <c r="BF218"/>
  <c r="BE218"/>
  <c r="BD218"/>
  <c r="AM218"/>
  <c r="AP218" s="1"/>
  <c r="BG217"/>
  <c r="BE217"/>
  <c r="BD217"/>
  <c r="AN217"/>
  <c r="BI217" s="1"/>
  <c r="AM217"/>
  <c r="BH217" s="1"/>
  <c r="H217"/>
  <c r="BF217" s="1"/>
  <c r="BI216"/>
  <c r="BG216"/>
  <c r="BF216"/>
  <c r="BE216"/>
  <c r="BD216"/>
  <c r="AM216"/>
  <c r="AP216" s="1"/>
  <c r="BI215"/>
  <c r="BH215"/>
  <c r="BG215"/>
  <c r="BF215"/>
  <c r="BE215"/>
  <c r="BD215"/>
  <c r="BG214"/>
  <c r="BE214"/>
  <c r="BD214"/>
  <c r="AN214"/>
  <c r="AN226" s="1"/>
  <c r="AM214"/>
  <c r="H214"/>
  <c r="BF214" s="1"/>
  <c r="BG213"/>
  <c r="BF213"/>
  <c r="BE213"/>
  <c r="BD213"/>
  <c r="K213"/>
  <c r="J213"/>
  <c r="M213" s="1"/>
  <c r="BA212"/>
  <c r="AZ212"/>
  <c r="AY212"/>
  <c r="AX212"/>
  <c r="AW212"/>
  <c r="AV212"/>
  <c r="AS212"/>
  <c r="AR212"/>
  <c r="AQ212"/>
  <c r="AN212"/>
  <c r="AM212"/>
  <c r="AL212"/>
  <c r="AI212"/>
  <c r="AH212"/>
  <c r="AG212"/>
  <c r="AF212"/>
  <c r="AE212"/>
  <c r="AD212"/>
  <c r="AA212"/>
  <c r="Z212"/>
  <c r="Y212"/>
  <c r="X212"/>
  <c r="W212"/>
  <c r="V212"/>
  <c r="S212"/>
  <c r="Q212"/>
  <c r="P212"/>
  <c r="O212"/>
  <c r="N212"/>
  <c r="K212"/>
  <c r="J212"/>
  <c r="I212"/>
  <c r="H212"/>
  <c r="G212"/>
  <c r="F212"/>
  <c r="BI211"/>
  <c r="BH212"/>
  <c r="BG211"/>
  <c r="BG212" s="1"/>
  <c r="BF211"/>
  <c r="BE211"/>
  <c r="BE212" s="1"/>
  <c r="BD211"/>
  <c r="R211"/>
  <c r="U211" s="1"/>
  <c r="U212" s="1"/>
  <c r="M212"/>
  <c r="BA210"/>
  <c r="AZ210"/>
  <c r="AY210"/>
  <c r="AV210"/>
  <c r="AQ210"/>
  <c r="AL210"/>
  <c r="AG210"/>
  <c r="AF210"/>
  <c r="AE210"/>
  <c r="AD210"/>
  <c r="Y210"/>
  <c r="X210"/>
  <c r="W210"/>
  <c r="V210"/>
  <c r="Q210"/>
  <c r="P210"/>
  <c r="O210"/>
  <c r="N210"/>
  <c r="G210"/>
  <c r="F210"/>
  <c r="BG209"/>
  <c r="BF209"/>
  <c r="BE209"/>
  <c r="BD209"/>
  <c r="AI209"/>
  <c r="AH209"/>
  <c r="BH209" s="1"/>
  <c r="BI208"/>
  <c r="BH208"/>
  <c r="BG208"/>
  <c r="BF208"/>
  <c r="BE208"/>
  <c r="BD208"/>
  <c r="BG207"/>
  <c r="BF207"/>
  <c r="BE207"/>
  <c r="BD207"/>
  <c r="AA207"/>
  <c r="BI207" s="1"/>
  <c r="Z207"/>
  <c r="BH207" s="1"/>
  <c r="BE206"/>
  <c r="BD206"/>
  <c r="S206"/>
  <c r="BI206" s="1"/>
  <c r="R206"/>
  <c r="BH206" s="1"/>
  <c r="I206"/>
  <c r="BG206" s="1"/>
  <c r="H206"/>
  <c r="BF206" s="1"/>
  <c r="BI205"/>
  <c r="BH205"/>
  <c r="BG205"/>
  <c r="BF205"/>
  <c r="BE205"/>
  <c r="BD205"/>
  <c r="BI204"/>
  <c r="BH204"/>
  <c r="BG204"/>
  <c r="BF204"/>
  <c r="BE204"/>
  <c r="BD204"/>
  <c r="BK204" s="1"/>
  <c r="BI203"/>
  <c r="BH203"/>
  <c r="BG203"/>
  <c r="BF203"/>
  <c r="BE203"/>
  <c r="BD203"/>
  <c r="BG202"/>
  <c r="BF202"/>
  <c r="BE202"/>
  <c r="BD202"/>
  <c r="AI202"/>
  <c r="BI202" s="1"/>
  <c r="AH202"/>
  <c r="BH202" s="1"/>
  <c r="BI201"/>
  <c r="BH201"/>
  <c r="BG201"/>
  <c r="BF201"/>
  <c r="BE201"/>
  <c r="BD201"/>
  <c r="BG200"/>
  <c r="BF200"/>
  <c r="BE200"/>
  <c r="BD200"/>
  <c r="AI200"/>
  <c r="AH200"/>
  <c r="BH200" s="1"/>
  <c r="BI199"/>
  <c r="BH199"/>
  <c r="BG199"/>
  <c r="BF199"/>
  <c r="BE199"/>
  <c r="BD199"/>
  <c r="BI198"/>
  <c r="BH198"/>
  <c r="BG198"/>
  <c r="BF198"/>
  <c r="BE198"/>
  <c r="BD198"/>
  <c r="BH197"/>
  <c r="BG197"/>
  <c r="BF197"/>
  <c r="BE197"/>
  <c r="BD197"/>
  <c r="AI197"/>
  <c r="AK197" s="1"/>
  <c r="BE196"/>
  <c r="BD196"/>
  <c r="AS196"/>
  <c r="BI196" s="1"/>
  <c r="AR196"/>
  <c r="AU196" s="1"/>
  <c r="I196"/>
  <c r="BG196" s="1"/>
  <c r="H196"/>
  <c r="BI195"/>
  <c r="BH195"/>
  <c r="BG195"/>
  <c r="BF195"/>
  <c r="BE195"/>
  <c r="BD195"/>
  <c r="BI194"/>
  <c r="BG194"/>
  <c r="BE194"/>
  <c r="BD194"/>
  <c r="R194"/>
  <c r="U194" s="1"/>
  <c r="H194"/>
  <c r="M194" s="1"/>
  <c r="BG193"/>
  <c r="BE193"/>
  <c r="BD193"/>
  <c r="S193"/>
  <c r="BI193" s="1"/>
  <c r="R193"/>
  <c r="H193"/>
  <c r="M193" s="1"/>
  <c r="BG192"/>
  <c r="BE192"/>
  <c r="BD192"/>
  <c r="K192"/>
  <c r="K210" s="1"/>
  <c r="J192"/>
  <c r="BH192" s="1"/>
  <c r="H192"/>
  <c r="BF192" s="1"/>
  <c r="BE191"/>
  <c r="BD191"/>
  <c r="AN191"/>
  <c r="AM191"/>
  <c r="BH191" s="1"/>
  <c r="I191"/>
  <c r="BG191" s="1"/>
  <c r="H191"/>
  <c r="M191" s="1"/>
  <c r="BI190"/>
  <c r="BH190"/>
  <c r="BG190"/>
  <c r="BF190"/>
  <c r="BE190"/>
  <c r="BD190"/>
  <c r="BH189"/>
  <c r="BG189"/>
  <c r="BE189"/>
  <c r="BD189"/>
  <c r="AN189"/>
  <c r="AP189" s="1"/>
  <c r="H189"/>
  <c r="M189" s="1"/>
  <c r="BI188"/>
  <c r="BH188"/>
  <c r="BG188"/>
  <c r="BF188"/>
  <c r="BE188"/>
  <c r="BD188"/>
  <c r="BI187"/>
  <c r="BH187"/>
  <c r="BG187"/>
  <c r="BE187"/>
  <c r="BD187"/>
  <c r="H187"/>
  <c r="M187" s="1"/>
  <c r="BG186"/>
  <c r="BF186"/>
  <c r="BE186"/>
  <c r="BD186"/>
  <c r="AI186"/>
  <c r="BI186" s="1"/>
  <c r="AH186"/>
  <c r="BH186" s="1"/>
  <c r="BE185"/>
  <c r="BD185"/>
  <c r="AW185"/>
  <c r="AW210" s="1"/>
  <c r="AS185"/>
  <c r="AS210" s="1"/>
  <c r="AR185"/>
  <c r="AU185" s="1"/>
  <c r="I185"/>
  <c r="BG185" s="1"/>
  <c r="H185"/>
  <c r="BF185" s="1"/>
  <c r="BE184"/>
  <c r="BD184"/>
  <c r="AN184"/>
  <c r="BI184" s="1"/>
  <c r="AM184"/>
  <c r="BH184" s="1"/>
  <c r="I184"/>
  <c r="BG184" s="1"/>
  <c r="H184"/>
  <c r="M184" s="1"/>
  <c r="BG183"/>
  <c r="BF183"/>
  <c r="BE183"/>
  <c r="BD183"/>
  <c r="AA183"/>
  <c r="Z183"/>
  <c r="AC183" s="1"/>
  <c r="BI182"/>
  <c r="BH182"/>
  <c r="BG182"/>
  <c r="BF182"/>
  <c r="BE182"/>
  <c r="BD182"/>
  <c r="BI181"/>
  <c r="BH181"/>
  <c r="BG181"/>
  <c r="BE181"/>
  <c r="BD181"/>
  <c r="H181"/>
  <c r="M181" s="1"/>
  <c r="BE180"/>
  <c r="BD180"/>
  <c r="AN180"/>
  <c r="BI180" s="1"/>
  <c r="AM180"/>
  <c r="BH180" s="1"/>
  <c r="I180"/>
  <c r="BG180" s="1"/>
  <c r="H180"/>
  <c r="BF180" s="1"/>
  <c r="BI179"/>
  <c r="BH179"/>
  <c r="BG179"/>
  <c r="BF179"/>
  <c r="BE179"/>
  <c r="BD179"/>
  <c r="BI178"/>
  <c r="BH178"/>
  <c r="BG178"/>
  <c r="BF178"/>
  <c r="BE178"/>
  <c r="BD178"/>
  <c r="BF177"/>
  <c r="BE177"/>
  <c r="BD177"/>
  <c r="AN177"/>
  <c r="BI177" s="1"/>
  <c r="AM177"/>
  <c r="BH177" s="1"/>
  <c r="I177"/>
  <c r="M177" s="1"/>
  <c r="BE176"/>
  <c r="BD176"/>
  <c r="AN176"/>
  <c r="AM176"/>
  <c r="AP176" s="1"/>
  <c r="I176"/>
  <c r="H176"/>
  <c r="BF176" s="1"/>
  <c r="BI175"/>
  <c r="BH175"/>
  <c r="BG175"/>
  <c r="BF175"/>
  <c r="BE175"/>
  <c r="BD175"/>
  <c r="BE174"/>
  <c r="BD174"/>
  <c r="AX174"/>
  <c r="BC174" s="1"/>
  <c r="AN174"/>
  <c r="BI174" s="1"/>
  <c r="AM174"/>
  <c r="AM210" s="1"/>
  <c r="I174"/>
  <c r="H174"/>
  <c r="M174" s="1"/>
  <c r="BG173"/>
  <c r="BF173"/>
  <c r="BE173"/>
  <c r="BD173"/>
  <c r="AI173"/>
  <c r="AI210" s="1"/>
  <c r="AH173"/>
  <c r="BH173" s="1"/>
  <c r="BA172"/>
  <c r="AZ172"/>
  <c r="AY172"/>
  <c r="AX172"/>
  <c r="AW172"/>
  <c r="AV172"/>
  <c r="AS172"/>
  <c r="AR172"/>
  <c r="AQ172"/>
  <c r="AN172"/>
  <c r="AM172"/>
  <c r="AL172"/>
  <c r="AG172"/>
  <c r="AF172"/>
  <c r="AE172"/>
  <c r="AD172"/>
  <c r="AA172"/>
  <c r="Z172"/>
  <c r="Y172"/>
  <c r="X172"/>
  <c r="W172"/>
  <c r="V172"/>
  <c r="Q172"/>
  <c r="P172"/>
  <c r="O172"/>
  <c r="N172"/>
  <c r="K172"/>
  <c r="J172"/>
  <c r="I172"/>
  <c r="H172"/>
  <c r="G172"/>
  <c r="F172"/>
  <c r="BG171"/>
  <c r="BF171"/>
  <c r="BE171"/>
  <c r="BD171"/>
  <c r="S171"/>
  <c r="R171"/>
  <c r="R172" s="1"/>
  <c r="BI170"/>
  <c r="BH170"/>
  <c r="BG170"/>
  <c r="BF170"/>
  <c r="BE170"/>
  <c r="BD170"/>
  <c r="BG169"/>
  <c r="BF169"/>
  <c r="BE169"/>
  <c r="BD169"/>
  <c r="AI169"/>
  <c r="AI172" s="1"/>
  <c r="AH169"/>
  <c r="BH169" s="1"/>
  <c r="BI168"/>
  <c r="BG168"/>
  <c r="BF168"/>
  <c r="BE168"/>
  <c r="BD168"/>
  <c r="AH168"/>
  <c r="AK168" s="1"/>
  <c r="BI167"/>
  <c r="BH167"/>
  <c r="BG167"/>
  <c r="BF167"/>
  <c r="BE167"/>
  <c r="BD167"/>
  <c r="BA166"/>
  <c r="AZ166"/>
  <c r="AY166"/>
  <c r="AX166"/>
  <c r="AW166"/>
  <c r="AV166"/>
  <c r="AQ166"/>
  <c r="AP166"/>
  <c r="AN166"/>
  <c r="AM166"/>
  <c r="AL166"/>
  <c r="AG166"/>
  <c r="AE166"/>
  <c r="AD166"/>
  <c r="Y166"/>
  <c r="X166"/>
  <c r="W166"/>
  <c r="V166"/>
  <c r="S166"/>
  <c r="R166"/>
  <c r="Q166"/>
  <c r="P166"/>
  <c r="O166"/>
  <c r="N166"/>
  <c r="I166"/>
  <c r="G166"/>
  <c r="F166"/>
  <c r="BG165"/>
  <c r="BF165"/>
  <c r="BE165"/>
  <c r="BD165"/>
  <c r="AA165"/>
  <c r="Z165"/>
  <c r="BI164"/>
  <c r="BH164"/>
  <c r="BG164"/>
  <c r="BE164"/>
  <c r="BD164"/>
  <c r="AF164"/>
  <c r="AK164" s="1"/>
  <c r="BG163"/>
  <c r="BF163"/>
  <c r="BE163"/>
  <c r="BD163"/>
  <c r="AS163"/>
  <c r="BI163" s="1"/>
  <c r="AR163"/>
  <c r="BH163" s="1"/>
  <c r="BG162"/>
  <c r="BF162"/>
  <c r="BE162"/>
  <c r="BD162"/>
  <c r="AI162"/>
  <c r="BI162" s="1"/>
  <c r="AH162"/>
  <c r="BH162" s="1"/>
  <c r="BI161"/>
  <c r="BH161"/>
  <c r="BG161"/>
  <c r="BF161"/>
  <c r="BE161"/>
  <c r="BD161"/>
  <c r="BK161" s="1"/>
  <c r="BG160"/>
  <c r="BF160"/>
  <c r="BE160"/>
  <c r="BD160"/>
  <c r="AA160"/>
  <c r="BI160" s="1"/>
  <c r="Z160"/>
  <c r="AC160" s="1"/>
  <c r="BG159"/>
  <c r="BF159"/>
  <c r="BE159"/>
  <c r="BD159"/>
  <c r="AI159"/>
  <c r="AH159"/>
  <c r="BH159" s="1"/>
  <c r="BG158"/>
  <c r="BE158"/>
  <c r="BD158"/>
  <c r="K158"/>
  <c r="BI158" s="1"/>
  <c r="J158"/>
  <c r="H158"/>
  <c r="H166" s="1"/>
  <c r="BA157"/>
  <c r="AZ157"/>
  <c r="AY157"/>
  <c r="AX157"/>
  <c r="AW157"/>
  <c r="AV157"/>
  <c r="AS157"/>
  <c r="AR157"/>
  <c r="AQ157"/>
  <c r="AN157"/>
  <c r="AM157"/>
  <c r="AL157"/>
  <c r="AI157"/>
  <c r="AH157"/>
  <c r="AG157"/>
  <c r="AF157"/>
  <c r="AE157"/>
  <c r="AD157"/>
  <c r="AA157"/>
  <c r="Z157"/>
  <c r="Y157"/>
  <c r="X157"/>
  <c r="W157"/>
  <c r="V157"/>
  <c r="Q157"/>
  <c r="P157"/>
  <c r="O157"/>
  <c r="N157"/>
  <c r="I157"/>
  <c r="G157"/>
  <c r="F157"/>
  <c r="BG156"/>
  <c r="BF156"/>
  <c r="BE156"/>
  <c r="BD156"/>
  <c r="K156"/>
  <c r="BI156" s="1"/>
  <c r="J156"/>
  <c r="J157" s="1"/>
  <c r="BI155"/>
  <c r="BH155"/>
  <c r="BG155"/>
  <c r="BF155"/>
  <c r="BE155"/>
  <c r="BD155"/>
  <c r="BI154"/>
  <c r="BH154"/>
  <c r="BG154"/>
  <c r="BF154"/>
  <c r="BE154"/>
  <c r="BD154"/>
  <c r="BG153"/>
  <c r="BF153"/>
  <c r="BE153"/>
  <c r="BD153"/>
  <c r="S153"/>
  <c r="S157" s="1"/>
  <c r="R153"/>
  <c r="R157" s="1"/>
  <c r="BI152"/>
  <c r="BH152"/>
  <c r="BG152"/>
  <c r="BE152"/>
  <c r="BD152"/>
  <c r="BC157"/>
  <c r="H152"/>
  <c r="M152" s="1"/>
  <c r="BA151"/>
  <c r="AZ151"/>
  <c r="AY151"/>
  <c r="AX151"/>
  <c r="AW151"/>
  <c r="AV151"/>
  <c r="AS151"/>
  <c r="AR151"/>
  <c r="AQ151"/>
  <c r="AN151"/>
  <c r="AM151"/>
  <c r="AL151"/>
  <c r="AI151"/>
  <c r="AH151"/>
  <c r="AG151"/>
  <c r="AF151"/>
  <c r="AE151"/>
  <c r="AD151"/>
  <c r="AC151"/>
  <c r="AA151"/>
  <c r="Z151"/>
  <c r="Y151"/>
  <c r="X151"/>
  <c r="W151"/>
  <c r="V151"/>
  <c r="R151"/>
  <c r="Q151"/>
  <c r="P151"/>
  <c r="O151"/>
  <c r="N151"/>
  <c r="K151"/>
  <c r="J151"/>
  <c r="I151"/>
  <c r="H151"/>
  <c r="G151"/>
  <c r="F151"/>
  <c r="BH150"/>
  <c r="BH151" s="1"/>
  <c r="BG150"/>
  <c r="BG151" s="1"/>
  <c r="BF150"/>
  <c r="BF151" s="1"/>
  <c r="BE150"/>
  <c r="BE151" s="1"/>
  <c r="BD150"/>
  <c r="BD151" s="1"/>
  <c r="AP151"/>
  <c r="S150"/>
  <c r="U150" s="1"/>
  <c r="BA149"/>
  <c r="AZ149"/>
  <c r="AY149"/>
  <c r="AX149"/>
  <c r="AW149"/>
  <c r="AV149"/>
  <c r="AS149"/>
  <c r="AR149"/>
  <c r="AQ149"/>
  <c r="AG149"/>
  <c r="AF149"/>
  <c r="AE149"/>
  <c r="AD149"/>
  <c r="AA149"/>
  <c r="Z149"/>
  <c r="Y149"/>
  <c r="X149"/>
  <c r="W149"/>
  <c r="V149"/>
  <c r="S149"/>
  <c r="R149"/>
  <c r="Q149"/>
  <c r="P149"/>
  <c r="O149"/>
  <c r="N149"/>
  <c r="K149"/>
  <c r="J149"/>
  <c r="H149"/>
  <c r="G149"/>
  <c r="F149"/>
  <c r="BF148"/>
  <c r="BE148"/>
  <c r="BD148"/>
  <c r="AN148"/>
  <c r="AM148"/>
  <c r="AM149" s="1"/>
  <c r="AL148"/>
  <c r="AP148" s="1"/>
  <c r="I148"/>
  <c r="M148" s="1"/>
  <c r="BG147"/>
  <c r="BF147"/>
  <c r="BF149" s="1"/>
  <c r="BE147"/>
  <c r="BE149" s="1"/>
  <c r="BD147"/>
  <c r="BD149" s="1"/>
  <c r="BC149"/>
  <c r="AI147"/>
  <c r="AI149" s="1"/>
  <c r="AH147"/>
  <c r="AH149" s="1"/>
  <c r="BA146"/>
  <c r="AZ146"/>
  <c r="AY146"/>
  <c r="AX146"/>
  <c r="AV146"/>
  <c r="AQ146"/>
  <c r="AL146"/>
  <c r="AG146"/>
  <c r="AG228" s="1"/>
  <c r="AF146"/>
  <c r="AE146"/>
  <c r="AD146"/>
  <c r="Y146"/>
  <c r="X146"/>
  <c r="W146"/>
  <c r="V146"/>
  <c r="P146"/>
  <c r="O146"/>
  <c r="N146"/>
  <c r="K146"/>
  <c r="J146"/>
  <c r="G146"/>
  <c r="F146"/>
  <c r="BI145"/>
  <c r="BH145"/>
  <c r="BE145"/>
  <c r="BD145"/>
  <c r="Q145"/>
  <c r="Q146" s="1"/>
  <c r="H145"/>
  <c r="M145" s="1"/>
  <c r="BI144"/>
  <c r="BH144"/>
  <c r="BG144"/>
  <c r="BF144"/>
  <c r="BE144"/>
  <c r="BD144"/>
  <c r="BG143"/>
  <c r="BF143"/>
  <c r="BE143"/>
  <c r="BD143"/>
  <c r="S143"/>
  <c r="S146" s="1"/>
  <c r="R143"/>
  <c r="R146" s="1"/>
  <c r="BG142"/>
  <c r="BF142"/>
  <c r="BE142"/>
  <c r="BD142"/>
  <c r="AA142"/>
  <c r="Z142"/>
  <c r="Z146" s="1"/>
  <c r="BI141"/>
  <c r="BH141"/>
  <c r="BG141"/>
  <c r="BE141"/>
  <c r="BD141"/>
  <c r="H141"/>
  <c r="M141" s="1"/>
  <c r="BE140"/>
  <c r="BD140"/>
  <c r="AN140"/>
  <c r="AN146" s="1"/>
  <c r="AM140"/>
  <c r="AP140" s="1"/>
  <c r="I140"/>
  <c r="BG140" s="1"/>
  <c r="H140"/>
  <c r="BF140" s="1"/>
  <c r="BI139"/>
  <c r="BH139"/>
  <c r="BG139"/>
  <c r="BF139"/>
  <c r="BE139"/>
  <c r="BD139"/>
  <c r="BI137"/>
  <c r="BG137"/>
  <c r="BF137"/>
  <c r="BE137"/>
  <c r="BD137"/>
  <c r="AR137"/>
  <c r="AU137" s="1"/>
  <c r="BI136"/>
  <c r="BH136"/>
  <c r="BG136"/>
  <c r="BF136"/>
  <c r="BE136"/>
  <c r="BD136"/>
  <c r="BI135"/>
  <c r="BH135"/>
  <c r="BG135"/>
  <c r="BE135"/>
  <c r="BD135"/>
  <c r="H135"/>
  <c r="M135" s="1"/>
  <c r="BI134"/>
  <c r="BH134"/>
  <c r="BG134"/>
  <c r="BF134"/>
  <c r="BE134"/>
  <c r="BD134"/>
  <c r="BI133"/>
  <c r="BH133"/>
  <c r="BG133"/>
  <c r="BF133"/>
  <c r="BE133"/>
  <c r="BD133"/>
  <c r="BG132"/>
  <c r="BF132"/>
  <c r="BE132"/>
  <c r="BD132"/>
  <c r="AI132"/>
  <c r="AI146" s="1"/>
  <c r="AH132"/>
  <c r="BH132" s="1"/>
  <c r="BG131"/>
  <c r="BF131"/>
  <c r="BE131"/>
  <c r="BD131"/>
  <c r="AS131"/>
  <c r="AS146" s="1"/>
  <c r="AR131"/>
  <c r="AR146" s="1"/>
  <c r="BI130"/>
  <c r="BH130"/>
  <c r="BG130"/>
  <c r="BF130"/>
  <c r="BD130"/>
  <c r="AW130"/>
  <c r="BC130" s="1"/>
  <c r="BA129"/>
  <c r="AZ129"/>
  <c r="AY129"/>
  <c r="AX129"/>
  <c r="AW129"/>
  <c r="AV129"/>
  <c r="AS129"/>
  <c r="AR129"/>
  <c r="AQ129"/>
  <c r="AN129"/>
  <c r="AM129"/>
  <c r="AL129"/>
  <c r="AI129"/>
  <c r="AH129"/>
  <c r="AG129"/>
  <c r="AF129"/>
  <c r="AE129"/>
  <c r="AD129"/>
  <c r="AA129"/>
  <c r="Z129"/>
  <c r="Y129"/>
  <c r="X129"/>
  <c r="W129"/>
  <c r="V129"/>
  <c r="S129"/>
  <c r="R129"/>
  <c r="Q129"/>
  <c r="P129"/>
  <c r="O129"/>
  <c r="N129"/>
  <c r="K129"/>
  <c r="J129"/>
  <c r="H129"/>
  <c r="G129"/>
  <c r="F129"/>
  <c r="BI128"/>
  <c r="BI129" s="1"/>
  <c r="BH128"/>
  <c r="BH129" s="1"/>
  <c r="BF128"/>
  <c r="BF129" s="1"/>
  <c r="BE128"/>
  <c r="BE129" s="1"/>
  <c r="BD128"/>
  <c r="BD129" s="1"/>
  <c r="I128"/>
  <c r="I129" s="1"/>
  <c r="BC127"/>
  <c r="BA127"/>
  <c r="AZ127"/>
  <c r="AY127"/>
  <c r="AX127"/>
  <c r="AW127"/>
  <c r="AV127"/>
  <c r="AS127"/>
  <c r="AR127"/>
  <c r="AQ127"/>
  <c r="AN127"/>
  <c r="AM127"/>
  <c r="AL127"/>
  <c r="AI127"/>
  <c r="AH127"/>
  <c r="AG127"/>
  <c r="AF127"/>
  <c r="AE127"/>
  <c r="AD127"/>
  <c r="AA127"/>
  <c r="Z127"/>
  <c r="Y127"/>
  <c r="X127"/>
  <c r="W127"/>
  <c r="V127"/>
  <c r="S127"/>
  <c r="R127"/>
  <c r="Q127"/>
  <c r="P127"/>
  <c r="O127"/>
  <c r="N127"/>
  <c r="I127"/>
  <c r="H127"/>
  <c r="G127"/>
  <c r="F127"/>
  <c r="BG126"/>
  <c r="BG127" s="1"/>
  <c r="BF126"/>
  <c r="BF127" s="1"/>
  <c r="BE126"/>
  <c r="BE127" s="1"/>
  <c r="BD126"/>
  <c r="AP127"/>
  <c r="AK127"/>
  <c r="AC127"/>
  <c r="K126"/>
  <c r="K127" s="1"/>
  <c r="J126"/>
  <c r="J127" s="1"/>
  <c r="BA125"/>
  <c r="AZ125"/>
  <c r="AY125"/>
  <c r="AX125"/>
  <c r="AW125"/>
  <c r="AV125"/>
  <c r="AS125"/>
  <c r="AR125"/>
  <c r="AQ125"/>
  <c r="AN125"/>
  <c r="AM125"/>
  <c r="AL125"/>
  <c r="AI125"/>
  <c r="AH125"/>
  <c r="AG125"/>
  <c r="AF125"/>
  <c r="AE125"/>
  <c r="AD125"/>
  <c r="AA125"/>
  <c r="Z125"/>
  <c r="Y125"/>
  <c r="X125"/>
  <c r="W125"/>
  <c r="V125"/>
  <c r="S125"/>
  <c r="R125"/>
  <c r="Q125"/>
  <c r="P125"/>
  <c r="O125"/>
  <c r="N125"/>
  <c r="J125"/>
  <c r="I125"/>
  <c r="G125"/>
  <c r="F125"/>
  <c r="BI124"/>
  <c r="BH124"/>
  <c r="BG124"/>
  <c r="BF124"/>
  <c r="BE124"/>
  <c r="BD124"/>
  <c r="BH123"/>
  <c r="BG123"/>
  <c r="BE123"/>
  <c r="BD123"/>
  <c r="K123"/>
  <c r="K125" s="1"/>
  <c r="H123"/>
  <c r="BF123" s="1"/>
  <c r="BI122"/>
  <c r="BH122"/>
  <c r="BG122"/>
  <c r="BF122"/>
  <c r="BE122"/>
  <c r="BE125" s="1"/>
  <c r="BD122"/>
  <c r="AC125"/>
  <c r="BA121"/>
  <c r="AZ121"/>
  <c r="AY121"/>
  <c r="AX121"/>
  <c r="AW121"/>
  <c r="AV121"/>
  <c r="AS121"/>
  <c r="AR121"/>
  <c r="AQ121"/>
  <c r="AN121"/>
  <c r="AM121"/>
  <c r="AL121"/>
  <c r="AI121"/>
  <c r="AG121"/>
  <c r="AE121"/>
  <c r="AD121"/>
  <c r="AA121"/>
  <c r="Z121"/>
  <c r="Y121"/>
  <c r="X121"/>
  <c r="W121"/>
  <c r="V121"/>
  <c r="S121"/>
  <c r="Q121"/>
  <c r="P121"/>
  <c r="O121"/>
  <c r="N121"/>
  <c r="K121"/>
  <c r="J121"/>
  <c r="I121"/>
  <c r="H121"/>
  <c r="G121"/>
  <c r="F121"/>
  <c r="BI120"/>
  <c r="BH120"/>
  <c r="BG120"/>
  <c r="BF120"/>
  <c r="BE120"/>
  <c r="BD120"/>
  <c r="BI119"/>
  <c r="BG119"/>
  <c r="BE119"/>
  <c r="BD119"/>
  <c r="AH119"/>
  <c r="AF119"/>
  <c r="BF119" s="1"/>
  <c r="BI118"/>
  <c r="BG118"/>
  <c r="BF118"/>
  <c r="BE118"/>
  <c r="BD118"/>
  <c r="AC121"/>
  <c r="R118"/>
  <c r="U118" s="1"/>
  <c r="BI117"/>
  <c r="BH117"/>
  <c r="BG117"/>
  <c r="BF117"/>
  <c r="BE117"/>
  <c r="BD117"/>
  <c r="BA116"/>
  <c r="AZ116"/>
  <c r="AY116"/>
  <c r="AV116"/>
  <c r="AQ116"/>
  <c r="AL116"/>
  <c r="AG116"/>
  <c r="AE116"/>
  <c r="AD116"/>
  <c r="Y116"/>
  <c r="X116"/>
  <c r="W116"/>
  <c r="V116"/>
  <c r="Q116"/>
  <c r="P116"/>
  <c r="O116"/>
  <c r="N116"/>
  <c r="G116"/>
  <c r="F116"/>
  <c r="BI115"/>
  <c r="BH115"/>
  <c r="BG115"/>
  <c r="BF115"/>
  <c r="BK115" s="1"/>
  <c r="BE115"/>
  <c r="BD115"/>
  <c r="BF114"/>
  <c r="BE114"/>
  <c r="BD114"/>
  <c r="AN114"/>
  <c r="AM114"/>
  <c r="AP114" s="1"/>
  <c r="I114"/>
  <c r="M114" s="1"/>
  <c r="BF113"/>
  <c r="BE113"/>
  <c r="BD113"/>
  <c r="AN113"/>
  <c r="BI113" s="1"/>
  <c r="AM113"/>
  <c r="BH113" s="1"/>
  <c r="I113"/>
  <c r="M113" s="1"/>
  <c r="BI112"/>
  <c r="BI116" s="1"/>
  <c r="BH112"/>
  <c r="BG112"/>
  <c r="BF112"/>
  <c r="BE112"/>
  <c r="BD112"/>
  <c r="BI111"/>
  <c r="BH111"/>
  <c r="BG111"/>
  <c r="BF111"/>
  <c r="BE111"/>
  <c r="BD111"/>
  <c r="BG110"/>
  <c r="BF110"/>
  <c r="BE110"/>
  <c r="BD110"/>
  <c r="K110"/>
  <c r="BI110" s="1"/>
  <c r="J110"/>
  <c r="BH110" s="1"/>
  <c r="H110"/>
  <c r="BG109"/>
  <c r="BF109"/>
  <c r="BE109"/>
  <c r="BD109"/>
  <c r="AA109"/>
  <c r="AA116" s="1"/>
  <c r="Z109"/>
  <c r="AC109" s="1"/>
  <c r="BG108"/>
  <c r="BE108"/>
  <c r="BD108"/>
  <c r="AI108"/>
  <c r="BI108" s="1"/>
  <c r="AH108"/>
  <c r="BH108" s="1"/>
  <c r="H108"/>
  <c r="BF108" s="1"/>
  <c r="BI107"/>
  <c r="BH107"/>
  <c r="BG107"/>
  <c r="BF107"/>
  <c r="BE107"/>
  <c r="BD107"/>
  <c r="BE106"/>
  <c r="BD106"/>
  <c r="AN106"/>
  <c r="BI106" s="1"/>
  <c r="AM106"/>
  <c r="AP106" s="1"/>
  <c r="I106"/>
  <c r="H106"/>
  <c r="M106" s="1"/>
  <c r="BG105"/>
  <c r="BF105"/>
  <c r="BE105"/>
  <c r="BD105"/>
  <c r="S105"/>
  <c r="BI105" s="1"/>
  <c r="R105"/>
  <c r="BH105" s="1"/>
  <c r="BI104"/>
  <c r="BG104"/>
  <c r="BF104"/>
  <c r="BE104"/>
  <c r="BD104"/>
  <c r="AH104"/>
  <c r="AK104" s="1"/>
  <c r="BE103"/>
  <c r="BD103"/>
  <c r="AS103"/>
  <c r="BI103" s="1"/>
  <c r="AR103"/>
  <c r="AU103" s="1"/>
  <c r="I103"/>
  <c r="BG103" s="1"/>
  <c r="H103"/>
  <c r="BF103" s="1"/>
  <c r="BE102"/>
  <c r="BD102"/>
  <c r="AX102"/>
  <c r="AX116" s="1"/>
  <c r="AN102"/>
  <c r="BI102" s="1"/>
  <c r="AM102"/>
  <c r="BH102" s="1"/>
  <c r="I102"/>
  <c r="BG102" s="1"/>
  <c r="H102"/>
  <c r="BF102" s="1"/>
  <c r="BI101"/>
  <c r="BH101"/>
  <c r="BG101"/>
  <c r="BF101"/>
  <c r="BE101"/>
  <c r="BD101"/>
  <c r="BG100"/>
  <c r="BE100"/>
  <c r="BD100"/>
  <c r="AN100"/>
  <c r="BI100" s="1"/>
  <c r="AM100"/>
  <c r="AP100" s="1"/>
  <c r="H100"/>
  <c r="M100" s="1"/>
  <c r="BE99"/>
  <c r="BD99"/>
  <c r="AN99"/>
  <c r="BI99" s="1"/>
  <c r="AM99"/>
  <c r="BH99" s="1"/>
  <c r="I99"/>
  <c r="BG99" s="1"/>
  <c r="H99"/>
  <c r="BF99" s="1"/>
  <c r="BI98"/>
  <c r="BH98"/>
  <c r="BG98"/>
  <c r="BF98"/>
  <c r="BE98"/>
  <c r="BD98"/>
  <c r="BG97"/>
  <c r="BF97"/>
  <c r="BE97"/>
  <c r="BD97"/>
  <c r="S97"/>
  <c r="BI97" s="1"/>
  <c r="R97"/>
  <c r="U97" s="1"/>
  <c r="BG96"/>
  <c r="BE96"/>
  <c r="BD96"/>
  <c r="AS96"/>
  <c r="BI96" s="1"/>
  <c r="AR96"/>
  <c r="AU96" s="1"/>
  <c r="H96"/>
  <c r="BF96" s="1"/>
  <c r="BI95"/>
  <c r="BG95"/>
  <c r="BF95"/>
  <c r="BE95"/>
  <c r="BD95"/>
  <c r="R95"/>
  <c r="U95" s="1"/>
  <c r="BI94"/>
  <c r="BH94"/>
  <c r="BG94"/>
  <c r="BF94"/>
  <c r="BE94"/>
  <c r="BD94"/>
  <c r="BE93"/>
  <c r="BD93"/>
  <c r="S93"/>
  <c r="R93"/>
  <c r="BH93" s="1"/>
  <c r="I93"/>
  <c r="BG93" s="1"/>
  <c r="H93"/>
  <c r="BF93" s="1"/>
  <c r="BE92"/>
  <c r="BD92"/>
  <c r="AN92"/>
  <c r="BI92" s="1"/>
  <c r="AM92"/>
  <c r="BH92" s="1"/>
  <c r="I92"/>
  <c r="BG92" s="1"/>
  <c r="H92"/>
  <c r="BF92" s="1"/>
  <c r="BG91"/>
  <c r="BE91"/>
  <c r="BD91"/>
  <c r="AI91"/>
  <c r="BI91" s="1"/>
  <c r="AH91"/>
  <c r="BH91" s="1"/>
  <c r="H91"/>
  <c r="BF91" s="1"/>
  <c r="BG90"/>
  <c r="BF90"/>
  <c r="BE90"/>
  <c r="BD90"/>
  <c r="AI90"/>
  <c r="BI90" s="1"/>
  <c r="AH90"/>
  <c r="AK90" s="1"/>
  <c r="BI89"/>
  <c r="BH89"/>
  <c r="BG89"/>
  <c r="BF89"/>
  <c r="BE89"/>
  <c r="BD89"/>
  <c r="BG88"/>
  <c r="BE88"/>
  <c r="BD88"/>
  <c r="K88"/>
  <c r="J88"/>
  <c r="J116" s="1"/>
  <c r="H88"/>
  <c r="M88" s="1"/>
  <c r="BG87"/>
  <c r="BF87"/>
  <c r="BE87"/>
  <c r="BD87"/>
  <c r="AI87"/>
  <c r="AH87"/>
  <c r="BH87" s="1"/>
  <c r="BI86"/>
  <c r="BE86"/>
  <c r="BD86"/>
  <c r="AM86"/>
  <c r="BH86" s="1"/>
  <c r="AF86"/>
  <c r="BF86" s="1"/>
  <c r="I86"/>
  <c r="M86" s="1"/>
  <c r="BD85"/>
  <c r="AW85"/>
  <c r="BC85" s="1"/>
  <c r="AS85"/>
  <c r="AR85"/>
  <c r="AF85"/>
  <c r="AK85" s="1"/>
  <c r="I85"/>
  <c r="BG85" s="1"/>
  <c r="H85"/>
  <c r="BF85" s="1"/>
  <c r="BA84"/>
  <c r="AZ84"/>
  <c r="AY84"/>
  <c r="AX84"/>
  <c r="AW84"/>
  <c r="AV84"/>
  <c r="AS84"/>
  <c r="AR84"/>
  <c r="AQ84"/>
  <c r="AN84"/>
  <c r="AM84"/>
  <c r="AL84"/>
  <c r="AI84"/>
  <c r="AH84"/>
  <c r="AG84"/>
  <c r="AF84"/>
  <c r="AE84"/>
  <c r="AD84"/>
  <c r="AA84"/>
  <c r="Z84"/>
  <c r="Y84"/>
  <c r="X84"/>
  <c r="W84"/>
  <c r="V84"/>
  <c r="S84"/>
  <c r="R84"/>
  <c r="Q84"/>
  <c r="P84"/>
  <c r="O84"/>
  <c r="N84"/>
  <c r="I84"/>
  <c r="G84"/>
  <c r="F84"/>
  <c r="BH83"/>
  <c r="BH84" s="1"/>
  <c r="BG83"/>
  <c r="BG84" s="1"/>
  <c r="BF83"/>
  <c r="BF84" s="1"/>
  <c r="BE83"/>
  <c r="BE84" s="1"/>
  <c r="BD83"/>
  <c r="AK84"/>
  <c r="K83"/>
  <c r="BI83" s="1"/>
  <c r="J83"/>
  <c r="J84" s="1"/>
  <c r="H83"/>
  <c r="BA82"/>
  <c r="AZ82"/>
  <c r="AY82"/>
  <c r="AX82"/>
  <c r="AW82"/>
  <c r="AV82"/>
  <c r="AS82"/>
  <c r="AR82"/>
  <c r="AQ82"/>
  <c r="AN82"/>
  <c r="AM82"/>
  <c r="AL82"/>
  <c r="AI82"/>
  <c r="AG82"/>
  <c r="AF82"/>
  <c r="AE82"/>
  <c r="AD82"/>
  <c r="AA82"/>
  <c r="Z82"/>
  <c r="Y82"/>
  <c r="X82"/>
  <c r="W82"/>
  <c r="V82"/>
  <c r="S82"/>
  <c r="R82"/>
  <c r="Q82"/>
  <c r="P82"/>
  <c r="O82"/>
  <c r="N82"/>
  <c r="I82"/>
  <c r="G82"/>
  <c r="F82"/>
  <c r="BI81"/>
  <c r="BG81"/>
  <c r="BF81"/>
  <c r="BE81"/>
  <c r="BD81"/>
  <c r="J81"/>
  <c r="BH81" s="1"/>
  <c r="BI80"/>
  <c r="BH80"/>
  <c r="BG80"/>
  <c r="BF80"/>
  <c r="BE80"/>
  <c r="BD80"/>
  <c r="BI79"/>
  <c r="BH79"/>
  <c r="BG79"/>
  <c r="BF79"/>
  <c r="BE79"/>
  <c r="BD79"/>
  <c r="BK79" s="1"/>
  <c r="BG78"/>
  <c r="BF78"/>
  <c r="BE78"/>
  <c r="BD78"/>
  <c r="AI78"/>
  <c r="BI78" s="1"/>
  <c r="AH78"/>
  <c r="AH82" s="1"/>
  <c r="BI77"/>
  <c r="BG77"/>
  <c r="BF77"/>
  <c r="BE77"/>
  <c r="BD77"/>
  <c r="J77"/>
  <c r="M77" s="1"/>
  <c r="BG76"/>
  <c r="BE76"/>
  <c r="BD76"/>
  <c r="K76"/>
  <c r="K82" s="1"/>
  <c r="J76"/>
  <c r="H76"/>
  <c r="BF76" s="1"/>
  <c r="BI75"/>
  <c r="BH75"/>
  <c r="BG75"/>
  <c r="BF75"/>
  <c r="BE75"/>
  <c r="BD75"/>
  <c r="BI74"/>
  <c r="BH74"/>
  <c r="BG74"/>
  <c r="BF74"/>
  <c r="BE74"/>
  <c r="BD74"/>
  <c r="H74"/>
  <c r="M74" s="1"/>
  <c r="BI73"/>
  <c r="BH73"/>
  <c r="BG73"/>
  <c r="BF73"/>
  <c r="BE73"/>
  <c r="BD73"/>
  <c r="BC82"/>
  <c r="BC72"/>
  <c r="BA72"/>
  <c r="AZ72"/>
  <c r="AY72"/>
  <c r="AX72"/>
  <c r="AW72"/>
  <c r="AV72"/>
  <c r="AS72"/>
  <c r="AR72"/>
  <c r="AQ72"/>
  <c r="AN72"/>
  <c r="AM72"/>
  <c r="AL72"/>
  <c r="AI72"/>
  <c r="AH72"/>
  <c r="AG72"/>
  <c r="AF72"/>
  <c r="AE72"/>
  <c r="AD72"/>
  <c r="AA72"/>
  <c r="Z72"/>
  <c r="Y72"/>
  <c r="X72"/>
  <c r="W72"/>
  <c r="V72"/>
  <c r="S72"/>
  <c r="R72"/>
  <c r="Q72"/>
  <c r="P72"/>
  <c r="O72"/>
  <c r="N72"/>
  <c r="M72"/>
  <c r="K72"/>
  <c r="J72"/>
  <c r="I72"/>
  <c r="H72"/>
  <c r="G72"/>
  <c r="F72"/>
  <c r="BI71"/>
  <c r="BI72" s="1"/>
  <c r="BH71"/>
  <c r="BH72" s="1"/>
  <c r="BG71"/>
  <c r="BF71"/>
  <c r="BF72" s="1"/>
  <c r="BE71"/>
  <c r="BE72" s="1"/>
  <c r="BD71"/>
  <c r="BD72" s="1"/>
  <c r="AP72"/>
  <c r="AK72"/>
  <c r="BA68"/>
  <c r="AZ68"/>
  <c r="AY68"/>
  <c r="AX68"/>
  <c r="AW68"/>
  <c r="AV68"/>
  <c r="AS68"/>
  <c r="AR68"/>
  <c r="AQ68"/>
  <c r="AL68"/>
  <c r="AI68"/>
  <c r="AH68"/>
  <c r="AG68"/>
  <c r="AF68"/>
  <c r="AE68"/>
  <c r="AD68"/>
  <c r="AA68"/>
  <c r="Z68"/>
  <c r="Y68"/>
  <c r="X68"/>
  <c r="W68"/>
  <c r="V68"/>
  <c r="S68"/>
  <c r="R68"/>
  <c r="Q68"/>
  <c r="P68"/>
  <c r="O68"/>
  <c r="N68"/>
  <c r="K68"/>
  <c r="J68"/>
  <c r="H68"/>
  <c r="G68"/>
  <c r="F68"/>
  <c r="BI67"/>
  <c r="BH67"/>
  <c r="BG67"/>
  <c r="BF67"/>
  <c r="BE67"/>
  <c r="BD67"/>
  <c r="BF66"/>
  <c r="BE66"/>
  <c r="BD66"/>
  <c r="AN66"/>
  <c r="BI66" s="1"/>
  <c r="AM66"/>
  <c r="BH66" s="1"/>
  <c r="AC68"/>
  <c r="I66"/>
  <c r="I68" s="1"/>
  <c r="BG65"/>
  <c r="BF65"/>
  <c r="BE65"/>
  <c r="BD65"/>
  <c r="AN65"/>
  <c r="AM65"/>
  <c r="AP65" s="1"/>
  <c r="BI64"/>
  <c r="BH64"/>
  <c r="BG64"/>
  <c r="BF64"/>
  <c r="BF68" s="1"/>
  <c r="BE64"/>
  <c r="BD64"/>
  <c r="BA63"/>
  <c r="AZ63"/>
  <c r="AY63"/>
  <c r="AX63"/>
  <c r="AW63"/>
  <c r="AV63"/>
  <c r="AS63"/>
  <c r="AR63"/>
  <c r="AQ63"/>
  <c r="AN63"/>
  <c r="AM63"/>
  <c r="AL63"/>
  <c r="AI63"/>
  <c r="AG63"/>
  <c r="AE63"/>
  <c r="AD63"/>
  <c r="AA63"/>
  <c r="Z63"/>
  <c r="Y63"/>
  <c r="X63"/>
  <c r="W63"/>
  <c r="V63"/>
  <c r="S63"/>
  <c r="R63"/>
  <c r="Q63"/>
  <c r="P63"/>
  <c r="O63"/>
  <c r="N63"/>
  <c r="I63"/>
  <c r="G63"/>
  <c r="F63"/>
  <c r="BI62"/>
  <c r="BH62"/>
  <c r="BG62"/>
  <c r="BF62"/>
  <c r="BE62"/>
  <c r="BD62"/>
  <c r="BG61"/>
  <c r="BF61"/>
  <c r="BE61"/>
  <c r="BD61"/>
  <c r="K61"/>
  <c r="BI61" s="1"/>
  <c r="J61"/>
  <c r="J63" s="1"/>
  <c r="BI60"/>
  <c r="BG60"/>
  <c r="BF60"/>
  <c r="BE60"/>
  <c r="BD60"/>
  <c r="AH60"/>
  <c r="AK60" s="1"/>
  <c r="BI59"/>
  <c r="BH59"/>
  <c r="BG59"/>
  <c r="BE59"/>
  <c r="BD59"/>
  <c r="H59"/>
  <c r="BF59" s="1"/>
  <c r="BI58"/>
  <c r="BH58"/>
  <c r="BG58"/>
  <c r="BE58"/>
  <c r="BD58"/>
  <c r="H58"/>
  <c r="M58" s="1"/>
  <c r="BI57"/>
  <c r="BH57"/>
  <c r="BG57"/>
  <c r="BF57"/>
  <c r="BE57"/>
  <c r="BD57"/>
  <c r="BI56"/>
  <c r="BH56"/>
  <c r="BG56"/>
  <c r="BF56"/>
  <c r="BE56"/>
  <c r="BD56"/>
  <c r="BI55"/>
  <c r="BG55"/>
  <c r="BE55"/>
  <c r="BD55"/>
  <c r="AH55"/>
  <c r="AF55"/>
  <c r="BF55" s="1"/>
  <c r="BA54"/>
  <c r="AZ54"/>
  <c r="AY54"/>
  <c r="AX54"/>
  <c r="AW54"/>
  <c r="AV54"/>
  <c r="AS54"/>
  <c r="AR54"/>
  <c r="AQ54"/>
  <c r="AL54"/>
  <c r="AG54"/>
  <c r="AE54"/>
  <c r="AD54"/>
  <c r="Z54"/>
  <c r="Y54"/>
  <c r="X54"/>
  <c r="W54"/>
  <c r="V54"/>
  <c r="S54"/>
  <c r="R54"/>
  <c r="Q54"/>
  <c r="P54"/>
  <c r="O54"/>
  <c r="N54"/>
  <c r="K54"/>
  <c r="G54"/>
  <c r="F54"/>
  <c r="BE53"/>
  <c r="BD53"/>
  <c r="AN53"/>
  <c r="BI53" s="1"/>
  <c r="AM53"/>
  <c r="BH53" s="1"/>
  <c r="I53"/>
  <c r="BG53" s="1"/>
  <c r="H53"/>
  <c r="BF53" s="1"/>
  <c r="BH52"/>
  <c r="BG52"/>
  <c r="BE52"/>
  <c r="BD52"/>
  <c r="AA52"/>
  <c r="AC52" s="1"/>
  <c r="H52"/>
  <c r="M52" s="1"/>
  <c r="BI51"/>
  <c r="BG51"/>
  <c r="BE51"/>
  <c r="BD51"/>
  <c r="J51"/>
  <c r="BH51" s="1"/>
  <c r="H51"/>
  <c r="BF51" s="1"/>
  <c r="BH50"/>
  <c r="BG50"/>
  <c r="BE50"/>
  <c r="BD50"/>
  <c r="AN50"/>
  <c r="H50"/>
  <c r="M50" s="1"/>
  <c r="BI49"/>
  <c r="BH49"/>
  <c r="BG49"/>
  <c r="BF49"/>
  <c r="BE49"/>
  <c r="BD49"/>
  <c r="BI48"/>
  <c r="BH48"/>
  <c r="BG48"/>
  <c r="BF48"/>
  <c r="BE48"/>
  <c r="BD48"/>
  <c r="BE47"/>
  <c r="BD47"/>
  <c r="AN47"/>
  <c r="BI47" s="1"/>
  <c r="AM47"/>
  <c r="AP47" s="1"/>
  <c r="I47"/>
  <c r="BG47" s="1"/>
  <c r="H47"/>
  <c r="BF47" s="1"/>
  <c r="BG46"/>
  <c r="BE46"/>
  <c r="BD46"/>
  <c r="AI46"/>
  <c r="AI54" s="1"/>
  <c r="AH46"/>
  <c r="AH54" s="1"/>
  <c r="AF46"/>
  <c r="AK46" s="1"/>
  <c r="BA45"/>
  <c r="AZ45"/>
  <c r="AY45"/>
  <c r="AX45"/>
  <c r="AW45"/>
  <c r="AV45"/>
  <c r="AS45"/>
  <c r="AR45"/>
  <c r="AQ45"/>
  <c r="AL45"/>
  <c r="AI45"/>
  <c r="AH45"/>
  <c r="AG45"/>
  <c r="AE45"/>
  <c r="AD45"/>
  <c r="AA45"/>
  <c r="Z45"/>
  <c r="Y45"/>
  <c r="X45"/>
  <c r="W45"/>
  <c r="V45"/>
  <c r="S45"/>
  <c r="Q45"/>
  <c r="P45"/>
  <c r="O45"/>
  <c r="N45"/>
  <c r="G45"/>
  <c r="F45"/>
  <c r="BI44"/>
  <c r="BH44"/>
  <c r="BG44"/>
  <c r="BF44"/>
  <c r="BE44"/>
  <c r="BD44"/>
  <c r="BG43"/>
  <c r="BE43"/>
  <c r="BD43"/>
  <c r="K43"/>
  <c r="BI43" s="1"/>
  <c r="J43"/>
  <c r="J45" s="1"/>
  <c r="H43"/>
  <c r="M43" s="1"/>
  <c r="BI42"/>
  <c r="BH42"/>
  <c r="BG42"/>
  <c r="BF42"/>
  <c r="BE42"/>
  <c r="BD42"/>
  <c r="BI41"/>
  <c r="BH41"/>
  <c r="BG41"/>
  <c r="BF41"/>
  <c r="BE41"/>
  <c r="BD41"/>
  <c r="BF40"/>
  <c r="BE40"/>
  <c r="BD40"/>
  <c r="AN40"/>
  <c r="AN45" s="1"/>
  <c r="AM40"/>
  <c r="BH40" s="1"/>
  <c r="I40"/>
  <c r="I45" s="1"/>
  <c r="BI39"/>
  <c r="BH39"/>
  <c r="BG39"/>
  <c r="BF39"/>
  <c r="BE39"/>
  <c r="BD39"/>
  <c r="BI38"/>
  <c r="BG38"/>
  <c r="BF38"/>
  <c r="BE38"/>
  <c r="BD38"/>
  <c r="R38"/>
  <c r="U38" s="1"/>
  <c r="BI37"/>
  <c r="BH37"/>
  <c r="BG37"/>
  <c r="BE37"/>
  <c r="BD37"/>
  <c r="BC45"/>
  <c r="AF37"/>
  <c r="AK37" s="1"/>
  <c r="BI36"/>
  <c r="BH36"/>
  <c r="BG36"/>
  <c r="BE36"/>
  <c r="BD36"/>
  <c r="H36"/>
  <c r="BF36" s="1"/>
  <c r="BI33"/>
  <c r="BH33"/>
  <c r="BG33"/>
  <c r="BF33"/>
  <c r="BE33"/>
  <c r="BD33"/>
  <c r="BI32"/>
  <c r="BH32"/>
  <c r="BG32"/>
  <c r="BE32"/>
  <c r="BD32"/>
  <c r="H32"/>
  <c r="BF32" s="1"/>
  <c r="BI31"/>
  <c r="BH31"/>
  <c r="BG31"/>
  <c r="BF31"/>
  <c r="BE31"/>
  <c r="BD31"/>
  <c r="BA30"/>
  <c r="AZ30"/>
  <c r="AY30"/>
  <c r="AX30"/>
  <c r="AW30"/>
  <c r="AV30"/>
  <c r="AS30"/>
  <c r="AR30"/>
  <c r="AQ30"/>
  <c r="AN30"/>
  <c r="AM30"/>
  <c r="AL30"/>
  <c r="AI30"/>
  <c r="AH30"/>
  <c r="AG30"/>
  <c r="AF30"/>
  <c r="AE30"/>
  <c r="AD30"/>
  <c r="AA30"/>
  <c r="Z30"/>
  <c r="Y30"/>
  <c r="X30"/>
  <c r="W30"/>
  <c r="V30"/>
  <c r="S30"/>
  <c r="R30"/>
  <c r="Q30"/>
  <c r="P30"/>
  <c r="O30"/>
  <c r="N30"/>
  <c r="K30"/>
  <c r="J30"/>
  <c r="I30"/>
  <c r="H30"/>
  <c r="G30"/>
  <c r="F30"/>
  <c r="BI29"/>
  <c r="BH29"/>
  <c r="BG29"/>
  <c r="BF29"/>
  <c r="BE29"/>
  <c r="BD29"/>
  <c r="BI28"/>
  <c r="BH28"/>
  <c r="BG28"/>
  <c r="BF28"/>
  <c r="BE28"/>
  <c r="BD28"/>
  <c r="BC30"/>
  <c r="BA27"/>
  <c r="AZ27"/>
  <c r="AY27"/>
  <c r="AX27"/>
  <c r="AW27"/>
  <c r="AV27"/>
  <c r="AS27"/>
  <c r="AR27"/>
  <c r="AQ27"/>
  <c r="AL27"/>
  <c r="AI27"/>
  <c r="AG27"/>
  <c r="AE27"/>
  <c r="AD27"/>
  <c r="AA27"/>
  <c r="Z27"/>
  <c r="Y27"/>
  <c r="X27"/>
  <c r="W27"/>
  <c r="V27"/>
  <c r="S27"/>
  <c r="R27"/>
  <c r="Q27"/>
  <c r="P27"/>
  <c r="O27"/>
  <c r="N27"/>
  <c r="K27"/>
  <c r="G27"/>
  <c r="F27"/>
  <c r="BI26"/>
  <c r="BH26"/>
  <c r="BG26"/>
  <c r="BF26"/>
  <c r="BE26"/>
  <c r="BD26"/>
  <c r="BI25"/>
  <c r="BG25"/>
  <c r="BF25"/>
  <c r="BE25"/>
  <c r="BD25"/>
  <c r="AH25"/>
  <c r="AK25" s="1"/>
  <c r="BI24"/>
  <c r="BG24"/>
  <c r="BE24"/>
  <c r="BD24"/>
  <c r="J24"/>
  <c r="J27" s="1"/>
  <c r="H24"/>
  <c r="M24" s="1"/>
  <c r="BE23"/>
  <c r="BD23"/>
  <c r="AN23"/>
  <c r="BI23" s="1"/>
  <c r="AM23"/>
  <c r="BH23" s="1"/>
  <c r="AF23"/>
  <c r="AK23" s="1"/>
  <c r="I23"/>
  <c r="M23" s="1"/>
  <c r="BF22"/>
  <c r="BE22"/>
  <c r="BE27" s="1"/>
  <c r="BD22"/>
  <c r="AN22"/>
  <c r="BI22" s="1"/>
  <c r="AM22"/>
  <c r="BH22" s="1"/>
  <c r="I22"/>
  <c r="I27" s="1"/>
  <c r="BA21"/>
  <c r="AZ21"/>
  <c r="AY21"/>
  <c r="AX21"/>
  <c r="AW21"/>
  <c r="AV21"/>
  <c r="AS21"/>
  <c r="AR21"/>
  <c r="AQ21"/>
  <c r="AN21"/>
  <c r="AM21"/>
  <c r="AL21"/>
  <c r="AI21"/>
  <c r="AH21"/>
  <c r="AG21"/>
  <c r="AF21"/>
  <c r="AE21"/>
  <c r="AD21"/>
  <c r="AA21"/>
  <c r="Z21"/>
  <c r="Y21"/>
  <c r="X21"/>
  <c r="W21"/>
  <c r="V21"/>
  <c r="S21"/>
  <c r="R21"/>
  <c r="Q21"/>
  <c r="P21"/>
  <c r="O21"/>
  <c r="N21"/>
  <c r="I21"/>
  <c r="G21"/>
  <c r="F21"/>
  <c r="BG20"/>
  <c r="BE20"/>
  <c r="BD20"/>
  <c r="K20"/>
  <c r="BI20" s="1"/>
  <c r="J20"/>
  <c r="BH20" s="1"/>
  <c r="H20"/>
  <c r="M20" s="1"/>
  <c r="BI19"/>
  <c r="BH19"/>
  <c r="BG19"/>
  <c r="BF19"/>
  <c r="BE19"/>
  <c r="BD19"/>
  <c r="BG18"/>
  <c r="BF18"/>
  <c r="BE18"/>
  <c r="BD18"/>
  <c r="K18"/>
  <c r="BI18" s="1"/>
  <c r="J18"/>
  <c r="M18" s="1"/>
  <c r="BI17"/>
  <c r="BH17"/>
  <c r="BG17"/>
  <c r="BF17"/>
  <c r="BE17"/>
  <c r="BD17"/>
  <c r="BA16"/>
  <c r="AZ16"/>
  <c r="AY16"/>
  <c r="AX16"/>
  <c r="AW16"/>
  <c r="AV16"/>
  <c r="AQ16"/>
  <c r="AL16"/>
  <c r="AG16"/>
  <c r="AE16"/>
  <c r="AD16"/>
  <c r="AA16"/>
  <c r="Z16"/>
  <c r="Y16"/>
  <c r="X16"/>
  <c r="W16"/>
  <c r="V16"/>
  <c r="Q16"/>
  <c r="Q230" s="1"/>
  <c r="Q232" s="1"/>
  <c r="P16"/>
  <c r="O16"/>
  <c r="N16"/>
  <c r="K16"/>
  <c r="J16"/>
  <c r="G16"/>
  <c r="F230"/>
  <c r="BI15"/>
  <c r="BE15"/>
  <c r="BD15"/>
  <c r="R15"/>
  <c r="U15" s="1"/>
  <c r="I15"/>
  <c r="BG15" s="1"/>
  <c r="H15"/>
  <c r="BF15" s="1"/>
  <c r="BE14"/>
  <c r="BD14"/>
  <c r="AN14"/>
  <c r="BI14" s="1"/>
  <c r="AM14"/>
  <c r="AP14" s="1"/>
  <c r="AF14"/>
  <c r="AK14" s="1"/>
  <c r="I14"/>
  <c r="BG14" s="1"/>
  <c r="H14"/>
  <c r="BG13"/>
  <c r="BF13"/>
  <c r="BE13"/>
  <c r="BD13"/>
  <c r="S13"/>
  <c r="R13"/>
  <c r="BH13" s="1"/>
  <c r="BG12"/>
  <c r="BE12"/>
  <c r="BD12"/>
  <c r="AI12"/>
  <c r="BI12" s="1"/>
  <c r="AH12"/>
  <c r="BH12" s="1"/>
  <c r="AF12"/>
  <c r="BG11"/>
  <c r="BF11"/>
  <c r="BE11"/>
  <c r="BD11"/>
  <c r="AN11"/>
  <c r="BI11" s="1"/>
  <c r="AM11"/>
  <c r="BH11" s="1"/>
  <c r="BH10"/>
  <c r="BG10"/>
  <c r="BE10"/>
  <c r="BD10"/>
  <c r="AI10"/>
  <c r="BI10" s="1"/>
  <c r="AH10"/>
  <c r="AF10"/>
  <c r="BG9"/>
  <c r="BF9"/>
  <c r="BE9"/>
  <c r="BD9"/>
  <c r="AS9"/>
  <c r="BI9" s="1"/>
  <c r="AR9"/>
  <c r="BH9" s="1"/>
  <c r="BE8"/>
  <c r="BD8"/>
  <c r="AN8"/>
  <c r="BI8" s="1"/>
  <c r="AM8"/>
  <c r="BH8" s="1"/>
  <c r="AF8"/>
  <c r="AK8" s="1"/>
  <c r="I8"/>
  <c r="BG8" s="1"/>
  <c r="H8"/>
  <c r="M8" s="1"/>
  <c r="BE7"/>
  <c r="BD7"/>
  <c r="AN7"/>
  <c r="BI7" s="1"/>
  <c r="AM7"/>
  <c r="AF7"/>
  <c r="AK7" s="1"/>
  <c r="I7"/>
  <c r="M7" s="1"/>
  <c r="BF6"/>
  <c r="BE6"/>
  <c r="BD6"/>
  <c r="AN6"/>
  <c r="AN16" s="1"/>
  <c r="AM6"/>
  <c r="I6"/>
  <c r="M6" s="1"/>
  <c r="BE5"/>
  <c r="BD5"/>
  <c r="AN5"/>
  <c r="BI5" s="1"/>
  <c r="AM5"/>
  <c r="AP5" s="1"/>
  <c r="AF5"/>
  <c r="AK5" s="1"/>
  <c r="I5"/>
  <c r="BG5" s="1"/>
  <c r="H5"/>
  <c r="AU35" l="1"/>
  <c r="BJ35"/>
  <c r="AT228"/>
  <c r="AT230" s="1"/>
  <c r="AT232" s="1"/>
  <c r="T228"/>
  <c r="AB228"/>
  <c r="AB230" s="1"/>
  <c r="AB232" s="1"/>
  <c r="AO228"/>
  <c r="AO230" s="1"/>
  <c r="AO232" s="1"/>
  <c r="AJ228"/>
  <c r="BJ30"/>
  <c r="L228"/>
  <c r="L230" s="1"/>
  <c r="AK68"/>
  <c r="BK198"/>
  <c r="AP6"/>
  <c r="BG7"/>
  <c r="AF27"/>
  <c r="AU85"/>
  <c r="AU116" s="1"/>
  <c r="BK94"/>
  <c r="BF106"/>
  <c r="BG113"/>
  <c r="BE130"/>
  <c r="BK144"/>
  <c r="I149"/>
  <c r="BK211"/>
  <c r="BK212" s="1"/>
  <c r="R212"/>
  <c r="M5"/>
  <c r="AP7"/>
  <c r="BF7"/>
  <c r="AK12"/>
  <c r="M14"/>
  <c r="BK36"/>
  <c r="BK73"/>
  <c r="M110"/>
  <c r="BK120"/>
  <c r="BK122"/>
  <c r="BI123"/>
  <c r="BI131"/>
  <c r="M196"/>
  <c r="S210"/>
  <c r="BH222"/>
  <c r="AK10"/>
  <c r="BF14"/>
  <c r="BH38"/>
  <c r="BK44"/>
  <c r="R45"/>
  <c r="AN54"/>
  <c r="M83"/>
  <c r="M84" s="1"/>
  <c r="BH100"/>
  <c r="BK107"/>
  <c r="AW146"/>
  <c r="BK155"/>
  <c r="BH156"/>
  <c r="AF166"/>
  <c r="BF184"/>
  <c r="BK190"/>
  <c r="BF191"/>
  <c r="J210"/>
  <c r="BK26"/>
  <c r="BF135"/>
  <c r="BH142"/>
  <c r="BF164"/>
  <c r="AC165"/>
  <c r="AC166" s="1"/>
  <c r="BH196"/>
  <c r="AP214"/>
  <c r="BF222"/>
  <c r="BK28"/>
  <c r="BK33"/>
  <c r="BH7"/>
  <c r="AH16"/>
  <c r="BF10"/>
  <c r="BH14"/>
  <c r="AS16"/>
  <c r="BK19"/>
  <c r="AN27"/>
  <c r="BG22"/>
  <c r="BH25"/>
  <c r="BK25" s="1"/>
  <c r="AH27"/>
  <c r="BG30"/>
  <c r="BK29"/>
  <c r="BK32"/>
  <c r="BI40"/>
  <c r="BH43"/>
  <c r="AF45"/>
  <c r="BK48"/>
  <c r="BI52"/>
  <c r="AA54"/>
  <c r="BF58"/>
  <c r="BK62"/>
  <c r="AF63"/>
  <c r="BK64"/>
  <c r="BH65"/>
  <c r="BG66"/>
  <c r="BK74"/>
  <c r="BH77"/>
  <c r="BK77" s="1"/>
  <c r="BH78"/>
  <c r="BK78" s="1"/>
  <c r="BG86"/>
  <c r="BH95"/>
  <c r="BK95" s="1"/>
  <c r="BK98"/>
  <c r="BH104"/>
  <c r="BK104" s="1"/>
  <c r="BK105"/>
  <c r="BK111"/>
  <c r="R116"/>
  <c r="AR116"/>
  <c r="BF121"/>
  <c r="BI126"/>
  <c r="BI140"/>
  <c r="BF141"/>
  <c r="I146"/>
  <c r="BK164"/>
  <c r="BH165"/>
  <c r="K166"/>
  <c r="BK167"/>
  <c r="BH176"/>
  <c r="BK188"/>
  <c r="BF194"/>
  <c r="BK195"/>
  <c r="BF196"/>
  <c r="BI197"/>
  <c r="BK197" s="1"/>
  <c r="BH218"/>
  <c r="BK218" s="1"/>
  <c r="BJ121"/>
  <c r="M22"/>
  <c r="M32"/>
  <c r="M47"/>
  <c r="M51"/>
  <c r="M81"/>
  <c r="M91"/>
  <c r="M99"/>
  <c r="M103"/>
  <c r="M128"/>
  <c r="M158"/>
  <c r="M166" s="1"/>
  <c r="M176"/>
  <c r="M180"/>
  <c r="M192"/>
  <c r="M210" s="1"/>
  <c r="M214"/>
  <c r="U13"/>
  <c r="U16" s="1"/>
  <c r="U21"/>
  <c r="U30"/>
  <c r="U125"/>
  <c r="U149"/>
  <c r="U153"/>
  <c r="U171"/>
  <c r="U172" s="1"/>
  <c r="U222"/>
  <c r="U226" s="1"/>
  <c r="AC30"/>
  <c r="AC82"/>
  <c r="AC142"/>
  <c r="AC146" s="1"/>
  <c r="AC172"/>
  <c r="AK21"/>
  <c r="AK78"/>
  <c r="AK82" s="1"/>
  <c r="AK108"/>
  <c r="AK125"/>
  <c r="AK147"/>
  <c r="AK149" s="1"/>
  <c r="AK162"/>
  <c r="AK200"/>
  <c r="AP21"/>
  <c r="AP23"/>
  <c r="AP30"/>
  <c r="AP66"/>
  <c r="AP68" s="1"/>
  <c r="AP92"/>
  <c r="AP125"/>
  <c r="AP180"/>
  <c r="AP184"/>
  <c r="AU9"/>
  <c r="AU16" s="1"/>
  <c r="AU21"/>
  <c r="AU30"/>
  <c r="AU45"/>
  <c r="AU54"/>
  <c r="AU68"/>
  <c r="AU157"/>
  <c r="AU172"/>
  <c r="BC63"/>
  <c r="BC172"/>
  <c r="BH126"/>
  <c r="BH127" s="1"/>
  <c r="M126"/>
  <c r="M127" s="1"/>
  <c r="BH6"/>
  <c r="BK10"/>
  <c r="BH30"/>
  <c r="BK39"/>
  <c r="BG40"/>
  <c r="BK40" s="1"/>
  <c r="BK42"/>
  <c r="BK49"/>
  <c r="BI50"/>
  <c r="J54"/>
  <c r="BK56"/>
  <c r="BK57"/>
  <c r="BH60"/>
  <c r="BK60" s="1"/>
  <c r="BH61"/>
  <c r="AI116"/>
  <c r="BF100"/>
  <c r="BH106"/>
  <c r="BI109"/>
  <c r="BK110"/>
  <c r="I116"/>
  <c r="BK136"/>
  <c r="BK139"/>
  <c r="BF145"/>
  <c r="BK162"/>
  <c r="AA166"/>
  <c r="AH166"/>
  <c r="BK175"/>
  <c r="BG177"/>
  <c r="BK179"/>
  <c r="BK182"/>
  <c r="BH183"/>
  <c r="BI185"/>
  <c r="R210"/>
  <c r="BK201"/>
  <c r="BK202"/>
  <c r="BK205"/>
  <c r="BK207"/>
  <c r="BH213"/>
  <c r="BK215"/>
  <c r="BG220"/>
  <c r="BK220" s="1"/>
  <c r="M15"/>
  <c r="M59"/>
  <c r="M76"/>
  <c r="M82" s="1"/>
  <c r="M102"/>
  <c r="M156"/>
  <c r="M217"/>
  <c r="U145"/>
  <c r="AC207"/>
  <c r="AC210" s="1"/>
  <c r="AK87"/>
  <c r="AK91"/>
  <c r="AK132"/>
  <c r="AK146" s="1"/>
  <c r="AP8"/>
  <c r="AP22"/>
  <c r="AP99"/>
  <c r="AP191"/>
  <c r="AP217"/>
  <c r="AP221"/>
  <c r="BK41"/>
  <c r="BF43"/>
  <c r="BK51"/>
  <c r="I54"/>
  <c r="BK58"/>
  <c r="BE68"/>
  <c r="BK67"/>
  <c r="BK71"/>
  <c r="BK72" s="1"/>
  <c r="BK75"/>
  <c r="BI76"/>
  <c r="BK81"/>
  <c r="BH85"/>
  <c r="BK86"/>
  <c r="BH88"/>
  <c r="BK91"/>
  <c r="BK92"/>
  <c r="BK112"/>
  <c r="BH114"/>
  <c r="AM116"/>
  <c r="AW116"/>
  <c r="BK124"/>
  <c r="H125"/>
  <c r="BK130"/>
  <c r="BK134"/>
  <c r="BK135"/>
  <c r="BK141"/>
  <c r="AH146"/>
  <c r="BH148"/>
  <c r="BF172"/>
  <c r="BK170"/>
  <c r="BK178"/>
  <c r="BF189"/>
  <c r="BH194"/>
  <c r="BK199"/>
  <c r="BK203"/>
  <c r="BK208"/>
  <c r="BI214"/>
  <c r="BH216"/>
  <c r="BK216" s="1"/>
  <c r="M36"/>
  <c r="M40"/>
  <c r="M53"/>
  <c r="M85"/>
  <c r="M93"/>
  <c r="M123"/>
  <c r="M125" s="1"/>
  <c r="M140"/>
  <c r="M206"/>
  <c r="M220"/>
  <c r="U206"/>
  <c r="AK55"/>
  <c r="AK63" s="1"/>
  <c r="AK86"/>
  <c r="AK119"/>
  <c r="AK121" s="1"/>
  <c r="AK169"/>
  <c r="AK172" s="1"/>
  <c r="AK186"/>
  <c r="AK202"/>
  <c r="AK224"/>
  <c r="AK226" s="1"/>
  <c r="AP11"/>
  <c r="AP50"/>
  <c r="AP86"/>
  <c r="AP102"/>
  <c r="AP174"/>
  <c r="AP220"/>
  <c r="AU131"/>
  <c r="AU146" s="1"/>
  <c r="BC102"/>
  <c r="BF8"/>
  <c r="BK8" s="1"/>
  <c r="H16"/>
  <c r="AI16"/>
  <c r="AM45"/>
  <c r="BK59"/>
  <c r="K63"/>
  <c r="BK89"/>
  <c r="AH116"/>
  <c r="BK100"/>
  <c r="BK101"/>
  <c r="BK102"/>
  <c r="AR166"/>
  <c r="BI192"/>
  <c r="BK192" s="1"/>
  <c r="BG226"/>
  <c r="BK217"/>
  <c r="BK225"/>
  <c r="H226"/>
  <c r="M61"/>
  <c r="M63" s="1"/>
  <c r="M66"/>
  <c r="M68" s="1"/>
  <c r="M92"/>
  <c r="M96"/>
  <c r="M108"/>
  <c r="M185"/>
  <c r="M219"/>
  <c r="M223"/>
  <c r="U93"/>
  <c r="U105"/>
  <c r="U143"/>
  <c r="U146" s="1"/>
  <c r="U193"/>
  <c r="U210" s="1"/>
  <c r="AK159"/>
  <c r="AK173"/>
  <c r="AK209"/>
  <c r="AP40"/>
  <c r="AP45" s="1"/>
  <c r="AP53"/>
  <c r="AP113"/>
  <c r="AP177"/>
  <c r="AU163"/>
  <c r="AU166" s="1"/>
  <c r="BC185"/>
  <c r="BC210" s="1"/>
  <c r="BK14"/>
  <c r="BE172"/>
  <c r="BK9"/>
  <c r="BK38"/>
  <c r="BK99"/>
  <c r="BK163"/>
  <c r="BK177"/>
  <c r="BK219"/>
  <c r="BK223"/>
  <c r="U27"/>
  <c r="U157"/>
  <c r="AC54"/>
  <c r="AC226"/>
  <c r="AK157"/>
  <c r="AP82"/>
  <c r="AP157"/>
  <c r="AU27"/>
  <c r="AU226"/>
  <c r="BC54"/>
  <c r="BC68"/>
  <c r="BC226"/>
  <c r="F232"/>
  <c r="BD127"/>
  <c r="BG121"/>
  <c r="BK66"/>
  <c r="BK186"/>
  <c r="BK206"/>
  <c r="BF63"/>
  <c r="BG68"/>
  <c r="BG72"/>
  <c r="BE82"/>
  <c r="BK80"/>
  <c r="BE121"/>
  <c r="BD212"/>
  <c r="BK22"/>
  <c r="BJ63"/>
  <c r="BJ172"/>
  <c r="BK180"/>
  <c r="BK184"/>
  <c r="BK196"/>
  <c r="M30"/>
  <c r="M121"/>
  <c r="M172"/>
  <c r="AU121"/>
  <c r="AU125"/>
  <c r="BC16"/>
  <c r="BC125"/>
  <c r="BK43"/>
  <c r="BK61"/>
  <c r="BK108"/>
  <c r="BK194"/>
  <c r="BK83"/>
  <c r="BK84" s="1"/>
  <c r="X230"/>
  <c r="X232" s="1"/>
  <c r="BE54"/>
  <c r="BD116"/>
  <c r="BD54"/>
  <c r="BG54"/>
  <c r="BD121"/>
  <c r="BD157"/>
  <c r="BK7"/>
  <c r="BK11"/>
  <c r="BK53"/>
  <c r="BK113"/>
  <c r="BK123"/>
  <c r="BK133"/>
  <c r="BK156"/>
  <c r="BK221"/>
  <c r="BK31"/>
  <c r="BK117"/>
  <c r="M149"/>
  <c r="AC45"/>
  <c r="AK30"/>
  <c r="AP63"/>
  <c r="AP121"/>
  <c r="AU63"/>
  <c r="AU149"/>
  <c r="BC121"/>
  <c r="BE226"/>
  <c r="AC157"/>
  <c r="BK154"/>
  <c r="BK17"/>
  <c r="U54"/>
  <c r="U166"/>
  <c r="BJ146"/>
  <c r="BJ157"/>
  <c r="BJ45"/>
  <c r="U45"/>
  <c r="BJ127"/>
  <c r="BJ149"/>
  <c r="BJ68"/>
  <c r="BJ54"/>
  <c r="BJ27"/>
  <c r="BJ16"/>
  <c r="BJ210"/>
  <c r="BJ166"/>
  <c r="BJ116"/>
  <c r="BJ226"/>
  <c r="BJ125"/>
  <c r="BJ82"/>
  <c r="BJ21"/>
  <c r="AC16"/>
  <c r="BD45"/>
  <c r="BD68"/>
  <c r="BH68"/>
  <c r="BG125"/>
  <c r="BG157"/>
  <c r="BD172"/>
  <c r="BG172"/>
  <c r="BE210"/>
  <c r="BD226"/>
  <c r="BH45"/>
  <c r="BD63"/>
  <c r="BG82"/>
  <c r="BF125"/>
  <c r="BE157"/>
  <c r="BG166"/>
  <c r="BD166"/>
  <c r="BE30"/>
  <c r="BK30"/>
  <c r="BD125"/>
  <c r="BH125"/>
  <c r="BE146"/>
  <c r="AK45"/>
  <c r="BF88"/>
  <c r="BF116" s="1"/>
  <c r="BI114"/>
  <c r="AN149"/>
  <c r="BI148"/>
  <c r="S172"/>
  <c r="BI171"/>
  <c r="H21"/>
  <c r="M21"/>
  <c r="BI65"/>
  <c r="BK65" s="1"/>
  <c r="AN68"/>
  <c r="BH140"/>
  <c r="BK140" s="1"/>
  <c r="AM146"/>
  <c r="U151"/>
  <c r="BI150"/>
  <c r="BI151" s="1"/>
  <c r="AI166"/>
  <c r="H210"/>
  <c r="BF174"/>
  <c r="BG6"/>
  <c r="BF23"/>
  <c r="AK27"/>
  <c r="BF37"/>
  <c r="BF45" s="1"/>
  <c r="AF54"/>
  <c r="BF46"/>
  <c r="AK54"/>
  <c r="BH47"/>
  <c r="BK47" s="1"/>
  <c r="AM54"/>
  <c r="BI88"/>
  <c r="K116"/>
  <c r="AH121"/>
  <c r="BH119"/>
  <c r="BK119" s="1"/>
  <c r="AP149"/>
  <c r="AL149"/>
  <c r="H157"/>
  <c r="BF152"/>
  <c r="BK152" s="1"/>
  <c r="BI176"/>
  <c r="AN210"/>
  <c r="BF193"/>
  <c r="BD21"/>
  <c r="BF30"/>
  <c r="BD27"/>
  <c r="BD30"/>
  <c r="BI46"/>
  <c r="AC63"/>
  <c r="BD84"/>
  <c r="BI159"/>
  <c r="BK159" s="1"/>
  <c r="AP172"/>
  <c r="BD16"/>
  <c r="O230"/>
  <c r="O232" s="1"/>
  <c r="V230"/>
  <c r="V232" s="1"/>
  <c r="AE230"/>
  <c r="AE232" s="1"/>
  <c r="BF20"/>
  <c r="BF21" s="1"/>
  <c r="BG23"/>
  <c r="U63"/>
  <c r="BE63"/>
  <c r="AN116"/>
  <c r="BD146"/>
  <c r="AC149"/>
  <c r="S151"/>
  <c r="AF16"/>
  <c r="BF5"/>
  <c r="J21"/>
  <c r="BH18"/>
  <c r="BH21" s="1"/>
  <c r="H27"/>
  <c r="BF24"/>
  <c r="BG128"/>
  <c r="BK128" s="1"/>
  <c r="M129"/>
  <c r="BF181"/>
  <c r="BK181" s="1"/>
  <c r="BI6"/>
  <c r="BF12"/>
  <c r="BK12" s="1"/>
  <c r="BE21"/>
  <c r="BF52"/>
  <c r="BK52" s="1"/>
  <c r="H63"/>
  <c r="BH76"/>
  <c r="BK76" s="1"/>
  <c r="J82"/>
  <c r="I16"/>
  <c r="AM16"/>
  <c r="BH5"/>
  <c r="R16"/>
  <c r="BH15"/>
  <c r="BK15" s="1"/>
  <c r="H45"/>
  <c r="BF50"/>
  <c r="BK50" s="1"/>
  <c r="BH55"/>
  <c r="BH63" s="1"/>
  <c r="AF116"/>
  <c r="BE85"/>
  <c r="BC116"/>
  <c r="S116"/>
  <c r="BI93"/>
  <c r="BK93" s="1"/>
  <c r="BH137"/>
  <c r="BK137" s="1"/>
  <c r="BI142"/>
  <c r="BK142" s="1"/>
  <c r="AA146"/>
  <c r="BI165"/>
  <c r="BK165" s="1"/>
  <c r="BF187"/>
  <c r="BK187" s="1"/>
  <c r="BE16"/>
  <c r="BI169"/>
  <c r="AG230"/>
  <c r="AG232" s="1"/>
  <c r="AQ230"/>
  <c r="AQ232" s="1"/>
  <c r="AC27"/>
  <c r="AM27"/>
  <c r="BG63"/>
  <c r="BI13"/>
  <c r="BK13" s="1"/>
  <c r="S16"/>
  <c r="AL230"/>
  <c r="AL232" s="1"/>
  <c r="AC21"/>
  <c r="BC21"/>
  <c r="BG21"/>
  <c r="K21"/>
  <c r="M27"/>
  <c r="BC27"/>
  <c r="BE45"/>
  <c r="K45"/>
  <c r="H54"/>
  <c r="AH63"/>
  <c r="U68"/>
  <c r="H116"/>
  <c r="BH90"/>
  <c r="BK90" s="1"/>
  <c r="BC146"/>
  <c r="BI132"/>
  <c r="BK132" s="1"/>
  <c r="BF146"/>
  <c r="AP146"/>
  <c r="BH143"/>
  <c r="K157"/>
  <c r="BH185"/>
  <c r="BK185" s="1"/>
  <c r="AR210"/>
  <c r="BI191"/>
  <c r="BK191" s="1"/>
  <c r="Z116"/>
  <c r="BH109"/>
  <c r="BK109" s="1"/>
  <c r="R121"/>
  <c r="BH118"/>
  <c r="BK118" s="1"/>
  <c r="BI189"/>
  <c r="BK189" s="1"/>
  <c r="K226"/>
  <c r="BI213"/>
  <c r="BK213" s="1"/>
  <c r="BH174"/>
  <c r="BI209"/>
  <c r="BK209" s="1"/>
  <c r="BF226"/>
  <c r="BI224"/>
  <c r="BK224" s="1"/>
  <c r="P230"/>
  <c r="P232" s="1"/>
  <c r="Y230"/>
  <c r="Y232" s="1"/>
  <c r="AD230"/>
  <c r="AD232" s="1"/>
  <c r="AR16"/>
  <c r="BH24"/>
  <c r="BH27" s="1"/>
  <c r="BH46"/>
  <c r="BD82"/>
  <c r="H82"/>
  <c r="K84"/>
  <c r="BH147"/>
  <c r="BH153"/>
  <c r="BE166"/>
  <c r="AU210"/>
  <c r="I210"/>
  <c r="BH193"/>
  <c r="Z210"/>
  <c r="AX210"/>
  <c r="BF212"/>
  <c r="AI226"/>
  <c r="AX226"/>
  <c r="BI222"/>
  <c r="BK222" s="1"/>
  <c r="H84"/>
  <c r="AS116"/>
  <c r="BI85"/>
  <c r="BG106"/>
  <c r="BK106" s="1"/>
  <c r="BG114"/>
  <c r="BK114" s="1"/>
  <c r="H146"/>
  <c r="M146"/>
  <c r="J166"/>
  <c r="BH158"/>
  <c r="BH160"/>
  <c r="BK160" s="1"/>
  <c r="Z166"/>
  <c r="AS166"/>
  <c r="BH168"/>
  <c r="BK168" s="1"/>
  <c r="AH172"/>
  <c r="BG176"/>
  <c r="BK176" s="1"/>
  <c r="AA210"/>
  <c r="BI183"/>
  <c r="BK183" s="1"/>
  <c r="AM226"/>
  <c r="BH214"/>
  <c r="BK214" s="1"/>
  <c r="N230"/>
  <c r="N232" s="1"/>
  <c r="W230"/>
  <c r="W232" s="1"/>
  <c r="U82"/>
  <c r="AU82"/>
  <c r="BF82"/>
  <c r="AC116"/>
  <c r="BI87"/>
  <c r="BK87" s="1"/>
  <c r="U121"/>
  <c r="BG148"/>
  <c r="BK148" s="1"/>
  <c r="BC166"/>
  <c r="BD210"/>
  <c r="BI173"/>
  <c r="BK173" s="1"/>
  <c r="BI200"/>
  <c r="BK200" s="1"/>
  <c r="J226"/>
  <c r="AM68"/>
  <c r="BH96"/>
  <c r="BK96" s="1"/>
  <c r="BH97"/>
  <c r="BK97" s="1"/>
  <c r="BH103"/>
  <c r="BK103" s="1"/>
  <c r="AF121"/>
  <c r="BH131"/>
  <c r="BK131" s="1"/>
  <c r="BI143"/>
  <c r="BG145"/>
  <c r="BK145" s="1"/>
  <c r="BI147"/>
  <c r="BI153"/>
  <c r="BF158"/>
  <c r="BF166" s="1"/>
  <c r="BH171"/>
  <c r="BK171" s="1"/>
  <c r="BG174"/>
  <c r="AH210"/>
  <c r="AH226"/>
  <c r="BK35" l="1"/>
  <c r="AC228"/>
  <c r="AC230" s="1"/>
  <c r="AU228"/>
  <c r="AU230" s="1"/>
  <c r="BJ228"/>
  <c r="BJ230" s="1"/>
  <c r="T230"/>
  <c r="T232" s="1"/>
  <c r="AP210"/>
  <c r="M226"/>
  <c r="AJ230"/>
  <c r="AJ232" s="1"/>
  <c r="AP226"/>
  <c r="AP116"/>
  <c r="AP27"/>
  <c r="AP54"/>
  <c r="AP16"/>
  <c r="BK147"/>
  <c r="BK149" s="1"/>
  <c r="K230"/>
  <c r="K232" s="1"/>
  <c r="BK6"/>
  <c r="U116"/>
  <c r="U228" s="1"/>
  <c r="BH166"/>
  <c r="BH82"/>
  <c r="AR230"/>
  <c r="AR232" s="1"/>
  <c r="BK5"/>
  <c r="BK88"/>
  <c r="AA230"/>
  <c r="AA232" s="1"/>
  <c r="BK82"/>
  <c r="BK46"/>
  <c r="BK23"/>
  <c r="BG45"/>
  <c r="BK126"/>
  <c r="BK127" s="1"/>
  <c r="BK85"/>
  <c r="BK153"/>
  <c r="BK157" s="1"/>
  <c r="BK143"/>
  <c r="BK193"/>
  <c r="BK174"/>
  <c r="AW232"/>
  <c r="AW230"/>
  <c r="L232"/>
  <c r="BB232"/>
  <c r="BB230"/>
  <c r="AS230"/>
  <c r="AS232" s="1"/>
  <c r="BH16"/>
  <c r="AI230"/>
  <c r="AI232" s="1"/>
  <c r="BK20"/>
  <c r="BA232"/>
  <c r="BA230"/>
  <c r="AH230"/>
  <c r="AH232" s="1"/>
  <c r="AF230"/>
  <c r="AF232" s="1"/>
  <c r="BK18"/>
  <c r="BK150"/>
  <c r="BK151" s="1"/>
  <c r="BK55"/>
  <c r="BK63" s="1"/>
  <c r="BK37"/>
  <c r="BK158"/>
  <c r="AV232"/>
  <c r="AV230"/>
  <c r="BK24"/>
  <c r="H230"/>
  <c r="BK169"/>
  <c r="BK172" s="1"/>
  <c r="AY232"/>
  <c r="AY230"/>
  <c r="AZ232"/>
  <c r="AZ230"/>
  <c r="BG116"/>
  <c r="Z230"/>
  <c r="Z232" s="1"/>
  <c r="J230"/>
  <c r="AN230"/>
  <c r="AN232" s="1"/>
  <c r="G230"/>
  <c r="BC230"/>
  <c r="BK125"/>
  <c r="BH54"/>
  <c r="BG27"/>
  <c r="BF210"/>
  <c r="BH172"/>
  <c r="BH121"/>
  <c r="BH210"/>
  <c r="BH157"/>
  <c r="BF157"/>
  <c r="BH226"/>
  <c r="BK146"/>
  <c r="AK116"/>
  <c r="M16"/>
  <c r="BG210"/>
  <c r="BG149"/>
  <c r="M157"/>
  <c r="BF27"/>
  <c r="M116"/>
  <c r="BH116"/>
  <c r="AM230"/>
  <c r="AM232" s="1"/>
  <c r="BF16"/>
  <c r="BF54"/>
  <c r="AK166"/>
  <c r="BE116"/>
  <c r="BH149"/>
  <c r="BG129"/>
  <c r="BK129"/>
  <c r="BK68"/>
  <c r="BG146"/>
  <c r="BG228" s="1"/>
  <c r="AK16"/>
  <c r="BK166"/>
  <c r="BI146"/>
  <c r="BG16"/>
  <c r="AK210"/>
  <c r="BI149"/>
  <c r="BH146"/>
  <c r="BK121"/>
  <c r="BK226"/>
  <c r="BK54"/>
  <c r="S230"/>
  <c r="S232" s="1"/>
  <c r="M45"/>
  <c r="R230"/>
  <c r="R232" s="1"/>
  <c r="I230"/>
  <c r="M54"/>
  <c r="BK45"/>
  <c r="M228" l="1"/>
  <c r="M230" s="1"/>
  <c r="U230"/>
  <c r="AP228"/>
  <c r="AP230" s="1"/>
  <c r="AK228"/>
  <c r="AK230" s="1"/>
  <c r="BK27"/>
  <c r="BK210"/>
  <c r="BK16"/>
  <c r="BK116"/>
  <c r="BG230"/>
  <c r="BK21"/>
  <c r="I232"/>
  <c r="G232"/>
  <c r="AX232"/>
  <c r="AX230"/>
  <c r="BI230"/>
  <c r="BH230"/>
  <c r="J232"/>
  <c r="H232"/>
  <c r="Z106" i="20"/>
  <c r="BK228" i="24" l="1"/>
  <c r="BK230" s="1"/>
  <c r="AN161" i="20"/>
  <c r="AN9"/>
  <c r="AN194"/>
  <c r="AN101"/>
  <c r="AN94"/>
  <c r="AN183"/>
  <c r="AN129"/>
  <c r="AN83"/>
  <c r="Y205"/>
  <c r="Y163"/>
  <c r="Y107"/>
  <c r="Y52"/>
  <c r="Y140"/>
  <c r="Y181"/>
  <c r="Y158"/>
  <c r="R13"/>
  <c r="R169"/>
  <c r="R204"/>
  <c r="R141"/>
  <c r="R220"/>
  <c r="R191"/>
  <c r="R103"/>
  <c r="R151"/>
  <c r="R95"/>
  <c r="R91"/>
  <c r="R148"/>
  <c r="AJ219" l="1"/>
  <c r="AJ218"/>
  <c r="AJ215"/>
  <c r="AJ212"/>
  <c r="AJ189"/>
  <c r="AJ187"/>
  <c r="AJ182"/>
  <c r="AJ178"/>
  <c r="AJ175"/>
  <c r="AJ174"/>
  <c r="AJ172"/>
  <c r="AJ146"/>
  <c r="AJ138"/>
  <c r="AJ112"/>
  <c r="AJ111"/>
  <c r="AJ104"/>
  <c r="AJ100"/>
  <c r="AJ98"/>
  <c r="AJ97"/>
  <c r="AJ90"/>
  <c r="AJ66"/>
  <c r="AJ65"/>
  <c r="AJ53"/>
  <c r="AJ50"/>
  <c r="AJ47"/>
  <c r="AJ40"/>
  <c r="AJ23"/>
  <c r="AJ22"/>
  <c r="AJ14"/>
  <c r="AJ11"/>
  <c r="AJ8"/>
  <c r="AJ7"/>
  <c r="AJ6"/>
  <c r="AJ5"/>
  <c r="AF200" l="1"/>
  <c r="AF171"/>
  <c r="AF160"/>
  <c r="AF222"/>
  <c r="AF207"/>
  <c r="AF198"/>
  <c r="AF195"/>
  <c r="AF184"/>
  <c r="AF167"/>
  <c r="AF157"/>
  <c r="AF145"/>
  <c r="AF130"/>
  <c r="AF106"/>
  <c r="AF89"/>
  <c r="AF88"/>
  <c r="AF85"/>
  <c r="AF76"/>
  <c r="AF46"/>
  <c r="AF10"/>
  <c r="AF12"/>
  <c r="K154" l="1"/>
  <c r="K20"/>
  <c r="K221"/>
  <c r="K217"/>
  <c r="K211"/>
  <c r="K190"/>
  <c r="K156"/>
  <c r="K124"/>
  <c r="K121"/>
  <c r="BB121" s="1"/>
  <c r="K108"/>
  <c r="K86"/>
  <c r="K74"/>
  <c r="K81"/>
  <c r="K61"/>
  <c r="K43"/>
  <c r="K18"/>
  <c r="BA121"/>
  <c r="AZ121"/>
  <c r="AX121"/>
  <c r="AW121"/>
  <c r="AV121"/>
  <c r="AO121"/>
  <c r="AK121"/>
  <c r="AG121"/>
  <c r="Z121"/>
  <c r="S121"/>
  <c r="H121"/>
  <c r="AY121" s="1"/>
  <c r="L121" l="1"/>
  <c r="BC121"/>
  <c r="BB18" l="1"/>
  <c r="AZ18"/>
  <c r="AY18"/>
  <c r="AX18"/>
  <c r="AW18"/>
  <c r="AV18"/>
  <c r="AO18"/>
  <c r="AK18"/>
  <c r="AG18"/>
  <c r="Z18"/>
  <c r="S18"/>
  <c r="L18"/>
  <c r="J18"/>
  <c r="BA18" s="1"/>
  <c r="BC18" l="1"/>
  <c r="BB223" l="1"/>
  <c r="BB222"/>
  <c r="BB221"/>
  <c r="BB220"/>
  <c r="BB219"/>
  <c r="BB218"/>
  <c r="BB217"/>
  <c r="BB216"/>
  <c r="BB215"/>
  <c r="BB214"/>
  <c r="BB213"/>
  <c r="BB212"/>
  <c r="BB211"/>
  <c r="BB209"/>
  <c r="BB207"/>
  <c r="BB206"/>
  <c r="BB205"/>
  <c r="BB204"/>
  <c r="BB203"/>
  <c r="BB202"/>
  <c r="BB201"/>
  <c r="BB200"/>
  <c r="BB199"/>
  <c r="BB198"/>
  <c r="BB197"/>
  <c r="BB196"/>
  <c r="BB195"/>
  <c r="BB194"/>
  <c r="BB193"/>
  <c r="BB192"/>
  <c r="BB191"/>
  <c r="BB190"/>
  <c r="BB189"/>
  <c r="BB188"/>
  <c r="BB187"/>
  <c r="BB186"/>
  <c r="BB185"/>
  <c r="BB184"/>
  <c r="BB183"/>
  <c r="BB182"/>
  <c r="BB181"/>
  <c r="BB180"/>
  <c r="BB179"/>
  <c r="BB178"/>
  <c r="BB177"/>
  <c r="BB176"/>
  <c r="BB175"/>
  <c r="BB174"/>
  <c r="BB173"/>
  <c r="BB172"/>
  <c r="BB171"/>
  <c r="BB169"/>
  <c r="BB168"/>
  <c r="BB167"/>
  <c r="BB166"/>
  <c r="BB165"/>
  <c r="BB163"/>
  <c r="BB162"/>
  <c r="BB161"/>
  <c r="BB160"/>
  <c r="BB159"/>
  <c r="BB158"/>
  <c r="BB157"/>
  <c r="BB156"/>
  <c r="BB154"/>
  <c r="BB153"/>
  <c r="BB152"/>
  <c r="BB151"/>
  <c r="BB150"/>
  <c r="BB148"/>
  <c r="BB149" s="1"/>
  <c r="BB146"/>
  <c r="BB145"/>
  <c r="BB143"/>
  <c r="BB142"/>
  <c r="BB141"/>
  <c r="BB140"/>
  <c r="BB139"/>
  <c r="BB138"/>
  <c r="BB137"/>
  <c r="BB135"/>
  <c r="BB134"/>
  <c r="BB133"/>
  <c r="BB132"/>
  <c r="BB131"/>
  <c r="BB130"/>
  <c r="BB129"/>
  <c r="BB128"/>
  <c r="BB126"/>
  <c r="BB127" s="1"/>
  <c r="BB124"/>
  <c r="BB122"/>
  <c r="BB120"/>
  <c r="BB118"/>
  <c r="BB117"/>
  <c r="BB116"/>
  <c r="BB115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1"/>
  <c r="BB79"/>
  <c r="BB78"/>
  <c r="BB77"/>
  <c r="BB76"/>
  <c r="BB75"/>
  <c r="BB74"/>
  <c r="BB73"/>
  <c r="BB72"/>
  <c r="BB71"/>
  <c r="BB69"/>
  <c r="BB70" s="1"/>
  <c r="BB67"/>
  <c r="BB66"/>
  <c r="BB65"/>
  <c r="BB64"/>
  <c r="BB62"/>
  <c r="BB61"/>
  <c r="BB60"/>
  <c r="BB59"/>
  <c r="BB58"/>
  <c r="BB57"/>
  <c r="BB56"/>
  <c r="BB55"/>
  <c r="BB53"/>
  <c r="BB52"/>
  <c r="BB51"/>
  <c r="BB50"/>
  <c r="BB49"/>
  <c r="BB48"/>
  <c r="BB47"/>
  <c r="BB46"/>
  <c r="BB44"/>
  <c r="BB43"/>
  <c r="BB42"/>
  <c r="BB41"/>
  <c r="BB40"/>
  <c r="BB39"/>
  <c r="BB38"/>
  <c r="BB37"/>
  <c r="BB36"/>
  <c r="BB33"/>
  <c r="BB32"/>
  <c r="BB31"/>
  <c r="BB29"/>
  <c r="BB28"/>
  <c r="BB26"/>
  <c r="BB25"/>
  <c r="BB24"/>
  <c r="BB23"/>
  <c r="BB22"/>
  <c r="BB20"/>
  <c r="BB19"/>
  <c r="BB17"/>
  <c r="BB15"/>
  <c r="BB14"/>
  <c r="BB13"/>
  <c r="BB12"/>
  <c r="BB11"/>
  <c r="BB10"/>
  <c r="BB9"/>
  <c r="BB8"/>
  <c r="BB7"/>
  <c r="BB6"/>
  <c r="BB5"/>
  <c r="AU224"/>
  <c r="AU210"/>
  <c r="AU208"/>
  <c r="AU170"/>
  <c r="AU164"/>
  <c r="AU155"/>
  <c r="AU149"/>
  <c r="AU147"/>
  <c r="AU144"/>
  <c r="AU127"/>
  <c r="AU125"/>
  <c r="AU123"/>
  <c r="AU119"/>
  <c r="AU114"/>
  <c r="AU82"/>
  <c r="AU80"/>
  <c r="AU70"/>
  <c r="AU68"/>
  <c r="AU63"/>
  <c r="AU54"/>
  <c r="AU45"/>
  <c r="AU30"/>
  <c r="AU27"/>
  <c r="AU21"/>
  <c r="AU16"/>
  <c r="AV223"/>
  <c r="AV222"/>
  <c r="AV221"/>
  <c r="AV219"/>
  <c r="AV218"/>
  <c r="AV217"/>
  <c r="AV216"/>
  <c r="AV215"/>
  <c r="AV214"/>
  <c r="AV213"/>
  <c r="AV212"/>
  <c r="AV211"/>
  <c r="AV209"/>
  <c r="AV207"/>
  <c r="AV206"/>
  <c r="AV205"/>
  <c r="AV204"/>
  <c r="AV203"/>
  <c r="AV202"/>
  <c r="AV201"/>
  <c r="AV200"/>
  <c r="AV199"/>
  <c r="AV198"/>
  <c r="AV197"/>
  <c r="AV196"/>
  <c r="AV195"/>
  <c r="AV194"/>
  <c r="AV193"/>
  <c r="AV192"/>
  <c r="AV191"/>
  <c r="AV190"/>
  <c r="AV189"/>
  <c r="AV188"/>
  <c r="AV187"/>
  <c r="AV186"/>
  <c r="AV185"/>
  <c r="AV184"/>
  <c r="AV182"/>
  <c r="AV181"/>
  <c r="AV180"/>
  <c r="AV179"/>
  <c r="AV178"/>
  <c r="AV177"/>
  <c r="AV176"/>
  <c r="AV175"/>
  <c r="AV174"/>
  <c r="AV173"/>
  <c r="AV171"/>
  <c r="AV169"/>
  <c r="AV168"/>
  <c r="AV167"/>
  <c r="AV166"/>
  <c r="AV165"/>
  <c r="AV163"/>
  <c r="AV162"/>
  <c r="AV161"/>
  <c r="AV160"/>
  <c r="AV159"/>
  <c r="AV158"/>
  <c r="AV157"/>
  <c r="AV156"/>
  <c r="AV154"/>
  <c r="AV153"/>
  <c r="AV152"/>
  <c r="AV151"/>
  <c r="AV150"/>
  <c r="AV148"/>
  <c r="AV146"/>
  <c r="AV145"/>
  <c r="AV143"/>
  <c r="AV142"/>
  <c r="AV141"/>
  <c r="AV140"/>
  <c r="AV139"/>
  <c r="AV138"/>
  <c r="AV137"/>
  <c r="AV135"/>
  <c r="AV134"/>
  <c r="AV133"/>
  <c r="AV132"/>
  <c r="AV131"/>
  <c r="AV130"/>
  <c r="AV129"/>
  <c r="AV126"/>
  <c r="AV124"/>
  <c r="AV122"/>
  <c r="AV120"/>
  <c r="AV118"/>
  <c r="AV117"/>
  <c r="AV116"/>
  <c r="AV115"/>
  <c r="AV113"/>
  <c r="AV112"/>
  <c r="AV111"/>
  <c r="AV110"/>
  <c r="AV109"/>
  <c r="AV108"/>
  <c r="AV107"/>
  <c r="AV106"/>
  <c r="AV105"/>
  <c r="AV104"/>
  <c r="AV103"/>
  <c r="AV102"/>
  <c r="AV101"/>
  <c r="AV99"/>
  <c r="AV98"/>
  <c r="AV97"/>
  <c r="AV96"/>
  <c r="AV95"/>
  <c r="AV94"/>
  <c r="AV93"/>
  <c r="AV92"/>
  <c r="AV91"/>
  <c r="AV90"/>
  <c r="AV89"/>
  <c r="AV88"/>
  <c r="AV87"/>
  <c r="AV86"/>
  <c r="AV85"/>
  <c r="AV84"/>
  <c r="AV81"/>
  <c r="AV79"/>
  <c r="AV78"/>
  <c r="AV77"/>
  <c r="AV76"/>
  <c r="AV75"/>
  <c r="AV74"/>
  <c r="AV73"/>
  <c r="AV72"/>
  <c r="AV71"/>
  <c r="AV69"/>
  <c r="AV67"/>
  <c r="AV66"/>
  <c r="AV65"/>
  <c r="AV64"/>
  <c r="AV62"/>
  <c r="AV61"/>
  <c r="AV60"/>
  <c r="AV59"/>
  <c r="AV58"/>
  <c r="AV57"/>
  <c r="AV56"/>
  <c r="AV55"/>
  <c r="AV53"/>
  <c r="AV52"/>
  <c r="AV51"/>
  <c r="AV50"/>
  <c r="AV49"/>
  <c r="AV48"/>
  <c r="AV47"/>
  <c r="AV46"/>
  <c r="AV44"/>
  <c r="AV43"/>
  <c r="AV42"/>
  <c r="AV41"/>
  <c r="AV40"/>
  <c r="AV39"/>
  <c r="AV38"/>
  <c r="AV37"/>
  <c r="AV36"/>
  <c r="AV33"/>
  <c r="AV32"/>
  <c r="AV31"/>
  <c r="AV35" s="1"/>
  <c r="AV29"/>
  <c r="AV28"/>
  <c r="AV26"/>
  <c r="AV25"/>
  <c r="AV24"/>
  <c r="AV23"/>
  <c r="AV22"/>
  <c r="AV20"/>
  <c r="AV19"/>
  <c r="AV17"/>
  <c r="AV15"/>
  <c r="AV14"/>
  <c r="AV13"/>
  <c r="AV12"/>
  <c r="AV11"/>
  <c r="AV10"/>
  <c r="AV9"/>
  <c r="AV8"/>
  <c r="AV7"/>
  <c r="AV6"/>
  <c r="AV5"/>
  <c r="AN224"/>
  <c r="AN210"/>
  <c r="AN208"/>
  <c r="AN170"/>
  <c r="AN164"/>
  <c r="AN155"/>
  <c r="AN149"/>
  <c r="AN147"/>
  <c r="AN144"/>
  <c r="AN127"/>
  <c r="AN125"/>
  <c r="AN123"/>
  <c r="AN119"/>
  <c r="AN114"/>
  <c r="AN82"/>
  <c r="AN80"/>
  <c r="AN70"/>
  <c r="AN68"/>
  <c r="AN63"/>
  <c r="AN54"/>
  <c r="AN45"/>
  <c r="AN30"/>
  <c r="AN27"/>
  <c r="AN21"/>
  <c r="AN16"/>
  <c r="AO223"/>
  <c r="AO222"/>
  <c r="AO221"/>
  <c r="AO220"/>
  <c r="AO219"/>
  <c r="AO218"/>
  <c r="AO217"/>
  <c r="AO216"/>
  <c r="AO215"/>
  <c r="AO214"/>
  <c r="AO213"/>
  <c r="AO212"/>
  <c r="AO211"/>
  <c r="AO209"/>
  <c r="AO207"/>
  <c r="AO206"/>
  <c r="AO205"/>
  <c r="AO204"/>
  <c r="AO203"/>
  <c r="AO202"/>
  <c r="AO201"/>
  <c r="AO200"/>
  <c r="AO199"/>
  <c r="AO198"/>
  <c r="AO197"/>
  <c r="AO196"/>
  <c r="AO195"/>
  <c r="AO193"/>
  <c r="AO192"/>
  <c r="AO191"/>
  <c r="AO190"/>
  <c r="AO189"/>
  <c r="AO188"/>
  <c r="AO187"/>
  <c r="AO186"/>
  <c r="AO185"/>
  <c r="AO184"/>
  <c r="AO182"/>
  <c r="AO181"/>
  <c r="AO180"/>
  <c r="AO179"/>
  <c r="AO178"/>
  <c r="AO177"/>
  <c r="AO176"/>
  <c r="AO175"/>
  <c r="AO174"/>
  <c r="AO173"/>
  <c r="AO172"/>
  <c r="AO171"/>
  <c r="AO169"/>
  <c r="AO168"/>
  <c r="AO167"/>
  <c r="AO166"/>
  <c r="AO165"/>
  <c r="AO163"/>
  <c r="AO162"/>
  <c r="AO160"/>
  <c r="AO159"/>
  <c r="AO158"/>
  <c r="AO157"/>
  <c r="AO156"/>
  <c r="AO154"/>
  <c r="AO153"/>
  <c r="AO152"/>
  <c r="AO151"/>
  <c r="AO150"/>
  <c r="AO148"/>
  <c r="AO146"/>
  <c r="AO145"/>
  <c r="AO143"/>
  <c r="AO142"/>
  <c r="AO141"/>
  <c r="AO140"/>
  <c r="AO139"/>
  <c r="AO138"/>
  <c r="AO137"/>
  <c r="AO134"/>
  <c r="AO133"/>
  <c r="AO132"/>
  <c r="AO131"/>
  <c r="AO130"/>
  <c r="AO128"/>
  <c r="AO126"/>
  <c r="AO124"/>
  <c r="AO122"/>
  <c r="AO120"/>
  <c r="AO118"/>
  <c r="AO117"/>
  <c r="AO116"/>
  <c r="AO115"/>
  <c r="AO113"/>
  <c r="AO112"/>
  <c r="AO111"/>
  <c r="AO110"/>
  <c r="AO109"/>
  <c r="AO108"/>
  <c r="AO107"/>
  <c r="AO106"/>
  <c r="AO105"/>
  <c r="AO104"/>
  <c r="AO103"/>
  <c r="AO102"/>
  <c r="AO100"/>
  <c r="AO99"/>
  <c r="AO98"/>
  <c r="AO97"/>
  <c r="AO96"/>
  <c r="AO95"/>
  <c r="AO93"/>
  <c r="AO92"/>
  <c r="AO91"/>
  <c r="AO90"/>
  <c r="AO89"/>
  <c r="AO88"/>
  <c r="AO87"/>
  <c r="AO86"/>
  <c r="AO85"/>
  <c r="AO84"/>
  <c r="AO81"/>
  <c r="AO79"/>
  <c r="AO78"/>
  <c r="AO77"/>
  <c r="AO76"/>
  <c r="AO75"/>
  <c r="AO74"/>
  <c r="AO73"/>
  <c r="AO72"/>
  <c r="AO71"/>
  <c r="AO69"/>
  <c r="AO67"/>
  <c r="AO66"/>
  <c r="AO65"/>
  <c r="AO64"/>
  <c r="AO62"/>
  <c r="AO61"/>
  <c r="AO60"/>
  <c r="AO59"/>
  <c r="AO58"/>
  <c r="AO57"/>
  <c r="AO56"/>
  <c r="AO55"/>
  <c r="AO53"/>
  <c r="AO52"/>
  <c r="AO51"/>
  <c r="AO50"/>
  <c r="AO49"/>
  <c r="AO48"/>
  <c r="AO47"/>
  <c r="AO46"/>
  <c r="AO44"/>
  <c r="AO43"/>
  <c r="AO42"/>
  <c r="AO41"/>
  <c r="AO40"/>
  <c r="AO39"/>
  <c r="AO38"/>
  <c r="AO37"/>
  <c r="AO36"/>
  <c r="AO33"/>
  <c r="AO32"/>
  <c r="AO31"/>
  <c r="AO29"/>
  <c r="AO28"/>
  <c r="AO26"/>
  <c r="AO25"/>
  <c r="AO24"/>
  <c r="AO23"/>
  <c r="AO22"/>
  <c r="AO20"/>
  <c r="AO19"/>
  <c r="AO17"/>
  <c r="AO15"/>
  <c r="AO14"/>
  <c r="AO13"/>
  <c r="AO12"/>
  <c r="AO11"/>
  <c r="AO10"/>
  <c r="AO8"/>
  <c r="AO7"/>
  <c r="AO6"/>
  <c r="Y224"/>
  <c r="Y210"/>
  <c r="Y208"/>
  <c r="Y170"/>
  <c r="Y164"/>
  <c r="Y155"/>
  <c r="Y149"/>
  <c r="Y147"/>
  <c r="Y144"/>
  <c r="Y127"/>
  <c r="Y125"/>
  <c r="Y123"/>
  <c r="Y119"/>
  <c r="Y114"/>
  <c r="Y82"/>
  <c r="Y80"/>
  <c r="Y70"/>
  <c r="Y68"/>
  <c r="Y63"/>
  <c r="Y54"/>
  <c r="Y45"/>
  <c r="Y30"/>
  <c r="Y27"/>
  <c r="Y21"/>
  <c r="Y16"/>
  <c r="Z223"/>
  <c r="Z222"/>
  <c r="Z221"/>
  <c r="Z220"/>
  <c r="Z219"/>
  <c r="Z218"/>
  <c r="Z217"/>
  <c r="Z216"/>
  <c r="Z215"/>
  <c r="Z214"/>
  <c r="Z213"/>
  <c r="Z212"/>
  <c r="Z211"/>
  <c r="Z209"/>
  <c r="Z207"/>
  <c r="Z206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0"/>
  <c r="Z179"/>
  <c r="Z178"/>
  <c r="Z177"/>
  <c r="Z176"/>
  <c r="Z175"/>
  <c r="Z174"/>
  <c r="Z173"/>
  <c r="Z172"/>
  <c r="Z171"/>
  <c r="Z169"/>
  <c r="Z168"/>
  <c r="Z167"/>
  <c r="Z166"/>
  <c r="Z165"/>
  <c r="Z162"/>
  <c r="Z161"/>
  <c r="Z160"/>
  <c r="Z159"/>
  <c r="Z157"/>
  <c r="Z156"/>
  <c r="Z154"/>
  <c r="Z153"/>
  <c r="Z152"/>
  <c r="Z151"/>
  <c r="Z150"/>
  <c r="Z148"/>
  <c r="Z146"/>
  <c r="Z145"/>
  <c r="Z143"/>
  <c r="Z142"/>
  <c r="Z141"/>
  <c r="Z139"/>
  <c r="Z138"/>
  <c r="Z137"/>
  <c r="Z135"/>
  <c r="Z134"/>
  <c r="Z133"/>
  <c r="Z132"/>
  <c r="Z131"/>
  <c r="Z130"/>
  <c r="Z129"/>
  <c r="Z128"/>
  <c r="Z126"/>
  <c r="Z124"/>
  <c r="Z122"/>
  <c r="Z120"/>
  <c r="Z118"/>
  <c r="Z117"/>
  <c r="Z116"/>
  <c r="Z115"/>
  <c r="Z113"/>
  <c r="Z112"/>
  <c r="Z111"/>
  <c r="Z110"/>
  <c r="Z109"/>
  <c r="Z108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1"/>
  <c r="Z79"/>
  <c r="Z78"/>
  <c r="Z77"/>
  <c r="Z76"/>
  <c r="Z75"/>
  <c r="Z74"/>
  <c r="Z73"/>
  <c r="Z72"/>
  <c r="Z71"/>
  <c r="Z69"/>
  <c r="Z67"/>
  <c r="Z66"/>
  <c r="Z65"/>
  <c r="Z64"/>
  <c r="Z62"/>
  <c r="Z61"/>
  <c r="Z60"/>
  <c r="Z59"/>
  <c r="Z58"/>
  <c r="Z57"/>
  <c r="Z56"/>
  <c r="Z55"/>
  <c r="Z53"/>
  <c r="Z52"/>
  <c r="Z51"/>
  <c r="Z50"/>
  <c r="Z49"/>
  <c r="Z48"/>
  <c r="Z47"/>
  <c r="Z46"/>
  <c r="Z44"/>
  <c r="Z43"/>
  <c r="Z42"/>
  <c r="Z41"/>
  <c r="Z40"/>
  <c r="Z39"/>
  <c r="Z38"/>
  <c r="Z37"/>
  <c r="Z36"/>
  <c r="Z33"/>
  <c r="Z32"/>
  <c r="Z31"/>
  <c r="Z29"/>
  <c r="Z28"/>
  <c r="Z26"/>
  <c r="Z25"/>
  <c r="Z24"/>
  <c r="Z23"/>
  <c r="Z22"/>
  <c r="Z20"/>
  <c r="Z19"/>
  <c r="Z17"/>
  <c r="Z15"/>
  <c r="Z14"/>
  <c r="Z13"/>
  <c r="Z12"/>
  <c r="Z11"/>
  <c r="Z10"/>
  <c r="Z9"/>
  <c r="Z8"/>
  <c r="Z7"/>
  <c r="Z6"/>
  <c r="R224"/>
  <c r="R210"/>
  <c r="R208"/>
  <c r="R170"/>
  <c r="R164"/>
  <c r="R155"/>
  <c r="R149"/>
  <c r="R147"/>
  <c r="R144"/>
  <c r="R127"/>
  <c r="R125"/>
  <c r="R123"/>
  <c r="R119"/>
  <c r="R114"/>
  <c r="R82"/>
  <c r="R80"/>
  <c r="R70"/>
  <c r="R68"/>
  <c r="R63"/>
  <c r="R54"/>
  <c r="R45"/>
  <c r="R30"/>
  <c r="R27"/>
  <c r="R21"/>
  <c r="R16"/>
  <c r="S223"/>
  <c r="S222"/>
  <c r="S221"/>
  <c r="S219"/>
  <c r="S218"/>
  <c r="S217"/>
  <c r="S216"/>
  <c r="S215"/>
  <c r="S214"/>
  <c r="S213"/>
  <c r="S212"/>
  <c r="S211"/>
  <c r="S207"/>
  <c r="S206"/>
  <c r="S205"/>
  <c r="S203"/>
  <c r="S202"/>
  <c r="S201"/>
  <c r="S200"/>
  <c r="S199"/>
  <c r="S198"/>
  <c r="S197"/>
  <c r="S196"/>
  <c r="S195"/>
  <c r="S194"/>
  <c r="S193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68"/>
  <c r="S167"/>
  <c r="S166"/>
  <c r="S165"/>
  <c r="S163"/>
  <c r="S162"/>
  <c r="S161"/>
  <c r="S160"/>
  <c r="S159"/>
  <c r="S158"/>
  <c r="S157"/>
  <c r="S156"/>
  <c r="S154"/>
  <c r="S153"/>
  <c r="S152"/>
  <c r="S150"/>
  <c r="S148"/>
  <c r="S146"/>
  <c r="S145"/>
  <c r="S142"/>
  <c r="S140"/>
  <c r="S139"/>
  <c r="S138"/>
  <c r="S137"/>
  <c r="S135"/>
  <c r="S134"/>
  <c r="S133"/>
  <c r="S132"/>
  <c r="S131"/>
  <c r="S130"/>
  <c r="S129"/>
  <c r="S128"/>
  <c r="S126"/>
  <c r="S124"/>
  <c r="S122"/>
  <c r="S120"/>
  <c r="S118"/>
  <c r="S117"/>
  <c r="S115"/>
  <c r="S113"/>
  <c r="S112"/>
  <c r="S111"/>
  <c r="S110"/>
  <c r="S109"/>
  <c r="S108"/>
  <c r="S107"/>
  <c r="S106"/>
  <c r="S105"/>
  <c r="S104"/>
  <c r="S102"/>
  <c r="S101"/>
  <c r="S100"/>
  <c r="S99"/>
  <c r="S98"/>
  <c r="S97"/>
  <c r="S96"/>
  <c r="S94"/>
  <c r="S92"/>
  <c r="S90"/>
  <c r="S89"/>
  <c r="S88"/>
  <c r="S87"/>
  <c r="S86"/>
  <c r="S85"/>
  <c r="S84"/>
  <c r="S83"/>
  <c r="S81"/>
  <c r="S79"/>
  <c r="S78"/>
  <c r="S77"/>
  <c r="S76"/>
  <c r="S75"/>
  <c r="S74"/>
  <c r="S73"/>
  <c r="S72"/>
  <c r="S71"/>
  <c r="S69"/>
  <c r="S67"/>
  <c r="S66"/>
  <c r="S65"/>
  <c r="S64"/>
  <c r="S62"/>
  <c r="S61"/>
  <c r="S60"/>
  <c r="S59"/>
  <c r="S58"/>
  <c r="S57"/>
  <c r="S56"/>
  <c r="S55"/>
  <c r="S53"/>
  <c r="S52"/>
  <c r="S51"/>
  <c r="S50"/>
  <c r="S49"/>
  <c r="S48"/>
  <c r="S47"/>
  <c r="S46"/>
  <c r="S44"/>
  <c r="S43"/>
  <c r="S42"/>
  <c r="S41"/>
  <c r="S40"/>
  <c r="S39"/>
  <c r="S37"/>
  <c r="S36"/>
  <c r="S33"/>
  <c r="S32"/>
  <c r="S31"/>
  <c r="S29"/>
  <c r="S28"/>
  <c r="S26"/>
  <c r="S25"/>
  <c r="S24"/>
  <c r="S23"/>
  <c r="S22"/>
  <c r="S20"/>
  <c r="S19"/>
  <c r="S17"/>
  <c r="S14"/>
  <c r="S12"/>
  <c r="S11"/>
  <c r="S10"/>
  <c r="S9"/>
  <c r="S8"/>
  <c r="S7"/>
  <c r="S6"/>
  <c r="BB30" l="1"/>
  <c r="S21"/>
  <c r="Z35"/>
  <c r="BB35"/>
  <c r="AN226"/>
  <c r="AU226"/>
  <c r="BB123"/>
  <c r="S35"/>
  <c r="AO35"/>
  <c r="BB21"/>
  <c r="BB125"/>
  <c r="BB82"/>
  <c r="BB68"/>
  <c r="BB210"/>
  <c r="BB155"/>
  <c r="BB54"/>
  <c r="BB27"/>
  <c r="BB170"/>
  <c r="BB147"/>
  <c r="BB119"/>
  <c r="BB80"/>
  <c r="BB63"/>
  <c r="BB16"/>
  <c r="BB144"/>
  <c r="BB224"/>
  <c r="R226"/>
  <c r="BB45"/>
  <c r="BB208"/>
  <c r="Y226"/>
  <c r="BB164"/>
  <c r="BB114"/>
  <c r="AJ224"/>
  <c r="AJ210"/>
  <c r="AJ208"/>
  <c r="AJ170"/>
  <c r="AJ164"/>
  <c r="AJ155"/>
  <c r="AJ149"/>
  <c r="AJ147"/>
  <c r="AJ144"/>
  <c r="AJ127"/>
  <c r="AJ125"/>
  <c r="AJ123"/>
  <c r="AJ119"/>
  <c r="AJ114"/>
  <c r="AJ82"/>
  <c r="AJ80"/>
  <c r="AJ70"/>
  <c r="AJ68"/>
  <c r="AJ63"/>
  <c r="AJ54"/>
  <c r="AJ45"/>
  <c r="AJ30"/>
  <c r="AJ27"/>
  <c r="AJ21"/>
  <c r="AJ16"/>
  <c r="AK223"/>
  <c r="AK222"/>
  <c r="AK221"/>
  <c r="AK220"/>
  <c r="AK217"/>
  <c r="AK213"/>
  <c r="AK211"/>
  <c r="AK209"/>
  <c r="AK207"/>
  <c r="AK206"/>
  <c r="AK205"/>
  <c r="AK204"/>
  <c r="AK203"/>
  <c r="AK202"/>
  <c r="AK201"/>
  <c r="AK200"/>
  <c r="AK199"/>
  <c r="AK198"/>
  <c r="AK197"/>
  <c r="AK196"/>
  <c r="AK195"/>
  <c r="AK194"/>
  <c r="AK193"/>
  <c r="AK192"/>
  <c r="AK191"/>
  <c r="AK190"/>
  <c r="AK188"/>
  <c r="AK187"/>
  <c r="AK186"/>
  <c r="AK185"/>
  <c r="AK184"/>
  <c r="AK183"/>
  <c r="AK181"/>
  <c r="AK180"/>
  <c r="AK179"/>
  <c r="AK177"/>
  <c r="AK176"/>
  <c r="AK173"/>
  <c r="AK171"/>
  <c r="AK169"/>
  <c r="AK168"/>
  <c r="AK167"/>
  <c r="AK166"/>
  <c r="AK165"/>
  <c r="AK163"/>
  <c r="AK162"/>
  <c r="AK161"/>
  <c r="AK160"/>
  <c r="AK159"/>
  <c r="AK158"/>
  <c r="AK157"/>
  <c r="AK156"/>
  <c r="AK154"/>
  <c r="AK153"/>
  <c r="AK152"/>
  <c r="AK151"/>
  <c r="AK150"/>
  <c r="AK148"/>
  <c r="AK145"/>
  <c r="AK143"/>
  <c r="AK142"/>
  <c r="AK141"/>
  <c r="AK140"/>
  <c r="AK139"/>
  <c r="AK137"/>
  <c r="AK135"/>
  <c r="AK134"/>
  <c r="AK133"/>
  <c r="AK132"/>
  <c r="AK131"/>
  <c r="AK130"/>
  <c r="AK129"/>
  <c r="AK128"/>
  <c r="AK126"/>
  <c r="AK124"/>
  <c r="AK122"/>
  <c r="AK120"/>
  <c r="AK118"/>
  <c r="AK117"/>
  <c r="AK116"/>
  <c r="AK115"/>
  <c r="AK113"/>
  <c r="AK110"/>
  <c r="AK109"/>
  <c r="AK108"/>
  <c r="AK107"/>
  <c r="AK106"/>
  <c r="AK105"/>
  <c r="AK103"/>
  <c r="AK102"/>
  <c r="AK101"/>
  <c r="AK99"/>
  <c r="AK96"/>
  <c r="AK95"/>
  <c r="AK94"/>
  <c r="AK93"/>
  <c r="AK92"/>
  <c r="AK91"/>
  <c r="AK89"/>
  <c r="AK88"/>
  <c r="AK87"/>
  <c r="AK86"/>
  <c r="AK85"/>
  <c r="AK83"/>
  <c r="AK81"/>
  <c r="AK79"/>
  <c r="AK78"/>
  <c r="AK77"/>
  <c r="AK76"/>
  <c r="AK75"/>
  <c r="AK74"/>
  <c r="AK73"/>
  <c r="AK72"/>
  <c r="AK71"/>
  <c r="AK69"/>
  <c r="AK67"/>
  <c r="AK64"/>
  <c r="AK62"/>
  <c r="AK61"/>
  <c r="AK60"/>
  <c r="AK59"/>
  <c r="AK58"/>
  <c r="AK57"/>
  <c r="AK56"/>
  <c r="AK55"/>
  <c r="AK52"/>
  <c r="AK51"/>
  <c r="AK50"/>
  <c r="AK49"/>
  <c r="AK48"/>
  <c r="AK46"/>
  <c r="AK44"/>
  <c r="AK43"/>
  <c r="AK42"/>
  <c r="AK41"/>
  <c r="AK39"/>
  <c r="AK38"/>
  <c r="AK37"/>
  <c r="AK36"/>
  <c r="AK33"/>
  <c r="AK32"/>
  <c r="AK31"/>
  <c r="AK29"/>
  <c r="AK28"/>
  <c r="AK26"/>
  <c r="AK25"/>
  <c r="AK24"/>
  <c r="AK20"/>
  <c r="AK19"/>
  <c r="AK17"/>
  <c r="AK15"/>
  <c r="AK13"/>
  <c r="AK12"/>
  <c r="AK10"/>
  <c r="AK9"/>
  <c r="AG223"/>
  <c r="AG221"/>
  <c r="AG220"/>
  <c r="AG219"/>
  <c r="AG218"/>
  <c r="AG217"/>
  <c r="AG216"/>
  <c r="AG215"/>
  <c r="AG214"/>
  <c r="AG213"/>
  <c r="AG212"/>
  <c r="AG211"/>
  <c r="AG209"/>
  <c r="AG206"/>
  <c r="AG205"/>
  <c r="AG204"/>
  <c r="AG203"/>
  <c r="AG202"/>
  <c r="AG201"/>
  <c r="AG199"/>
  <c r="AG197"/>
  <c r="AG196"/>
  <c r="AG195"/>
  <c r="AG194"/>
  <c r="AG193"/>
  <c r="AG192"/>
  <c r="AG191"/>
  <c r="AG190"/>
  <c r="AG189"/>
  <c r="AG188"/>
  <c r="AG187"/>
  <c r="AG186"/>
  <c r="AG185"/>
  <c r="AG183"/>
  <c r="AG182"/>
  <c r="AG181"/>
  <c r="AG180"/>
  <c r="AG179"/>
  <c r="AG178"/>
  <c r="AG177"/>
  <c r="AG176"/>
  <c r="AG175"/>
  <c r="AG174"/>
  <c r="AG173"/>
  <c r="AG172"/>
  <c r="AG169"/>
  <c r="AG168"/>
  <c r="AG165"/>
  <c r="AG163"/>
  <c r="AG161"/>
  <c r="AG159"/>
  <c r="AG158"/>
  <c r="AG156"/>
  <c r="AG154"/>
  <c r="AG153"/>
  <c r="AG152"/>
  <c r="AG151"/>
  <c r="AG150"/>
  <c r="AG146"/>
  <c r="AG143"/>
  <c r="AG142"/>
  <c r="AG141"/>
  <c r="AG140"/>
  <c r="AG139"/>
  <c r="AG138"/>
  <c r="AG137"/>
  <c r="AG135"/>
  <c r="AG134"/>
  <c r="AG133"/>
  <c r="AG132"/>
  <c r="AG131"/>
  <c r="AG129"/>
  <c r="AG128"/>
  <c r="AG126"/>
  <c r="AG124"/>
  <c r="AG122"/>
  <c r="AG120"/>
  <c r="AG118"/>
  <c r="AG116"/>
  <c r="AG115"/>
  <c r="AG113"/>
  <c r="AG112"/>
  <c r="AG111"/>
  <c r="AG110"/>
  <c r="AG109"/>
  <c r="AG108"/>
  <c r="AG107"/>
  <c r="AG105"/>
  <c r="AG104"/>
  <c r="AG103"/>
  <c r="AG101"/>
  <c r="AG100"/>
  <c r="AG99"/>
  <c r="AG98"/>
  <c r="AG97"/>
  <c r="AG96"/>
  <c r="AG95"/>
  <c r="AG94"/>
  <c r="AG93"/>
  <c r="AG92"/>
  <c r="AG91"/>
  <c r="AG90"/>
  <c r="AG87"/>
  <c r="AG86"/>
  <c r="AG81"/>
  <c r="AG79"/>
  <c r="AG78"/>
  <c r="AG77"/>
  <c r="AG75"/>
  <c r="AG74"/>
  <c r="AG73"/>
  <c r="AG72"/>
  <c r="AG71"/>
  <c r="AG69"/>
  <c r="AG67"/>
  <c r="AG66"/>
  <c r="AG65"/>
  <c r="AG64"/>
  <c r="AG62"/>
  <c r="AG61"/>
  <c r="AG59"/>
  <c r="AG58"/>
  <c r="AG57"/>
  <c r="AG56"/>
  <c r="AG53"/>
  <c r="AG52"/>
  <c r="AG51"/>
  <c r="AG50"/>
  <c r="AG49"/>
  <c r="AG48"/>
  <c r="AG47"/>
  <c r="AG44"/>
  <c r="AG43"/>
  <c r="AG42"/>
  <c r="AG41"/>
  <c r="AG40"/>
  <c r="AG39"/>
  <c r="AG38"/>
  <c r="AG36"/>
  <c r="AG33"/>
  <c r="AG32"/>
  <c r="AG31"/>
  <c r="AG29"/>
  <c r="AG28"/>
  <c r="AG26"/>
  <c r="AG24"/>
  <c r="AG22"/>
  <c r="AG20"/>
  <c r="AG19"/>
  <c r="AG17"/>
  <c r="AG15"/>
  <c r="AG13"/>
  <c r="AG11"/>
  <c r="AG9"/>
  <c r="AG6"/>
  <c r="AF224"/>
  <c r="AF210"/>
  <c r="AF208"/>
  <c r="AF170"/>
  <c r="AF164"/>
  <c r="AF155"/>
  <c r="AF149"/>
  <c r="AF147"/>
  <c r="AF144"/>
  <c r="AF127"/>
  <c r="AF125"/>
  <c r="AF123"/>
  <c r="AF119"/>
  <c r="AF114"/>
  <c r="AF82"/>
  <c r="AF80"/>
  <c r="AF70"/>
  <c r="AF68"/>
  <c r="AF63"/>
  <c r="AF54"/>
  <c r="AF45"/>
  <c r="AF30"/>
  <c r="AF27"/>
  <c r="AF21"/>
  <c r="AF16"/>
  <c r="AK21" l="1"/>
  <c r="AK35"/>
  <c r="AK30"/>
  <c r="AG35"/>
  <c r="BB226"/>
  <c r="AJ226"/>
  <c r="AF226"/>
  <c r="L223"/>
  <c r="L222"/>
  <c r="L220"/>
  <c r="L219"/>
  <c r="L216"/>
  <c r="L214"/>
  <c r="L213"/>
  <c r="L209"/>
  <c r="L207"/>
  <c r="L206"/>
  <c r="L205"/>
  <c r="L203"/>
  <c r="L202"/>
  <c r="L201"/>
  <c r="L200"/>
  <c r="L199"/>
  <c r="L198"/>
  <c r="L197"/>
  <c r="L196"/>
  <c r="L195"/>
  <c r="L193"/>
  <c r="L188"/>
  <c r="L186"/>
  <c r="L184"/>
  <c r="L181"/>
  <c r="L180"/>
  <c r="L177"/>
  <c r="L176"/>
  <c r="L175"/>
  <c r="L173"/>
  <c r="L171"/>
  <c r="L169"/>
  <c r="L168"/>
  <c r="L167"/>
  <c r="L166"/>
  <c r="L165"/>
  <c r="L163"/>
  <c r="L162"/>
  <c r="L161"/>
  <c r="L160"/>
  <c r="L159"/>
  <c r="L158"/>
  <c r="L157"/>
  <c r="L153"/>
  <c r="L152"/>
  <c r="L151"/>
  <c r="L148"/>
  <c r="L146"/>
  <c r="L145"/>
  <c r="L142"/>
  <c r="L141"/>
  <c r="L140"/>
  <c r="L137"/>
  <c r="L135"/>
  <c r="L134"/>
  <c r="L132"/>
  <c r="L131"/>
  <c r="L130"/>
  <c r="L129"/>
  <c r="L128"/>
  <c r="L126"/>
  <c r="L122"/>
  <c r="L120"/>
  <c r="L118"/>
  <c r="L117"/>
  <c r="L116"/>
  <c r="L115"/>
  <c r="L113"/>
  <c r="L112"/>
  <c r="L111"/>
  <c r="L110"/>
  <c r="L109"/>
  <c r="L107"/>
  <c r="L105"/>
  <c r="L103"/>
  <c r="L102"/>
  <c r="L99"/>
  <c r="L96"/>
  <c r="L95"/>
  <c r="L93"/>
  <c r="L92"/>
  <c r="L88"/>
  <c r="L87"/>
  <c r="L85"/>
  <c r="L84"/>
  <c r="L78"/>
  <c r="L77"/>
  <c r="L76"/>
  <c r="L73"/>
  <c r="L71"/>
  <c r="L69"/>
  <c r="L67"/>
  <c r="L66"/>
  <c r="L65"/>
  <c r="L64"/>
  <c r="L62"/>
  <c r="L60"/>
  <c r="L57"/>
  <c r="L56"/>
  <c r="L55"/>
  <c r="L49"/>
  <c r="L48"/>
  <c r="L46"/>
  <c r="L44"/>
  <c r="L42"/>
  <c r="L41"/>
  <c r="L40"/>
  <c r="L39"/>
  <c r="L38"/>
  <c r="L37"/>
  <c r="L33"/>
  <c r="L31"/>
  <c r="L29"/>
  <c r="L28"/>
  <c r="L26"/>
  <c r="L25"/>
  <c r="L23"/>
  <c r="L22"/>
  <c r="L19"/>
  <c r="L17"/>
  <c r="L13"/>
  <c r="L12"/>
  <c r="L11"/>
  <c r="L10"/>
  <c r="L9"/>
  <c r="L7"/>
  <c r="L6"/>
  <c r="K224"/>
  <c r="K210"/>
  <c r="K208"/>
  <c r="K170"/>
  <c r="K164"/>
  <c r="K155"/>
  <c r="K149"/>
  <c r="K147"/>
  <c r="K144"/>
  <c r="K127"/>
  <c r="K125"/>
  <c r="K123"/>
  <c r="K119"/>
  <c r="K114"/>
  <c r="K82"/>
  <c r="K80"/>
  <c r="K70"/>
  <c r="K68"/>
  <c r="K63"/>
  <c r="K54"/>
  <c r="K45"/>
  <c r="K35"/>
  <c r="K30"/>
  <c r="K27"/>
  <c r="K21"/>
  <c r="K16"/>
  <c r="L210"/>
  <c r="AV16"/>
  <c r="AO5"/>
  <c r="Z5"/>
  <c r="S5"/>
  <c r="AT224"/>
  <c r="AS224"/>
  <c r="AQ224"/>
  <c r="AP224"/>
  <c r="AM224"/>
  <c r="AL224"/>
  <c r="AH224"/>
  <c r="AD224"/>
  <c r="AC224"/>
  <c r="AB224"/>
  <c r="AA224"/>
  <c r="X224"/>
  <c r="W224"/>
  <c r="V224"/>
  <c r="U224"/>
  <c r="T224"/>
  <c r="P224"/>
  <c r="O224"/>
  <c r="N224"/>
  <c r="M224"/>
  <c r="G224"/>
  <c r="F224"/>
  <c r="BA223"/>
  <c r="AZ223"/>
  <c r="AY223"/>
  <c r="AX223"/>
  <c r="AW223"/>
  <c r="AZ222"/>
  <c r="AY222"/>
  <c r="AX222"/>
  <c r="AW222"/>
  <c r="AE222"/>
  <c r="BA222" s="1"/>
  <c r="AZ221"/>
  <c r="AX221"/>
  <c r="AW221"/>
  <c r="J221"/>
  <c r="BA221" s="1"/>
  <c r="H221"/>
  <c r="AY221" s="1"/>
  <c r="AZ220"/>
  <c r="AX220"/>
  <c r="AW220"/>
  <c r="AR220"/>
  <c r="Q220"/>
  <c r="AZ219"/>
  <c r="AY219"/>
  <c r="AX219"/>
  <c r="AW219"/>
  <c r="AI219"/>
  <c r="AK219" s="1"/>
  <c r="AX218"/>
  <c r="AW218"/>
  <c r="AI218"/>
  <c r="AK218" s="1"/>
  <c r="AZ218"/>
  <c r="H218"/>
  <c r="AY218" s="1"/>
  <c r="AZ217"/>
  <c r="AX217"/>
  <c r="AW217"/>
  <c r="J217"/>
  <c r="BA217" s="1"/>
  <c r="H217"/>
  <c r="AY217" s="1"/>
  <c r="AZ216"/>
  <c r="AY216"/>
  <c r="AX216"/>
  <c r="AW216"/>
  <c r="AI216"/>
  <c r="AZ215"/>
  <c r="AX215"/>
  <c r="AW215"/>
  <c r="AI215"/>
  <c r="H215"/>
  <c r="AY215" s="1"/>
  <c r="AZ214"/>
  <c r="AY214"/>
  <c r="AX214"/>
  <c r="AW214"/>
  <c r="AI214"/>
  <c r="AK214" s="1"/>
  <c r="BA213"/>
  <c r="AZ213"/>
  <c r="AY213"/>
  <c r="AX213"/>
  <c r="AW213"/>
  <c r="AZ212"/>
  <c r="AX212"/>
  <c r="AW212"/>
  <c r="AI212"/>
  <c r="H212"/>
  <c r="AZ211"/>
  <c r="AY211"/>
  <c r="AX211"/>
  <c r="AW211"/>
  <c r="AO224"/>
  <c r="Z224"/>
  <c r="J211"/>
  <c r="AT210"/>
  <c r="AS210"/>
  <c r="AR210"/>
  <c r="AQ210"/>
  <c r="AP210"/>
  <c r="AM210"/>
  <c r="AL210"/>
  <c r="AI210"/>
  <c r="AH210"/>
  <c r="AE210"/>
  <c r="AD210"/>
  <c r="AC210"/>
  <c r="AB210"/>
  <c r="AA210"/>
  <c r="X210"/>
  <c r="W210"/>
  <c r="V210"/>
  <c r="U210"/>
  <c r="T210"/>
  <c r="P210"/>
  <c r="O210"/>
  <c r="N210"/>
  <c r="M210"/>
  <c r="J210"/>
  <c r="H210"/>
  <c r="G210"/>
  <c r="F210"/>
  <c r="BA209"/>
  <c r="BA210" s="1"/>
  <c r="AZ209"/>
  <c r="AY209"/>
  <c r="AY210" s="1"/>
  <c r="AX209"/>
  <c r="AX210" s="1"/>
  <c r="AW209"/>
  <c r="AV210"/>
  <c r="AO210"/>
  <c r="AK210"/>
  <c r="AG210"/>
  <c r="Z210"/>
  <c r="Q209"/>
  <c r="AT208"/>
  <c r="AS208"/>
  <c r="AP208"/>
  <c r="AL208"/>
  <c r="AH208"/>
  <c r="AD208"/>
  <c r="AC208"/>
  <c r="AB208"/>
  <c r="AA208"/>
  <c r="W208"/>
  <c r="V208"/>
  <c r="U208"/>
  <c r="T208"/>
  <c r="P208"/>
  <c r="O208"/>
  <c r="N208"/>
  <c r="M208"/>
  <c r="G208"/>
  <c r="F208"/>
  <c r="AZ207"/>
  <c r="AY207"/>
  <c r="AX207"/>
  <c r="AW207"/>
  <c r="AE207"/>
  <c r="BA206"/>
  <c r="AZ206"/>
  <c r="AY206"/>
  <c r="AX206"/>
  <c r="AW206"/>
  <c r="AZ205"/>
  <c r="AY205"/>
  <c r="AX205"/>
  <c r="AW205"/>
  <c r="X205"/>
  <c r="AX204"/>
  <c r="AW204"/>
  <c r="Q204"/>
  <c r="AZ204"/>
  <c r="H204"/>
  <c r="AY204" s="1"/>
  <c r="BA203"/>
  <c r="AZ203"/>
  <c r="AY203"/>
  <c r="AX203"/>
  <c r="AW203"/>
  <c r="BA202"/>
  <c r="AZ202"/>
  <c r="AY202"/>
  <c r="AX202"/>
  <c r="AW202"/>
  <c r="BA201"/>
  <c r="AZ201"/>
  <c r="AY201"/>
  <c r="AX201"/>
  <c r="AW201"/>
  <c r="AZ200"/>
  <c r="AY200"/>
  <c r="AX200"/>
  <c r="AW200"/>
  <c r="AE200"/>
  <c r="BA199"/>
  <c r="AZ199"/>
  <c r="AY199"/>
  <c r="AX199"/>
  <c r="AW199"/>
  <c r="AZ198"/>
  <c r="AY198"/>
  <c r="AX198"/>
  <c r="AW198"/>
  <c r="AE198"/>
  <c r="BA197"/>
  <c r="AZ197"/>
  <c r="AY197"/>
  <c r="AX197"/>
  <c r="AW197"/>
  <c r="BA196"/>
  <c r="AZ196"/>
  <c r="AY196"/>
  <c r="AX196"/>
  <c r="AW196"/>
  <c r="BA195"/>
  <c r="AZ195"/>
  <c r="AY195"/>
  <c r="AX195"/>
  <c r="AW195"/>
  <c r="AX194"/>
  <c r="AW194"/>
  <c r="AM194"/>
  <c r="AZ194"/>
  <c r="H194"/>
  <c r="AY194" s="1"/>
  <c r="BA193"/>
  <c r="AZ193"/>
  <c r="AY193"/>
  <c r="AX193"/>
  <c r="AW193"/>
  <c r="AZ192"/>
  <c r="AX192"/>
  <c r="AW192"/>
  <c r="Q192"/>
  <c r="H192"/>
  <c r="AY192" s="1"/>
  <c r="AZ191"/>
  <c r="AX191"/>
  <c r="AW191"/>
  <c r="Q191"/>
  <c r="H191"/>
  <c r="AY191" s="1"/>
  <c r="AZ190"/>
  <c r="AX190"/>
  <c r="AW190"/>
  <c r="J190"/>
  <c r="BA190" s="1"/>
  <c r="H190"/>
  <c r="AY190" s="1"/>
  <c r="AX189"/>
  <c r="AW189"/>
  <c r="AI189"/>
  <c r="AK189" s="1"/>
  <c r="AZ189"/>
  <c r="H189"/>
  <c r="AY189" s="1"/>
  <c r="BA188"/>
  <c r="AZ188"/>
  <c r="AY188"/>
  <c r="AX188"/>
  <c r="AW188"/>
  <c r="BA187"/>
  <c r="AZ187"/>
  <c r="AX187"/>
  <c r="AW187"/>
  <c r="H187"/>
  <c r="AY187" s="1"/>
  <c r="BA186"/>
  <c r="AZ186"/>
  <c r="AY186"/>
  <c r="AX186"/>
  <c r="AW186"/>
  <c r="BA185"/>
  <c r="AZ185"/>
  <c r="AX185"/>
  <c r="AW185"/>
  <c r="H185"/>
  <c r="L185" s="1"/>
  <c r="AZ184"/>
  <c r="AY184"/>
  <c r="AX184"/>
  <c r="AW184"/>
  <c r="AE184"/>
  <c r="AW183"/>
  <c r="AQ183"/>
  <c r="AM183"/>
  <c r="AO183" s="1"/>
  <c r="AZ183"/>
  <c r="H183"/>
  <c r="L183" s="1"/>
  <c r="AX182"/>
  <c r="AW182"/>
  <c r="AI182"/>
  <c r="AZ182"/>
  <c r="H182"/>
  <c r="AY182" s="1"/>
  <c r="AZ181"/>
  <c r="AY181"/>
  <c r="AX181"/>
  <c r="AW181"/>
  <c r="X181"/>
  <c r="BA180"/>
  <c r="AZ180"/>
  <c r="AY180"/>
  <c r="AX180"/>
  <c r="AW180"/>
  <c r="BA179"/>
  <c r="AZ179"/>
  <c r="AX179"/>
  <c r="AW179"/>
  <c r="H179"/>
  <c r="L179" s="1"/>
  <c r="AX178"/>
  <c r="AW178"/>
  <c r="AI178"/>
  <c r="AK178" s="1"/>
  <c r="AZ178"/>
  <c r="H178"/>
  <c r="AY178" s="1"/>
  <c r="BA177"/>
  <c r="AZ177"/>
  <c r="AY177"/>
  <c r="AX177"/>
  <c r="AW177"/>
  <c r="BA176"/>
  <c r="AZ176"/>
  <c r="AY176"/>
  <c r="AX176"/>
  <c r="AW176"/>
  <c r="AY175"/>
  <c r="AX175"/>
  <c r="AW175"/>
  <c r="AI175"/>
  <c r="AK175" s="1"/>
  <c r="AZ175"/>
  <c r="AX174"/>
  <c r="AW174"/>
  <c r="AI174"/>
  <c r="AZ174"/>
  <c r="H174"/>
  <c r="AY174" s="1"/>
  <c r="BA173"/>
  <c r="AZ173"/>
  <c r="AY173"/>
  <c r="AX173"/>
  <c r="AW173"/>
  <c r="AX172"/>
  <c r="AW172"/>
  <c r="AR172"/>
  <c r="AV172" s="1"/>
  <c r="AI172"/>
  <c r="H172"/>
  <c r="L172" s="1"/>
  <c r="AZ171"/>
  <c r="AY171"/>
  <c r="AX171"/>
  <c r="AW171"/>
  <c r="AE171"/>
  <c r="AT170"/>
  <c r="AS170"/>
  <c r="AR170"/>
  <c r="AQ170"/>
  <c r="AP170"/>
  <c r="AM170"/>
  <c r="AL170"/>
  <c r="AI170"/>
  <c r="AH170"/>
  <c r="AD170"/>
  <c r="AC170"/>
  <c r="AB170"/>
  <c r="AA170"/>
  <c r="X170"/>
  <c r="W170"/>
  <c r="V170"/>
  <c r="U170"/>
  <c r="T170"/>
  <c r="P170"/>
  <c r="O170"/>
  <c r="N170"/>
  <c r="M170"/>
  <c r="J170"/>
  <c r="H170"/>
  <c r="G170"/>
  <c r="F170"/>
  <c r="AZ169"/>
  <c r="AY169"/>
  <c r="AX169"/>
  <c r="AW169"/>
  <c r="Q169"/>
  <c r="BA168"/>
  <c r="AZ168"/>
  <c r="AY168"/>
  <c r="AX168"/>
  <c r="AW168"/>
  <c r="AZ167"/>
  <c r="AY167"/>
  <c r="AX167"/>
  <c r="AW167"/>
  <c r="AE167"/>
  <c r="AZ166"/>
  <c r="AY166"/>
  <c r="AX166"/>
  <c r="AW166"/>
  <c r="AE166"/>
  <c r="BA165"/>
  <c r="AZ165"/>
  <c r="AY165"/>
  <c r="AX165"/>
  <c r="AW165"/>
  <c r="AV170"/>
  <c r="AO170"/>
  <c r="AK170"/>
  <c r="Z170"/>
  <c r="L170"/>
  <c r="AT164"/>
  <c r="AS164"/>
  <c r="AR164"/>
  <c r="AQ164"/>
  <c r="AP164"/>
  <c r="AL164"/>
  <c r="AI164"/>
  <c r="AH164"/>
  <c r="AD164"/>
  <c r="AB164"/>
  <c r="AA164"/>
  <c r="W164"/>
  <c r="V164"/>
  <c r="U164"/>
  <c r="T164"/>
  <c r="Q164"/>
  <c r="P164"/>
  <c r="O164"/>
  <c r="N164"/>
  <c r="M164"/>
  <c r="G164"/>
  <c r="F164"/>
  <c r="AZ163"/>
  <c r="AY163"/>
  <c r="AX163"/>
  <c r="AW163"/>
  <c r="X163"/>
  <c r="BA162"/>
  <c r="AZ162"/>
  <c r="AX162"/>
  <c r="AW162"/>
  <c r="AC162"/>
  <c r="AZ161"/>
  <c r="AY161"/>
  <c r="AX161"/>
  <c r="AW161"/>
  <c r="AM161"/>
  <c r="AZ160"/>
  <c r="AY160"/>
  <c r="AX160"/>
  <c r="AW160"/>
  <c r="AE160"/>
  <c r="BA159"/>
  <c r="AZ159"/>
  <c r="AY159"/>
  <c r="AX159"/>
  <c r="AW159"/>
  <c r="AZ158"/>
  <c r="AY158"/>
  <c r="AX158"/>
  <c r="AW158"/>
  <c r="X158"/>
  <c r="AZ157"/>
  <c r="AY157"/>
  <c r="AX157"/>
  <c r="AW157"/>
  <c r="AE157"/>
  <c r="AZ156"/>
  <c r="AX156"/>
  <c r="AW156"/>
  <c r="AV164"/>
  <c r="AK164"/>
  <c r="S164"/>
  <c r="J156"/>
  <c r="J164" s="1"/>
  <c r="H156"/>
  <c r="H164" s="1"/>
  <c r="AT155"/>
  <c r="AS155"/>
  <c r="AR155"/>
  <c r="AQ155"/>
  <c r="AP155"/>
  <c r="AM155"/>
  <c r="AL155"/>
  <c r="AI155"/>
  <c r="AH155"/>
  <c r="AE155"/>
  <c r="AD155"/>
  <c r="AC155"/>
  <c r="AB155"/>
  <c r="AA155"/>
  <c r="X155"/>
  <c r="W155"/>
  <c r="V155"/>
  <c r="U155"/>
  <c r="T155"/>
  <c r="P155"/>
  <c r="O155"/>
  <c r="N155"/>
  <c r="M155"/>
  <c r="G155"/>
  <c r="F155"/>
  <c r="AZ154"/>
  <c r="AY154"/>
  <c r="AX154"/>
  <c r="AW154"/>
  <c r="J154"/>
  <c r="J155" s="1"/>
  <c r="BA153"/>
  <c r="AZ153"/>
  <c r="AY153"/>
  <c r="AX153"/>
  <c r="AW153"/>
  <c r="BA152"/>
  <c r="AZ152"/>
  <c r="AY152"/>
  <c r="AX152"/>
  <c r="AW152"/>
  <c r="AZ151"/>
  <c r="AY151"/>
  <c r="AX151"/>
  <c r="AW151"/>
  <c r="Q151"/>
  <c r="BA150"/>
  <c r="AZ150"/>
  <c r="AX150"/>
  <c r="AW150"/>
  <c r="AV155"/>
  <c r="AO155"/>
  <c r="AK155"/>
  <c r="AG155"/>
  <c r="Z155"/>
  <c r="H150"/>
  <c r="H155" s="1"/>
  <c r="AT149"/>
  <c r="AS149"/>
  <c r="AR149"/>
  <c r="AQ149"/>
  <c r="AP149"/>
  <c r="AM149"/>
  <c r="AL149"/>
  <c r="AI149"/>
  <c r="AH149"/>
  <c r="AE149"/>
  <c r="AD149"/>
  <c r="AC149"/>
  <c r="AB149"/>
  <c r="AA149"/>
  <c r="X149"/>
  <c r="W149"/>
  <c r="V149"/>
  <c r="U149"/>
  <c r="T149"/>
  <c r="Q149"/>
  <c r="P149"/>
  <c r="O149"/>
  <c r="N149"/>
  <c r="M149"/>
  <c r="J149"/>
  <c r="H149"/>
  <c r="G149"/>
  <c r="F149"/>
  <c r="BA148"/>
  <c r="BA149" s="1"/>
  <c r="AZ148"/>
  <c r="AY148"/>
  <c r="AY149" s="1"/>
  <c r="AX148"/>
  <c r="AX149" s="1"/>
  <c r="AW148"/>
  <c r="AW149" s="1"/>
  <c r="AV149"/>
  <c r="AO149"/>
  <c r="AK149"/>
  <c r="AG148"/>
  <c r="AG149" s="1"/>
  <c r="Z149"/>
  <c r="S149"/>
  <c r="L149"/>
  <c r="AT147"/>
  <c r="AS147"/>
  <c r="AR147"/>
  <c r="AQ147"/>
  <c r="AP147"/>
  <c r="AM147"/>
  <c r="AL147"/>
  <c r="AD147"/>
  <c r="AC147"/>
  <c r="AB147"/>
  <c r="AA147"/>
  <c r="X147"/>
  <c r="W147"/>
  <c r="V147"/>
  <c r="U147"/>
  <c r="T147"/>
  <c r="Q147"/>
  <c r="P147"/>
  <c r="O147"/>
  <c r="N147"/>
  <c r="M147"/>
  <c r="J147"/>
  <c r="H147"/>
  <c r="G147"/>
  <c r="F147"/>
  <c r="AY146"/>
  <c r="AX146"/>
  <c r="AW146"/>
  <c r="AI146"/>
  <c r="AI147" s="1"/>
  <c r="AH146"/>
  <c r="AZ145"/>
  <c r="AY145"/>
  <c r="AX145"/>
  <c r="AW145"/>
  <c r="AV147"/>
  <c r="AO147"/>
  <c r="AE145"/>
  <c r="Z147"/>
  <c r="S147"/>
  <c r="L147"/>
  <c r="AT144"/>
  <c r="AS144"/>
  <c r="AR144"/>
  <c r="AP144"/>
  <c r="AL144"/>
  <c r="AH144"/>
  <c r="AD144"/>
  <c r="AC144"/>
  <c r="AB144"/>
  <c r="AA144"/>
  <c r="W144"/>
  <c r="V144"/>
  <c r="U144"/>
  <c r="T144"/>
  <c r="O144"/>
  <c r="N144"/>
  <c r="M144"/>
  <c r="J144"/>
  <c r="G144"/>
  <c r="F144"/>
  <c r="BA143"/>
  <c r="AX143"/>
  <c r="AW143"/>
  <c r="P143"/>
  <c r="H143"/>
  <c r="AY143" s="1"/>
  <c r="BA142"/>
  <c r="AZ142"/>
  <c r="AY142"/>
  <c r="AX142"/>
  <c r="AW142"/>
  <c r="AZ141"/>
  <c r="AY141"/>
  <c r="AX141"/>
  <c r="AW141"/>
  <c r="Q141"/>
  <c r="AZ140"/>
  <c r="AY140"/>
  <c r="AX140"/>
  <c r="AW140"/>
  <c r="X140"/>
  <c r="BA139"/>
  <c r="AZ139"/>
  <c r="AX139"/>
  <c r="AW139"/>
  <c r="H139"/>
  <c r="AY139" s="1"/>
  <c r="AX138"/>
  <c r="AW138"/>
  <c r="AI138"/>
  <c r="H138"/>
  <c r="AY138" s="1"/>
  <c r="BA137"/>
  <c r="AZ137"/>
  <c r="AY137"/>
  <c r="AX137"/>
  <c r="AW137"/>
  <c r="AZ135"/>
  <c r="AY135"/>
  <c r="AX135"/>
  <c r="AW135"/>
  <c r="AM135"/>
  <c r="AO135" s="1"/>
  <c r="BA134"/>
  <c r="AZ134"/>
  <c r="AY134"/>
  <c r="AX134"/>
  <c r="AW134"/>
  <c r="BA133"/>
  <c r="AZ133"/>
  <c r="AX133"/>
  <c r="AW133"/>
  <c r="H133"/>
  <c r="BA132"/>
  <c r="AZ132"/>
  <c r="AY132"/>
  <c r="AX132"/>
  <c r="AW132"/>
  <c r="BA131"/>
  <c r="AZ131"/>
  <c r="AY131"/>
  <c r="AX131"/>
  <c r="AW131"/>
  <c r="AZ130"/>
  <c r="AY130"/>
  <c r="AX130"/>
  <c r="AW130"/>
  <c r="AE130"/>
  <c r="AZ129"/>
  <c r="AY129"/>
  <c r="AX129"/>
  <c r="AW129"/>
  <c r="AM129"/>
  <c r="BA128"/>
  <c r="AZ128"/>
  <c r="AY128"/>
  <c r="AW128"/>
  <c r="AQ128"/>
  <c r="AT127"/>
  <c r="AS127"/>
  <c r="AR127"/>
  <c r="AQ127"/>
  <c r="AP127"/>
  <c r="AM127"/>
  <c r="AL127"/>
  <c r="AI127"/>
  <c r="AH127"/>
  <c r="AE127"/>
  <c r="AD127"/>
  <c r="AC127"/>
  <c r="AB127"/>
  <c r="AA127"/>
  <c r="X127"/>
  <c r="W127"/>
  <c r="V127"/>
  <c r="U127"/>
  <c r="T127"/>
  <c r="S127"/>
  <c r="Q127"/>
  <c r="P127"/>
  <c r="O127"/>
  <c r="N127"/>
  <c r="M127"/>
  <c r="J127"/>
  <c r="H127"/>
  <c r="G127"/>
  <c r="F127"/>
  <c r="BA126"/>
  <c r="BA127" s="1"/>
  <c r="AZ126"/>
  <c r="AY126"/>
  <c r="AY127" s="1"/>
  <c r="AX126"/>
  <c r="AX127" s="1"/>
  <c r="AW126"/>
  <c r="AW127" s="1"/>
  <c r="AV127"/>
  <c r="AO127"/>
  <c r="AK127"/>
  <c r="AG127"/>
  <c r="Z127"/>
  <c r="L127"/>
  <c r="AT125"/>
  <c r="AS125"/>
  <c r="AR125"/>
  <c r="AQ125"/>
  <c r="AP125"/>
  <c r="AO125"/>
  <c r="AM125"/>
  <c r="AL125"/>
  <c r="AI125"/>
  <c r="AH125"/>
  <c r="AG125"/>
  <c r="AE125"/>
  <c r="AD125"/>
  <c r="AC125"/>
  <c r="AB125"/>
  <c r="AA125"/>
  <c r="X125"/>
  <c r="W125"/>
  <c r="V125"/>
  <c r="U125"/>
  <c r="T125"/>
  <c r="S125"/>
  <c r="Q125"/>
  <c r="P125"/>
  <c r="O125"/>
  <c r="N125"/>
  <c r="M125"/>
  <c r="H125"/>
  <c r="G125"/>
  <c r="F125"/>
  <c r="AZ124"/>
  <c r="AY124"/>
  <c r="AY125" s="1"/>
  <c r="AX124"/>
  <c r="AW124"/>
  <c r="AW125" s="1"/>
  <c r="AV125"/>
  <c r="AK125"/>
  <c r="Z125"/>
  <c r="J124"/>
  <c r="J125" s="1"/>
  <c r="AT123"/>
  <c r="AS123"/>
  <c r="AR123"/>
  <c r="AQ123"/>
  <c r="AP123"/>
  <c r="AM123"/>
  <c r="AL123"/>
  <c r="AI123"/>
  <c r="AH123"/>
  <c r="AG123"/>
  <c r="AE123"/>
  <c r="AD123"/>
  <c r="AC123"/>
  <c r="AB123"/>
  <c r="AA123"/>
  <c r="X123"/>
  <c r="W123"/>
  <c r="V123"/>
  <c r="U123"/>
  <c r="T123"/>
  <c r="S123"/>
  <c r="Q123"/>
  <c r="P123"/>
  <c r="O123"/>
  <c r="N123"/>
  <c r="M123"/>
  <c r="J123"/>
  <c r="G123"/>
  <c r="F123"/>
  <c r="BA122"/>
  <c r="AZ122"/>
  <c r="AX122"/>
  <c r="AW122"/>
  <c r="H123"/>
  <c r="BA120"/>
  <c r="AZ120"/>
  <c r="AY120"/>
  <c r="AX120"/>
  <c r="AW120"/>
  <c r="AV123"/>
  <c r="AO123"/>
  <c r="AK123"/>
  <c r="Z123"/>
  <c r="L123"/>
  <c r="AT119"/>
  <c r="AS119"/>
  <c r="AR119"/>
  <c r="AQ119"/>
  <c r="AP119"/>
  <c r="AM119"/>
  <c r="AL119"/>
  <c r="AI119"/>
  <c r="AH119"/>
  <c r="AD119"/>
  <c r="AB119"/>
  <c r="AA119"/>
  <c r="X119"/>
  <c r="W119"/>
  <c r="V119"/>
  <c r="U119"/>
  <c r="T119"/>
  <c r="P119"/>
  <c r="O119"/>
  <c r="N119"/>
  <c r="M119"/>
  <c r="J119"/>
  <c r="H119"/>
  <c r="G119"/>
  <c r="F119"/>
  <c r="BA118"/>
  <c r="AZ118"/>
  <c r="AY118"/>
  <c r="AX118"/>
  <c r="AW118"/>
  <c r="AZ117"/>
  <c r="AX117"/>
  <c r="AW117"/>
  <c r="AK119"/>
  <c r="AE117"/>
  <c r="AE119" s="1"/>
  <c r="AC117"/>
  <c r="AC119" s="1"/>
  <c r="AZ116"/>
  <c r="AY116"/>
  <c r="AX116"/>
  <c r="AW116"/>
  <c r="Q116"/>
  <c r="S116" s="1"/>
  <c r="S119" s="1"/>
  <c r="BA115"/>
  <c r="AZ115"/>
  <c r="AY115"/>
  <c r="AX115"/>
  <c r="AW115"/>
  <c r="AV119"/>
  <c r="AO119"/>
  <c r="Z119"/>
  <c r="L119"/>
  <c r="AT114"/>
  <c r="AS114"/>
  <c r="AP114"/>
  <c r="AL114"/>
  <c r="AH114"/>
  <c r="AD114"/>
  <c r="AB114"/>
  <c r="AA114"/>
  <c r="W114"/>
  <c r="V114"/>
  <c r="U114"/>
  <c r="T114"/>
  <c r="P114"/>
  <c r="O114"/>
  <c r="N114"/>
  <c r="M114"/>
  <c r="G114"/>
  <c r="F114"/>
  <c r="BA113"/>
  <c r="AZ113"/>
  <c r="AY113"/>
  <c r="AX113"/>
  <c r="AW113"/>
  <c r="AY112"/>
  <c r="AX112"/>
  <c r="AW112"/>
  <c r="AI112"/>
  <c r="AZ112"/>
  <c r="AY111"/>
  <c r="AX111"/>
  <c r="AW111"/>
  <c r="AI111"/>
  <c r="AZ111"/>
  <c r="BA110"/>
  <c r="AZ110"/>
  <c r="AY110"/>
  <c r="AX110"/>
  <c r="AW110"/>
  <c r="BA109"/>
  <c r="AZ109"/>
  <c r="AY109"/>
  <c r="AX109"/>
  <c r="AW109"/>
  <c r="AZ108"/>
  <c r="AX108"/>
  <c r="AW108"/>
  <c r="J108"/>
  <c r="BA108" s="1"/>
  <c r="H108"/>
  <c r="AZ107"/>
  <c r="AY107"/>
  <c r="AX107"/>
  <c r="AW107"/>
  <c r="X107"/>
  <c r="AZ106"/>
  <c r="AX106"/>
  <c r="AW106"/>
  <c r="AE106"/>
  <c r="H106"/>
  <c r="AY106" s="1"/>
  <c r="BA105"/>
  <c r="AZ105"/>
  <c r="AY105"/>
  <c r="AX105"/>
  <c r="AW105"/>
  <c r="AX104"/>
  <c r="AW104"/>
  <c r="AI104"/>
  <c r="AZ104"/>
  <c r="H104"/>
  <c r="AY104" s="1"/>
  <c r="AZ103"/>
  <c r="AY103"/>
  <c r="AX103"/>
  <c r="AW103"/>
  <c r="Q103"/>
  <c r="AZ102"/>
  <c r="AY102"/>
  <c r="AX102"/>
  <c r="AW102"/>
  <c r="AE102"/>
  <c r="AX101"/>
  <c r="AW101"/>
  <c r="AM101"/>
  <c r="AZ101"/>
  <c r="H101"/>
  <c r="AY101" s="1"/>
  <c r="AZ100"/>
  <c r="AX100"/>
  <c r="AW100"/>
  <c r="AR100"/>
  <c r="AI100"/>
  <c r="H100"/>
  <c r="L100" s="1"/>
  <c r="BA99"/>
  <c r="AZ99"/>
  <c r="AY99"/>
  <c r="AX99"/>
  <c r="AW99"/>
  <c r="AZ98"/>
  <c r="AX98"/>
  <c r="AW98"/>
  <c r="AI98"/>
  <c r="H98"/>
  <c r="AY98" s="1"/>
  <c r="AX97"/>
  <c r="AW97"/>
  <c r="AI97"/>
  <c r="AZ97"/>
  <c r="H97"/>
  <c r="AY97" s="1"/>
  <c r="BA96"/>
  <c r="AZ96"/>
  <c r="AY96"/>
  <c r="AX96"/>
  <c r="AW96"/>
  <c r="AZ95"/>
  <c r="AY95"/>
  <c r="AX95"/>
  <c r="AW95"/>
  <c r="Q95"/>
  <c r="AZ94"/>
  <c r="AX94"/>
  <c r="AW94"/>
  <c r="AM94"/>
  <c r="H94"/>
  <c r="AY94" s="1"/>
  <c r="AZ93"/>
  <c r="AY93"/>
  <c r="AX93"/>
  <c r="AW93"/>
  <c r="Q93"/>
  <c r="S93" s="1"/>
  <c r="BA92"/>
  <c r="AZ92"/>
  <c r="AY92"/>
  <c r="AX92"/>
  <c r="AW92"/>
  <c r="AX91"/>
  <c r="AW91"/>
  <c r="Q91"/>
  <c r="AZ91"/>
  <c r="H91"/>
  <c r="AY91" s="1"/>
  <c r="AX90"/>
  <c r="AW90"/>
  <c r="AI90"/>
  <c r="AZ90"/>
  <c r="H90"/>
  <c r="AY90" s="1"/>
  <c r="AZ89"/>
  <c r="AX89"/>
  <c r="AW89"/>
  <c r="AE89"/>
  <c r="H89"/>
  <c r="AY89" s="1"/>
  <c r="AZ88"/>
  <c r="AY88"/>
  <c r="AX88"/>
  <c r="AW88"/>
  <c r="AE88"/>
  <c r="AG88" s="1"/>
  <c r="BA87"/>
  <c r="AZ87"/>
  <c r="AY87"/>
  <c r="AX87"/>
  <c r="AW87"/>
  <c r="AZ86"/>
  <c r="AX86"/>
  <c r="AW86"/>
  <c r="J86"/>
  <c r="H86"/>
  <c r="AZ85"/>
  <c r="AY85"/>
  <c r="AX85"/>
  <c r="AW85"/>
  <c r="AE85"/>
  <c r="BA85" s="1"/>
  <c r="AX84"/>
  <c r="AW84"/>
  <c r="AI84"/>
  <c r="AC84"/>
  <c r="AZ84"/>
  <c r="AW83"/>
  <c r="AQ83"/>
  <c r="AM83"/>
  <c r="AC83"/>
  <c r="H83"/>
  <c r="AT82"/>
  <c r="AS82"/>
  <c r="AR82"/>
  <c r="AQ82"/>
  <c r="AP82"/>
  <c r="AM82"/>
  <c r="AL82"/>
  <c r="AK82"/>
  <c r="AI82"/>
  <c r="AH82"/>
  <c r="AE82"/>
  <c r="AD82"/>
  <c r="AC82"/>
  <c r="AB82"/>
  <c r="AA82"/>
  <c r="X82"/>
  <c r="W82"/>
  <c r="V82"/>
  <c r="U82"/>
  <c r="T82"/>
  <c r="Q82"/>
  <c r="P82"/>
  <c r="O82"/>
  <c r="N82"/>
  <c r="M82"/>
  <c r="G82"/>
  <c r="F82"/>
  <c r="AZ81"/>
  <c r="AX81"/>
  <c r="AX82" s="1"/>
  <c r="AW81"/>
  <c r="AW82" s="1"/>
  <c r="AV82"/>
  <c r="AO82"/>
  <c r="AG82"/>
  <c r="Z82"/>
  <c r="S82"/>
  <c r="J81"/>
  <c r="J82" s="1"/>
  <c r="H81"/>
  <c r="H82" s="1"/>
  <c r="AT80"/>
  <c r="AS80"/>
  <c r="AR80"/>
  <c r="AQ80"/>
  <c r="AP80"/>
  <c r="AM80"/>
  <c r="AL80"/>
  <c r="AI80"/>
  <c r="AH80"/>
  <c r="AD80"/>
  <c r="AC80"/>
  <c r="AB80"/>
  <c r="AA80"/>
  <c r="X80"/>
  <c r="W80"/>
  <c r="V80"/>
  <c r="U80"/>
  <c r="T80"/>
  <c r="Q80"/>
  <c r="P80"/>
  <c r="O80"/>
  <c r="N80"/>
  <c r="M80"/>
  <c r="G80"/>
  <c r="F80"/>
  <c r="AZ79"/>
  <c r="AY79"/>
  <c r="AX79"/>
  <c r="AW79"/>
  <c r="J79"/>
  <c r="BA79" s="1"/>
  <c r="BA78"/>
  <c r="AZ78"/>
  <c r="AY78"/>
  <c r="AX78"/>
  <c r="AW78"/>
  <c r="BA77"/>
  <c r="AZ77"/>
  <c r="AY77"/>
  <c r="AX77"/>
  <c r="AW77"/>
  <c r="AZ76"/>
  <c r="AY76"/>
  <c r="AX76"/>
  <c r="AW76"/>
  <c r="AE76"/>
  <c r="AG76" s="1"/>
  <c r="AZ75"/>
  <c r="AY75"/>
  <c r="AX75"/>
  <c r="AW75"/>
  <c r="J75"/>
  <c r="BA75" s="1"/>
  <c r="AZ74"/>
  <c r="AX74"/>
  <c r="AW74"/>
  <c r="J74"/>
  <c r="H74"/>
  <c r="AY74" s="1"/>
  <c r="BA73"/>
  <c r="AZ73"/>
  <c r="AY73"/>
  <c r="AX73"/>
  <c r="AW73"/>
  <c r="AK80"/>
  <c r="BA72"/>
  <c r="AZ72"/>
  <c r="AX72"/>
  <c r="AW72"/>
  <c r="H72"/>
  <c r="L72" s="1"/>
  <c r="BA71"/>
  <c r="AZ71"/>
  <c r="AY71"/>
  <c r="AX71"/>
  <c r="AW71"/>
  <c r="AV80"/>
  <c r="AO80"/>
  <c r="AG80"/>
  <c r="Z80"/>
  <c r="S80"/>
  <c r="AT70"/>
  <c r="AS70"/>
  <c r="AR70"/>
  <c r="AQ70"/>
  <c r="AP70"/>
  <c r="AO70"/>
  <c r="AM70"/>
  <c r="AL70"/>
  <c r="AI70"/>
  <c r="AH70"/>
  <c r="AG70"/>
  <c r="AE70"/>
  <c r="AD70"/>
  <c r="AC70"/>
  <c r="AB70"/>
  <c r="AA70"/>
  <c r="X70"/>
  <c r="W70"/>
  <c r="V70"/>
  <c r="U70"/>
  <c r="T70"/>
  <c r="S70"/>
  <c r="Q70"/>
  <c r="P70"/>
  <c r="O70"/>
  <c r="N70"/>
  <c r="M70"/>
  <c r="J70"/>
  <c r="H70"/>
  <c r="G70"/>
  <c r="F70"/>
  <c r="BA69"/>
  <c r="BA70" s="1"/>
  <c r="AZ69"/>
  <c r="AZ70" s="1"/>
  <c r="AY69"/>
  <c r="AY70" s="1"/>
  <c r="AX69"/>
  <c r="AW69"/>
  <c r="AW70" s="1"/>
  <c r="AV70"/>
  <c r="AK70"/>
  <c r="Z70"/>
  <c r="L70"/>
  <c r="AT68"/>
  <c r="AS68"/>
  <c r="AR68"/>
  <c r="AQ68"/>
  <c r="AP68"/>
  <c r="AM68"/>
  <c r="AL68"/>
  <c r="AH68"/>
  <c r="AE68"/>
  <c r="AD68"/>
  <c r="AC68"/>
  <c r="AB68"/>
  <c r="AA68"/>
  <c r="X68"/>
  <c r="W68"/>
  <c r="V68"/>
  <c r="U68"/>
  <c r="T68"/>
  <c r="Q68"/>
  <c r="P68"/>
  <c r="O68"/>
  <c r="N68"/>
  <c r="M68"/>
  <c r="J68"/>
  <c r="H68"/>
  <c r="G68"/>
  <c r="F68"/>
  <c r="BA67"/>
  <c r="AZ67"/>
  <c r="AY67"/>
  <c r="AX67"/>
  <c r="AW67"/>
  <c r="AY66"/>
  <c r="AX66"/>
  <c r="AW66"/>
  <c r="AI66"/>
  <c r="AZ66"/>
  <c r="AZ65"/>
  <c r="AY65"/>
  <c r="AX65"/>
  <c r="AW65"/>
  <c r="AI65"/>
  <c r="BA64"/>
  <c r="AZ64"/>
  <c r="AY64"/>
  <c r="AX64"/>
  <c r="AW64"/>
  <c r="AV68"/>
  <c r="AO68"/>
  <c r="AG68"/>
  <c r="Z68"/>
  <c r="S68"/>
  <c r="AT63"/>
  <c r="AS63"/>
  <c r="AR63"/>
  <c r="AQ63"/>
  <c r="AP63"/>
  <c r="AM63"/>
  <c r="AL63"/>
  <c r="AI63"/>
  <c r="AH63"/>
  <c r="AD63"/>
  <c r="AB63"/>
  <c r="AA63"/>
  <c r="X63"/>
  <c r="W63"/>
  <c r="V63"/>
  <c r="U63"/>
  <c r="T63"/>
  <c r="Q63"/>
  <c r="P63"/>
  <c r="O63"/>
  <c r="N63"/>
  <c r="M63"/>
  <c r="G63"/>
  <c r="F63"/>
  <c r="BA62"/>
  <c r="AZ62"/>
  <c r="AY62"/>
  <c r="AX62"/>
  <c r="AW62"/>
  <c r="AZ61"/>
  <c r="AY61"/>
  <c r="AX61"/>
  <c r="AW61"/>
  <c r="J61"/>
  <c r="BA61" s="1"/>
  <c r="AZ60"/>
  <c r="AY60"/>
  <c r="AX60"/>
  <c r="AW60"/>
  <c r="AE60"/>
  <c r="AG60" s="1"/>
  <c r="BA59"/>
  <c r="AZ59"/>
  <c r="AX59"/>
  <c r="AW59"/>
  <c r="H59"/>
  <c r="AY59" s="1"/>
  <c r="BA58"/>
  <c r="AZ58"/>
  <c r="AX58"/>
  <c r="AW58"/>
  <c r="H58"/>
  <c r="AY58" s="1"/>
  <c r="BA57"/>
  <c r="AZ57"/>
  <c r="AY57"/>
  <c r="AX57"/>
  <c r="AW57"/>
  <c r="BA56"/>
  <c r="AZ56"/>
  <c r="AY56"/>
  <c r="AX56"/>
  <c r="AW56"/>
  <c r="AV63"/>
  <c r="Z63"/>
  <c r="AZ55"/>
  <c r="AX55"/>
  <c r="AW55"/>
  <c r="AO63"/>
  <c r="AK63"/>
  <c r="AE55"/>
  <c r="AE63" s="1"/>
  <c r="AC55"/>
  <c r="S63"/>
  <c r="AT54"/>
  <c r="AS54"/>
  <c r="AR54"/>
  <c r="AQ54"/>
  <c r="AP54"/>
  <c r="AM54"/>
  <c r="AL54"/>
  <c r="AH54"/>
  <c r="AD54"/>
  <c r="AB54"/>
  <c r="AA54"/>
  <c r="X54"/>
  <c r="W54"/>
  <c r="V54"/>
  <c r="U54"/>
  <c r="T54"/>
  <c r="Q54"/>
  <c r="P54"/>
  <c r="O54"/>
  <c r="N54"/>
  <c r="M54"/>
  <c r="G54"/>
  <c r="F54"/>
  <c r="AX53"/>
  <c r="AW53"/>
  <c r="AI53"/>
  <c r="H53"/>
  <c r="AY53" s="1"/>
  <c r="BA52"/>
  <c r="AZ52"/>
  <c r="AX52"/>
  <c r="AW52"/>
  <c r="H52"/>
  <c r="AY52" s="1"/>
  <c r="AZ51"/>
  <c r="AX51"/>
  <c r="AW51"/>
  <c r="J51"/>
  <c r="J54" s="1"/>
  <c r="H51"/>
  <c r="AY51" s="1"/>
  <c r="BA50"/>
  <c r="AZ50"/>
  <c r="AX50"/>
  <c r="AW50"/>
  <c r="H50"/>
  <c r="L50" s="1"/>
  <c r="BA49"/>
  <c r="AZ49"/>
  <c r="AY49"/>
  <c r="AX49"/>
  <c r="AW49"/>
  <c r="BA48"/>
  <c r="AZ48"/>
  <c r="AY48"/>
  <c r="AX48"/>
  <c r="AW48"/>
  <c r="AV54"/>
  <c r="AX47"/>
  <c r="AW47"/>
  <c r="AI47"/>
  <c r="AK47" s="1"/>
  <c r="AZ47"/>
  <c r="H47"/>
  <c r="AZ46"/>
  <c r="AX46"/>
  <c r="AW46"/>
  <c r="AO54"/>
  <c r="AE46"/>
  <c r="AE54" s="1"/>
  <c r="AC46"/>
  <c r="S54"/>
  <c r="AT45"/>
  <c r="AS45"/>
  <c r="AR45"/>
  <c r="AQ45"/>
  <c r="AP45"/>
  <c r="AM45"/>
  <c r="AL45"/>
  <c r="AH45"/>
  <c r="AE45"/>
  <c r="AD45"/>
  <c r="AB45"/>
  <c r="AA45"/>
  <c r="X45"/>
  <c r="W45"/>
  <c r="V45"/>
  <c r="U45"/>
  <c r="T45"/>
  <c r="P45"/>
  <c r="O45"/>
  <c r="N45"/>
  <c r="M45"/>
  <c r="G45"/>
  <c r="F45"/>
  <c r="BA44"/>
  <c r="AZ44"/>
  <c r="AY44"/>
  <c r="AX44"/>
  <c r="AW44"/>
  <c r="AZ43"/>
  <c r="AX43"/>
  <c r="AW43"/>
  <c r="J43"/>
  <c r="J45" s="1"/>
  <c r="H43"/>
  <c r="AY43" s="1"/>
  <c r="BA42"/>
  <c r="AZ42"/>
  <c r="AY42"/>
  <c r="AX42"/>
  <c r="AW42"/>
  <c r="BA41"/>
  <c r="AZ41"/>
  <c r="AY41"/>
  <c r="AX41"/>
  <c r="AW41"/>
  <c r="AZ40"/>
  <c r="AY40"/>
  <c r="AX40"/>
  <c r="AW40"/>
  <c r="AI40"/>
  <c r="BA39"/>
  <c r="AZ39"/>
  <c r="AY39"/>
  <c r="AX39"/>
  <c r="AW39"/>
  <c r="AZ38"/>
  <c r="AY38"/>
  <c r="AX38"/>
  <c r="AW38"/>
  <c r="Q38"/>
  <c r="S38" s="1"/>
  <c r="BA37"/>
  <c r="AZ37"/>
  <c r="AX37"/>
  <c r="AW37"/>
  <c r="AC37"/>
  <c r="AG37" s="1"/>
  <c r="BA36"/>
  <c r="AZ36"/>
  <c r="AX36"/>
  <c r="AW36"/>
  <c r="AV45"/>
  <c r="AO45"/>
  <c r="Z45"/>
  <c r="H36"/>
  <c r="L36" s="1"/>
  <c r="J35"/>
  <c r="G35"/>
  <c r="F35"/>
  <c r="BA33"/>
  <c r="AZ33"/>
  <c r="AY33"/>
  <c r="AX33"/>
  <c r="AW33"/>
  <c r="BA32"/>
  <c r="AZ32"/>
  <c r="AX32"/>
  <c r="AW32"/>
  <c r="H32"/>
  <c r="AY32" s="1"/>
  <c r="BA31"/>
  <c r="AZ31"/>
  <c r="AY31"/>
  <c r="AX31"/>
  <c r="AW31"/>
  <c r="AT30"/>
  <c r="AS30"/>
  <c r="AR30"/>
  <c r="AQ30"/>
  <c r="AP30"/>
  <c r="AM30"/>
  <c r="AL30"/>
  <c r="AI30"/>
  <c r="AH30"/>
  <c r="AE30"/>
  <c r="AD30"/>
  <c r="AC30"/>
  <c r="AB30"/>
  <c r="AA30"/>
  <c r="X30"/>
  <c r="W30"/>
  <c r="V30"/>
  <c r="U30"/>
  <c r="T30"/>
  <c r="Q30"/>
  <c r="P30"/>
  <c r="O30"/>
  <c r="N30"/>
  <c r="M30"/>
  <c r="J30"/>
  <c r="H30"/>
  <c r="G30"/>
  <c r="F30"/>
  <c r="BA29"/>
  <c r="AZ29"/>
  <c r="AY29"/>
  <c r="AX29"/>
  <c r="AW29"/>
  <c r="BA28"/>
  <c r="AZ28"/>
  <c r="AY28"/>
  <c r="AX28"/>
  <c r="AW28"/>
  <c r="AV30"/>
  <c r="AO30"/>
  <c r="AG30"/>
  <c r="Z30"/>
  <c r="S30"/>
  <c r="L30"/>
  <c r="AT27"/>
  <c r="AS27"/>
  <c r="AR27"/>
  <c r="AQ27"/>
  <c r="AP27"/>
  <c r="AM27"/>
  <c r="AL27"/>
  <c r="AH27"/>
  <c r="AD27"/>
  <c r="AB27"/>
  <c r="AA27"/>
  <c r="X27"/>
  <c r="W27"/>
  <c r="V27"/>
  <c r="U27"/>
  <c r="T27"/>
  <c r="Q27"/>
  <c r="P27"/>
  <c r="O27"/>
  <c r="N27"/>
  <c r="M27"/>
  <c r="G27"/>
  <c r="F27"/>
  <c r="BA26"/>
  <c r="AZ26"/>
  <c r="AY26"/>
  <c r="AX26"/>
  <c r="AW26"/>
  <c r="AZ25"/>
  <c r="AY25"/>
  <c r="AX25"/>
  <c r="AW25"/>
  <c r="AE25"/>
  <c r="AZ24"/>
  <c r="AX24"/>
  <c r="AW24"/>
  <c r="J24"/>
  <c r="BA24" s="1"/>
  <c r="H24"/>
  <c r="H27" s="1"/>
  <c r="AX23"/>
  <c r="AW23"/>
  <c r="AI23"/>
  <c r="AC23"/>
  <c r="AZ23"/>
  <c r="AY22"/>
  <c r="AX22"/>
  <c r="AW22"/>
  <c r="AV27"/>
  <c r="AO27"/>
  <c r="AI22"/>
  <c r="Z27"/>
  <c r="S27"/>
  <c r="AT21"/>
  <c r="AS21"/>
  <c r="AR21"/>
  <c r="AQ21"/>
  <c r="AP21"/>
  <c r="AM21"/>
  <c r="AL21"/>
  <c r="AI21"/>
  <c r="AH21"/>
  <c r="AE21"/>
  <c r="AD21"/>
  <c r="AC21"/>
  <c r="AB21"/>
  <c r="AA21"/>
  <c r="X21"/>
  <c r="W21"/>
  <c r="V21"/>
  <c r="U21"/>
  <c r="T21"/>
  <c r="Q21"/>
  <c r="P21"/>
  <c r="O21"/>
  <c r="N21"/>
  <c r="M21"/>
  <c r="G21"/>
  <c r="F21"/>
  <c r="AZ20"/>
  <c r="AX20"/>
  <c r="AW20"/>
  <c r="J20"/>
  <c r="BA20" s="1"/>
  <c r="H20"/>
  <c r="BA19"/>
  <c r="AZ19"/>
  <c r="AY19"/>
  <c r="AX19"/>
  <c r="AW19"/>
  <c r="AO21"/>
  <c r="AG21"/>
  <c r="AZ17"/>
  <c r="AY17"/>
  <c r="AX17"/>
  <c r="AW17"/>
  <c r="AV21"/>
  <c r="Z21"/>
  <c r="AT16"/>
  <c r="AS16"/>
  <c r="AR16"/>
  <c r="AQ16"/>
  <c r="AP16"/>
  <c r="AL16"/>
  <c r="AH16"/>
  <c r="AD16"/>
  <c r="AB16"/>
  <c r="AA16"/>
  <c r="X16"/>
  <c r="W16"/>
  <c r="V16"/>
  <c r="U16"/>
  <c r="T16"/>
  <c r="P16"/>
  <c r="O16"/>
  <c r="N16"/>
  <c r="M16"/>
  <c r="J16"/>
  <c r="G16"/>
  <c r="F16"/>
  <c r="AX15"/>
  <c r="AW15"/>
  <c r="Q15"/>
  <c r="AZ15"/>
  <c r="H15"/>
  <c r="AY15" s="1"/>
  <c r="AZ14"/>
  <c r="AX14"/>
  <c r="AW14"/>
  <c r="AI14"/>
  <c r="AC14"/>
  <c r="AG14" s="1"/>
  <c r="H14"/>
  <c r="L14" s="1"/>
  <c r="AZ13"/>
  <c r="AY13"/>
  <c r="AX13"/>
  <c r="AW13"/>
  <c r="Q13"/>
  <c r="BA13" s="1"/>
  <c r="AZ12"/>
  <c r="AX12"/>
  <c r="AW12"/>
  <c r="AE12"/>
  <c r="BA12" s="1"/>
  <c r="AC12"/>
  <c r="AZ11"/>
  <c r="AY11"/>
  <c r="AX11"/>
  <c r="AW11"/>
  <c r="AI11"/>
  <c r="AZ10"/>
  <c r="AX10"/>
  <c r="AW10"/>
  <c r="AE10"/>
  <c r="AC10"/>
  <c r="AZ9"/>
  <c r="AY9"/>
  <c r="AX9"/>
  <c r="AW9"/>
  <c r="AM9"/>
  <c r="AX8"/>
  <c r="AW8"/>
  <c r="AI8"/>
  <c r="AK8" s="1"/>
  <c r="AC8"/>
  <c r="AG8" s="1"/>
  <c r="AZ8"/>
  <c r="H8"/>
  <c r="L8" s="1"/>
  <c r="AZ7"/>
  <c r="AX7"/>
  <c r="AW7"/>
  <c r="AI7"/>
  <c r="AC7"/>
  <c r="AY6"/>
  <c r="AX6"/>
  <c r="AW6"/>
  <c r="AI6"/>
  <c r="AZ6"/>
  <c r="AX5"/>
  <c r="AW5"/>
  <c r="AI5"/>
  <c r="AC5"/>
  <c r="Z16"/>
  <c r="H5"/>
  <c r="AX27" l="1"/>
  <c r="AY83"/>
  <c r="J114"/>
  <c r="L108"/>
  <c r="BA135"/>
  <c r="BA76"/>
  <c r="AE80"/>
  <c r="BA81"/>
  <c r="BA82" s="1"/>
  <c r="AY50"/>
  <c r="BC13"/>
  <c r="L20"/>
  <c r="L21" s="1"/>
  <c r="AY35"/>
  <c r="BA60"/>
  <c r="BC60" s="1"/>
  <c r="BC176"/>
  <c r="BC180"/>
  <c r="BC188"/>
  <c r="BC196"/>
  <c r="M226"/>
  <c r="T226"/>
  <c r="AX35"/>
  <c r="BC41"/>
  <c r="BC48"/>
  <c r="AW114"/>
  <c r="BC131"/>
  <c r="H16"/>
  <c r="J21"/>
  <c r="AX21"/>
  <c r="BC19"/>
  <c r="BC44"/>
  <c r="H54"/>
  <c r="BC56"/>
  <c r="AY68"/>
  <c r="BC67"/>
  <c r="BC73"/>
  <c r="L86"/>
  <c r="BC87"/>
  <c r="AX119"/>
  <c r="AK146"/>
  <c r="AK147" s="1"/>
  <c r="BA14"/>
  <c r="AK14"/>
  <c r="AY5"/>
  <c r="AG5"/>
  <c r="AM16"/>
  <c r="AO9"/>
  <c r="AO16" s="1"/>
  <c r="BA11"/>
  <c r="BC11" s="1"/>
  <c r="AK11"/>
  <c r="BA66"/>
  <c r="BC66" s="1"/>
  <c r="AK66"/>
  <c r="AC114"/>
  <c r="AG83"/>
  <c r="BA89"/>
  <c r="AG89"/>
  <c r="BA100"/>
  <c r="AK100"/>
  <c r="AI144"/>
  <c r="AK138"/>
  <c r="AK144" s="1"/>
  <c r="X144"/>
  <c r="Z140"/>
  <c r="Z144" s="1"/>
  <c r="P144"/>
  <c r="P226" s="1"/>
  <c r="S143"/>
  <c r="AE164"/>
  <c r="AG157"/>
  <c r="AM164"/>
  <c r="AO161"/>
  <c r="BA167"/>
  <c r="AG167"/>
  <c r="BA174"/>
  <c r="BC174" s="1"/>
  <c r="AK174"/>
  <c r="BA182"/>
  <c r="AK182"/>
  <c r="BA184"/>
  <c r="BC184" s="1"/>
  <c r="AG184"/>
  <c r="Q208"/>
  <c r="S191"/>
  <c r="BA194"/>
  <c r="BC194" s="1"/>
  <c r="AO194"/>
  <c r="BA200"/>
  <c r="BC200" s="1"/>
  <c r="AG200"/>
  <c r="BA215"/>
  <c r="BC215" s="1"/>
  <c r="AK215"/>
  <c r="BA216"/>
  <c r="BC216" s="1"/>
  <c r="AK216"/>
  <c r="AE224"/>
  <c r="AG222"/>
  <c r="AG224" s="1"/>
  <c r="AT226"/>
  <c r="AX16"/>
  <c r="AE16"/>
  <c r="F226"/>
  <c r="N226"/>
  <c r="AL226"/>
  <c r="AZ35"/>
  <c r="AW45"/>
  <c r="BC42"/>
  <c r="BA46"/>
  <c r="BC49"/>
  <c r="BC52"/>
  <c r="BC57"/>
  <c r="BC64"/>
  <c r="BC76"/>
  <c r="BC79"/>
  <c r="BA93"/>
  <c r="BC105"/>
  <c r="AY108"/>
  <c r="BA116"/>
  <c r="BC116" s="1"/>
  <c r="Q119"/>
  <c r="BC132"/>
  <c r="BC135"/>
  <c r="AX147"/>
  <c r="AX155"/>
  <c r="BC153"/>
  <c r="AY170"/>
  <c r="BC167"/>
  <c r="BC168"/>
  <c r="AW208"/>
  <c r="BC173"/>
  <c r="BC177"/>
  <c r="BC193"/>
  <c r="BC197"/>
  <c r="BC201"/>
  <c r="AW224"/>
  <c r="H224"/>
  <c r="BC213"/>
  <c r="BC222"/>
  <c r="L43"/>
  <c r="L52"/>
  <c r="L61"/>
  <c r="L81"/>
  <c r="L90"/>
  <c r="L94"/>
  <c r="L98"/>
  <c r="L106"/>
  <c r="L187"/>
  <c r="L191"/>
  <c r="L217"/>
  <c r="L221"/>
  <c r="BA7"/>
  <c r="AK7"/>
  <c r="AY10"/>
  <c r="AG10"/>
  <c r="BA40"/>
  <c r="BC40" s="1"/>
  <c r="AK40"/>
  <c r="BA53"/>
  <c r="AK53"/>
  <c r="Q114"/>
  <c r="S91"/>
  <c r="BA101"/>
  <c r="BC101" s="1"/>
  <c r="AO101"/>
  <c r="BA103"/>
  <c r="BC103" s="1"/>
  <c r="S103"/>
  <c r="BA106"/>
  <c r="AG106"/>
  <c r="X114"/>
  <c r="Z107"/>
  <c r="Z114" s="1"/>
  <c r="AQ144"/>
  <c r="AV128"/>
  <c r="AV144" s="1"/>
  <c r="AE144"/>
  <c r="AG130"/>
  <c r="AE147"/>
  <c r="AG145"/>
  <c r="Q155"/>
  <c r="S151"/>
  <c r="BA160"/>
  <c r="BC160" s="1"/>
  <c r="AG160"/>
  <c r="AE170"/>
  <c r="AG166"/>
  <c r="BA207"/>
  <c r="BC207" s="1"/>
  <c r="AG207"/>
  <c r="Q210"/>
  <c r="S209"/>
  <c r="S210" s="1"/>
  <c r="BC75"/>
  <c r="BC89"/>
  <c r="BC93"/>
  <c r="BC182"/>
  <c r="BC221"/>
  <c r="L15"/>
  <c r="L32"/>
  <c r="L35" s="1"/>
  <c r="L47"/>
  <c r="L51"/>
  <c r="L75"/>
  <c r="L79"/>
  <c r="L89"/>
  <c r="L97"/>
  <c r="L101"/>
  <c r="L156"/>
  <c r="L174"/>
  <c r="L178"/>
  <c r="L182"/>
  <c r="L190"/>
  <c r="L194"/>
  <c r="L212"/>
  <c r="AI16"/>
  <c r="AK5"/>
  <c r="BA6"/>
  <c r="AK6"/>
  <c r="AY7"/>
  <c r="BC7" s="1"/>
  <c r="AG7"/>
  <c r="BA22"/>
  <c r="AK22"/>
  <c r="BA23"/>
  <c r="AK23"/>
  <c r="AE27"/>
  <c r="AG25"/>
  <c r="AC54"/>
  <c r="AG46"/>
  <c r="AY55"/>
  <c r="AG55"/>
  <c r="BA65"/>
  <c r="BC65" s="1"/>
  <c r="AK65"/>
  <c r="AQ114"/>
  <c r="AV83"/>
  <c r="AI114"/>
  <c r="AK84"/>
  <c r="BA90"/>
  <c r="AK90"/>
  <c r="BA94"/>
  <c r="BC94" s="1"/>
  <c r="AO94"/>
  <c r="BA95"/>
  <c r="S95"/>
  <c r="BA97"/>
  <c r="AK97"/>
  <c r="BA98"/>
  <c r="BC98" s="1"/>
  <c r="AK98"/>
  <c r="BA102"/>
  <c r="BC102" s="1"/>
  <c r="AG102"/>
  <c r="BA104"/>
  <c r="BC104" s="1"/>
  <c r="AK104"/>
  <c r="BA112"/>
  <c r="AK112"/>
  <c r="AM144"/>
  <c r="AO129"/>
  <c r="BA163"/>
  <c r="BC163" s="1"/>
  <c r="Z163"/>
  <c r="Q170"/>
  <c r="S169"/>
  <c r="BA171"/>
  <c r="BC171" s="1"/>
  <c r="AG171"/>
  <c r="AQ208"/>
  <c r="AV183"/>
  <c r="BA198"/>
  <c r="BC198" s="1"/>
  <c r="AG198"/>
  <c r="BA204"/>
  <c r="S204"/>
  <c r="AR224"/>
  <c r="AV220"/>
  <c r="AV224" s="1"/>
  <c r="BA9"/>
  <c r="BC9" s="1"/>
  <c r="W226"/>
  <c r="BC26"/>
  <c r="J27"/>
  <c r="BC29"/>
  <c r="BC33"/>
  <c r="H35"/>
  <c r="AY47"/>
  <c r="BC50"/>
  <c r="AW63"/>
  <c r="BC59"/>
  <c r="BC61"/>
  <c r="BC62"/>
  <c r="AX68"/>
  <c r="AX80"/>
  <c r="H80"/>
  <c r="J80"/>
  <c r="BC78"/>
  <c r="BA88"/>
  <c r="BC88" s="1"/>
  <c r="BC95"/>
  <c r="BC96"/>
  <c r="BC110"/>
  <c r="BC118"/>
  <c r="AX128"/>
  <c r="BC128" s="1"/>
  <c r="H144"/>
  <c r="BC134"/>
  <c r="BC139"/>
  <c r="AX164"/>
  <c r="AW170"/>
  <c r="BC187"/>
  <c r="BC190"/>
  <c r="BC195"/>
  <c r="BC199"/>
  <c r="BC203"/>
  <c r="J224"/>
  <c r="BC217"/>
  <c r="BC223"/>
  <c r="L59"/>
  <c r="L74"/>
  <c r="L104"/>
  <c r="L124"/>
  <c r="L125" s="1"/>
  <c r="L139"/>
  <c r="L143"/>
  <c r="L150"/>
  <c r="L154"/>
  <c r="L189"/>
  <c r="L211"/>
  <c r="L215"/>
  <c r="Q16"/>
  <c r="S13"/>
  <c r="S16" s="1"/>
  <c r="AY12"/>
  <c r="BC12" s="1"/>
  <c r="AG12"/>
  <c r="BA15"/>
  <c r="BC15" s="1"/>
  <c r="S15"/>
  <c r="AC27"/>
  <c r="AG23"/>
  <c r="BA83"/>
  <c r="AO83"/>
  <c r="AY84"/>
  <c r="AG84"/>
  <c r="AE114"/>
  <c r="AG85"/>
  <c r="AR114"/>
  <c r="AV100"/>
  <c r="BA111"/>
  <c r="BC111" s="1"/>
  <c r="AK111"/>
  <c r="AY117"/>
  <c r="AG117"/>
  <c r="Q144"/>
  <c r="S141"/>
  <c r="X164"/>
  <c r="Z158"/>
  <c r="AC164"/>
  <c r="AG162"/>
  <c r="AI208"/>
  <c r="AK172"/>
  <c r="AK208" s="1"/>
  <c r="BA181"/>
  <c r="BC181" s="1"/>
  <c r="Z181"/>
  <c r="BA192"/>
  <c r="BC192" s="1"/>
  <c r="S192"/>
  <c r="BA205"/>
  <c r="BC205" s="1"/>
  <c r="Z205"/>
  <c r="BA212"/>
  <c r="AK212"/>
  <c r="Q224"/>
  <c r="S220"/>
  <c r="S224" s="1"/>
  <c r="V226"/>
  <c r="V228" s="1"/>
  <c r="V230" s="1"/>
  <c r="AP226"/>
  <c r="AZ21"/>
  <c r="AW35"/>
  <c r="BA35"/>
  <c r="BC32"/>
  <c r="BC39"/>
  <c r="AI45"/>
  <c r="BA55"/>
  <c r="AX63"/>
  <c r="BC58"/>
  <c r="AW68"/>
  <c r="BC77"/>
  <c r="BC85"/>
  <c r="BC90"/>
  <c r="BC92"/>
  <c r="BC97"/>
  <c r="BC99"/>
  <c r="BC108"/>
  <c r="BC109"/>
  <c r="BC112"/>
  <c r="BC113"/>
  <c r="AX123"/>
  <c r="AW144"/>
  <c r="BC137"/>
  <c r="BC142"/>
  <c r="BC159"/>
  <c r="BC165"/>
  <c r="BC186"/>
  <c r="BC202"/>
  <c r="BC204"/>
  <c r="BC206"/>
  <c r="AX224"/>
  <c r="L5"/>
  <c r="L24"/>
  <c r="L27" s="1"/>
  <c r="L53"/>
  <c r="L58"/>
  <c r="L63" s="1"/>
  <c r="L83"/>
  <c r="L91"/>
  <c r="L133"/>
  <c r="L138"/>
  <c r="L192"/>
  <c r="L204"/>
  <c r="L218"/>
  <c r="BC152"/>
  <c r="AZ119"/>
  <c r="BC115"/>
  <c r="AZ210"/>
  <c r="BC209"/>
  <c r="BC210" s="1"/>
  <c r="BC31"/>
  <c r="AZ80"/>
  <c r="BC71"/>
  <c r="AZ82"/>
  <c r="BC6"/>
  <c r="AZ30"/>
  <c r="BC28"/>
  <c r="BC30" s="1"/>
  <c r="AZ123"/>
  <c r="BC120"/>
  <c r="AZ149"/>
  <c r="BC148"/>
  <c r="BC149" s="1"/>
  <c r="AZ45"/>
  <c r="AZ125"/>
  <c r="AZ127"/>
  <c r="BC126"/>
  <c r="BC127" s="1"/>
  <c r="BC106"/>
  <c r="BA123"/>
  <c r="AD226"/>
  <c r="AD228" s="1"/>
  <c r="AD230" s="1"/>
  <c r="AQ226"/>
  <c r="AB226"/>
  <c r="AB228" s="1"/>
  <c r="AB230" s="1"/>
  <c r="AX70"/>
  <c r="BC69"/>
  <c r="BC70" s="1"/>
  <c r="G226"/>
  <c r="G228" s="1"/>
  <c r="O226"/>
  <c r="U226"/>
  <c r="AA226"/>
  <c r="AS226"/>
  <c r="K226"/>
  <c r="AW30"/>
  <c r="AY30"/>
  <c r="BA30"/>
  <c r="AZ63"/>
  <c r="AW16"/>
  <c r="AW21"/>
  <c r="AW27"/>
  <c r="AX45"/>
  <c r="AX54"/>
  <c r="AY63"/>
  <c r="BA63"/>
  <c r="AZ68"/>
  <c r="AW80"/>
  <c r="AW119"/>
  <c r="AY119"/>
  <c r="AW123"/>
  <c r="AX144"/>
  <c r="AW147"/>
  <c r="AY147"/>
  <c r="AW155"/>
  <c r="AZ155"/>
  <c r="AW164"/>
  <c r="AZ164"/>
  <c r="AX170"/>
  <c r="AZ170"/>
  <c r="AI54"/>
  <c r="BA5"/>
  <c r="AY8"/>
  <c r="BA8"/>
  <c r="AZ5"/>
  <c r="AZ16" s="1"/>
  <c r="BA10"/>
  <c r="BC10" s="1"/>
  <c r="AY14"/>
  <c r="BC14" s="1"/>
  <c r="AC16"/>
  <c r="BA17"/>
  <c r="AY20"/>
  <c r="AY21" s="1"/>
  <c r="H21"/>
  <c r="AZ22"/>
  <c r="AG27"/>
  <c r="AY24"/>
  <c r="BC24" s="1"/>
  <c r="BA25"/>
  <c r="BA27" s="1"/>
  <c r="AI27"/>
  <c r="AX30"/>
  <c r="AK45"/>
  <c r="L45"/>
  <c r="BA43"/>
  <c r="BC43" s="1"/>
  <c r="AK54"/>
  <c r="Z54"/>
  <c r="BA47"/>
  <c r="BA68"/>
  <c r="H45"/>
  <c r="AY36"/>
  <c r="BC36" s="1"/>
  <c r="AC45"/>
  <c r="AY37"/>
  <c r="BC37" s="1"/>
  <c r="AG45"/>
  <c r="Q45"/>
  <c r="Q226" s="1"/>
  <c r="BA38"/>
  <c r="BC38" s="1"/>
  <c r="S45"/>
  <c r="AW54"/>
  <c r="AY23"/>
  <c r="AY27" s="1"/>
  <c r="AG54"/>
  <c r="AY46"/>
  <c r="BA51"/>
  <c r="BC51" s="1"/>
  <c r="H63"/>
  <c r="J63"/>
  <c r="AC63"/>
  <c r="AK68"/>
  <c r="L68"/>
  <c r="AI68"/>
  <c r="L80"/>
  <c r="AV114"/>
  <c r="AX83"/>
  <c r="AX114" s="1"/>
  <c r="AZ83"/>
  <c r="AG114"/>
  <c r="AK114"/>
  <c r="AY86"/>
  <c r="BA86"/>
  <c r="S114"/>
  <c r="BA91"/>
  <c r="BC91" s="1"/>
  <c r="AY100"/>
  <c r="BC100" s="1"/>
  <c r="BA107"/>
  <c r="BC107" s="1"/>
  <c r="H114"/>
  <c r="AM114"/>
  <c r="AM226" s="1"/>
  <c r="AG119"/>
  <c r="BA117"/>
  <c r="AY122"/>
  <c r="BC122" s="1"/>
  <c r="AO208"/>
  <c r="AK224"/>
  <c r="AZ224"/>
  <c r="AX125"/>
  <c r="AZ53"/>
  <c r="BC53" s="1"/>
  <c r="AG63"/>
  <c r="AY72"/>
  <c r="AY80" s="1"/>
  <c r="BA74"/>
  <c r="BA80" s="1"/>
  <c r="L82"/>
  <c r="AY81"/>
  <c r="AY82" s="1"/>
  <c r="BA84"/>
  <c r="BA124"/>
  <c r="BA125" s="1"/>
  <c r="AO144"/>
  <c r="BA129"/>
  <c r="BC129" s="1"/>
  <c r="AG144"/>
  <c r="BA130"/>
  <c r="BC130" s="1"/>
  <c r="AY133"/>
  <c r="AY144" s="1"/>
  <c r="BA138"/>
  <c r="BA140"/>
  <c r="BC140" s="1"/>
  <c r="S144"/>
  <c r="BA141"/>
  <c r="BC141" s="1"/>
  <c r="AG147"/>
  <c r="BA145"/>
  <c r="BA146"/>
  <c r="AH147"/>
  <c r="AH226" s="1"/>
  <c r="L155"/>
  <c r="AY156"/>
  <c r="BC156" s="1"/>
  <c r="BA156"/>
  <c r="AG164"/>
  <c r="BA157"/>
  <c r="BC157" s="1"/>
  <c r="BA158"/>
  <c r="BC158" s="1"/>
  <c r="AG170"/>
  <c r="BA166"/>
  <c r="BC166" s="1"/>
  <c r="AY172"/>
  <c r="BA172"/>
  <c r="BA175"/>
  <c r="BC175" s="1"/>
  <c r="BA178"/>
  <c r="BC178" s="1"/>
  <c r="AY179"/>
  <c r="BC179" s="1"/>
  <c r="AY183"/>
  <c r="BA183"/>
  <c r="AY185"/>
  <c r="BC185" s="1"/>
  <c r="BA189"/>
  <c r="BC189" s="1"/>
  <c r="BA191"/>
  <c r="BC191" s="1"/>
  <c r="H208"/>
  <c r="J208"/>
  <c r="X208"/>
  <c r="X226" s="1"/>
  <c r="AE208"/>
  <c r="AE226" s="1"/>
  <c r="AM208"/>
  <c r="AR208"/>
  <c r="AR226" s="1"/>
  <c r="AW210"/>
  <c r="BA211"/>
  <c r="BC211" s="1"/>
  <c r="BA214"/>
  <c r="BC214" s="1"/>
  <c r="BA218"/>
  <c r="BC218" s="1"/>
  <c r="BA219"/>
  <c r="BC219" s="1"/>
  <c r="I224"/>
  <c r="I226" s="1"/>
  <c r="AI224"/>
  <c r="AZ138"/>
  <c r="AZ143"/>
  <c r="BC143" s="1"/>
  <c r="AZ146"/>
  <c r="AY150"/>
  <c r="AY155" s="1"/>
  <c r="S155"/>
  <c r="BA151"/>
  <c r="BC151" s="1"/>
  <c r="BA154"/>
  <c r="BC154" s="1"/>
  <c r="L164"/>
  <c r="Z164"/>
  <c r="AO164"/>
  <c r="BA161"/>
  <c r="BC161" s="1"/>
  <c r="AY162"/>
  <c r="BC162" s="1"/>
  <c r="S170"/>
  <c r="BA169"/>
  <c r="BC169" s="1"/>
  <c r="AZ172"/>
  <c r="AV208"/>
  <c r="AX183"/>
  <c r="AX208" s="1"/>
  <c r="S208"/>
  <c r="AY212"/>
  <c r="BC212" s="1"/>
  <c r="AY220"/>
  <c r="BA220"/>
  <c r="P190" i="14"/>
  <c r="P149"/>
  <c r="V138"/>
  <c r="V161"/>
  <c r="V156"/>
  <c r="V179"/>
  <c r="V203"/>
  <c r="V106"/>
  <c r="L208" i="20" l="1"/>
  <c r="BC86"/>
  <c r="BC35"/>
  <c r="L144"/>
  <c r="BA147"/>
  <c r="AK16"/>
  <c r="BC117"/>
  <c r="BC119" s="1"/>
  <c r="AY54"/>
  <c r="L16"/>
  <c r="BC68"/>
  <c r="BC84"/>
  <c r="BC47"/>
  <c r="BC55"/>
  <c r="BC220"/>
  <c r="BC224" s="1"/>
  <c r="BA114"/>
  <c r="AY123"/>
  <c r="BC81"/>
  <c r="BC82" s="1"/>
  <c r="BC145"/>
  <c r="BC74"/>
  <c r="AK27"/>
  <c r="BC23"/>
  <c r="AI226"/>
  <c r="AV226"/>
  <c r="BC138"/>
  <c r="J226"/>
  <c r="AY16"/>
  <c r="BC124"/>
  <c r="BC125" s="1"/>
  <c r="AW226"/>
  <c r="BC72"/>
  <c r="BC20"/>
  <c r="Z208"/>
  <c r="Z226" s="1"/>
  <c r="Z228" s="1"/>
  <c r="BC25"/>
  <c r="BC183"/>
  <c r="H226"/>
  <c r="BC8"/>
  <c r="BC16" s="1"/>
  <c r="AX226"/>
  <c r="AX228" s="1"/>
  <c r="BC150"/>
  <c r="BC155" s="1"/>
  <c r="BC133"/>
  <c r="BC46"/>
  <c r="BC54" s="1"/>
  <c r="BC5"/>
  <c r="AZ27"/>
  <c r="BC22"/>
  <c r="AZ114"/>
  <c r="BC83"/>
  <c r="BC114" s="1"/>
  <c r="AZ208"/>
  <c r="BC172"/>
  <c r="AZ147"/>
  <c r="BC146"/>
  <c r="BC147" s="1"/>
  <c r="BA21"/>
  <c r="BC17"/>
  <c r="BC21" s="1"/>
  <c r="BA208"/>
  <c r="S226"/>
  <c r="L224"/>
  <c r="BC170"/>
  <c r="AY164"/>
  <c r="AY224"/>
  <c r="AZ144"/>
  <c r="BC123"/>
  <c r="AY208"/>
  <c r="BA170"/>
  <c r="BA155"/>
  <c r="BA144"/>
  <c r="AO114"/>
  <c r="AO226" s="1"/>
  <c r="BA54"/>
  <c r="L54"/>
  <c r="BA16"/>
  <c r="AG208"/>
  <c r="BC164"/>
  <c r="BA224"/>
  <c r="BA164"/>
  <c r="L114"/>
  <c r="BC63"/>
  <c r="BA119"/>
  <c r="AY114"/>
  <c r="AZ54"/>
  <c r="BC45"/>
  <c r="AY45"/>
  <c r="BA45"/>
  <c r="AC226"/>
  <c r="AG16"/>
  <c r="U229" i="14"/>
  <c r="AN222"/>
  <c r="AM222"/>
  <c r="AK222"/>
  <c r="AJ222"/>
  <c r="AH222"/>
  <c r="AG222"/>
  <c r="AD222"/>
  <c r="AA222"/>
  <c r="Z222"/>
  <c r="Y222"/>
  <c r="X222"/>
  <c r="V222"/>
  <c r="U222"/>
  <c r="T222"/>
  <c r="S222"/>
  <c r="R222"/>
  <c r="O222"/>
  <c r="N222"/>
  <c r="M222"/>
  <c r="L222"/>
  <c r="G222"/>
  <c r="F222"/>
  <c r="AT221"/>
  <c r="AS221"/>
  <c r="AR221"/>
  <c r="AQ221"/>
  <c r="AP221"/>
  <c r="AO221"/>
  <c r="AI221"/>
  <c r="AF221"/>
  <c r="AC221"/>
  <c r="W221"/>
  <c r="Q221"/>
  <c r="K221"/>
  <c r="AS220"/>
  <c r="AR220"/>
  <c r="AQ220"/>
  <c r="AP220"/>
  <c r="AO220"/>
  <c r="AI220"/>
  <c r="AB220"/>
  <c r="AB222" s="1"/>
  <c r="K220"/>
  <c r="AS219"/>
  <c r="AQ219"/>
  <c r="AP219"/>
  <c r="AO219"/>
  <c r="AI219"/>
  <c r="AF219"/>
  <c r="AC219"/>
  <c r="W219"/>
  <c r="Q219"/>
  <c r="J219"/>
  <c r="AT219" s="1"/>
  <c r="H219"/>
  <c r="K219" s="1"/>
  <c r="AS218"/>
  <c r="AQ218"/>
  <c r="AP218"/>
  <c r="AL218"/>
  <c r="AL222" s="1"/>
  <c r="AI218"/>
  <c r="AF218"/>
  <c r="AC218"/>
  <c r="W218"/>
  <c r="P218"/>
  <c r="P222" s="1"/>
  <c r="K218"/>
  <c r="AS217"/>
  <c r="AR217"/>
  <c r="AQ217"/>
  <c r="AP217"/>
  <c r="AO217"/>
  <c r="AI217"/>
  <c r="AE217"/>
  <c r="AT217" s="1"/>
  <c r="AC217"/>
  <c r="W217"/>
  <c r="Q217"/>
  <c r="K217"/>
  <c r="AQ216"/>
  <c r="AP216"/>
  <c r="AO216"/>
  <c r="AI216"/>
  <c r="AE216"/>
  <c r="AT216" s="1"/>
  <c r="AC216"/>
  <c r="W216"/>
  <c r="Q216"/>
  <c r="I216"/>
  <c r="AS216" s="1"/>
  <c r="H216"/>
  <c r="AR216" s="1"/>
  <c r="AS215"/>
  <c r="AQ215"/>
  <c r="AP215"/>
  <c r="AO215"/>
  <c r="AI215"/>
  <c r="AF215"/>
  <c r="AC215"/>
  <c r="W215"/>
  <c r="Q215"/>
  <c r="J215"/>
  <c r="AT215" s="1"/>
  <c r="H215"/>
  <c r="K215" s="1"/>
  <c r="AS214"/>
  <c r="AR214"/>
  <c r="AQ214"/>
  <c r="AP214"/>
  <c r="AU214" s="1"/>
  <c r="AO214"/>
  <c r="AI214"/>
  <c r="AE214"/>
  <c r="AT214" s="1"/>
  <c r="AC214"/>
  <c r="W214"/>
  <c r="Q214"/>
  <c r="K214"/>
  <c r="AS213"/>
  <c r="AQ213"/>
  <c r="AP213"/>
  <c r="AO213"/>
  <c r="AI213"/>
  <c r="AE213"/>
  <c r="AT213" s="1"/>
  <c r="AC213"/>
  <c r="W213"/>
  <c r="Q213"/>
  <c r="H213"/>
  <c r="AR213" s="1"/>
  <c r="AS212"/>
  <c r="AR212"/>
  <c r="AQ212"/>
  <c r="AP212"/>
  <c r="AO212"/>
  <c r="AI212"/>
  <c r="AE212"/>
  <c r="AT212" s="1"/>
  <c r="AC212"/>
  <c r="W212"/>
  <c r="Q212"/>
  <c r="K212"/>
  <c r="AT211"/>
  <c r="AS211"/>
  <c r="AR211"/>
  <c r="AQ211"/>
  <c r="AP211"/>
  <c r="AO211"/>
  <c r="AI211"/>
  <c r="AF211"/>
  <c r="AC211"/>
  <c r="W211"/>
  <c r="Q211"/>
  <c r="K211"/>
  <c r="AS210"/>
  <c r="AQ210"/>
  <c r="AP210"/>
  <c r="AO210"/>
  <c r="AI210"/>
  <c r="AE210"/>
  <c r="AT210" s="1"/>
  <c r="AC210"/>
  <c r="W210"/>
  <c r="Q210"/>
  <c r="K210"/>
  <c r="H210"/>
  <c r="AS209"/>
  <c r="AS222" s="1"/>
  <c r="AR209"/>
  <c r="AQ209"/>
  <c r="AP209"/>
  <c r="AO209"/>
  <c r="AI209"/>
  <c r="AF209"/>
  <c r="AC209"/>
  <c r="W209"/>
  <c r="W222" s="1"/>
  <c r="Q209"/>
  <c r="J209"/>
  <c r="J222" s="1"/>
  <c r="AN208"/>
  <c r="AM208"/>
  <c r="AL208"/>
  <c r="AK208"/>
  <c r="AJ208"/>
  <c r="AH208"/>
  <c r="AG208"/>
  <c r="AE208"/>
  <c r="AD208"/>
  <c r="AB208"/>
  <c r="AA208"/>
  <c r="Z208"/>
  <c r="Y208"/>
  <c r="X208"/>
  <c r="V208"/>
  <c r="U208"/>
  <c r="T208"/>
  <c r="S208"/>
  <c r="R208"/>
  <c r="O208"/>
  <c r="N208"/>
  <c r="M208"/>
  <c r="L208"/>
  <c r="J208"/>
  <c r="I208"/>
  <c r="H208"/>
  <c r="G208"/>
  <c r="F208"/>
  <c r="AT207"/>
  <c r="AT208" s="1"/>
  <c r="AS207"/>
  <c r="AS208" s="1"/>
  <c r="AR207"/>
  <c r="AR208" s="1"/>
  <c r="AQ207"/>
  <c r="AQ208" s="1"/>
  <c r="AP207"/>
  <c r="AP208" s="1"/>
  <c r="AO207"/>
  <c r="AO208" s="1"/>
  <c r="AI207"/>
  <c r="AI208" s="1"/>
  <c r="AF207"/>
  <c r="AF208" s="1"/>
  <c r="AC207"/>
  <c r="AC208" s="1"/>
  <c r="W207"/>
  <c r="W208" s="1"/>
  <c r="P207"/>
  <c r="P208" s="1"/>
  <c r="K207"/>
  <c r="K208" s="1"/>
  <c r="AN206"/>
  <c r="AM206"/>
  <c r="AJ206"/>
  <c r="AG206"/>
  <c r="AD206"/>
  <c r="AA206"/>
  <c r="Z206"/>
  <c r="Y206"/>
  <c r="X206"/>
  <c r="U206"/>
  <c r="T206"/>
  <c r="S206"/>
  <c r="R206"/>
  <c r="O206"/>
  <c r="N206"/>
  <c r="M206"/>
  <c r="L206"/>
  <c r="G206"/>
  <c r="F206"/>
  <c r="AS205"/>
  <c r="AR205"/>
  <c r="AQ205"/>
  <c r="AU205" s="1"/>
  <c r="AP205"/>
  <c r="AO205"/>
  <c r="AI205"/>
  <c r="AF205"/>
  <c r="AB205"/>
  <c r="AT205" s="1"/>
  <c r="W205"/>
  <c r="Q205"/>
  <c r="K205"/>
  <c r="AT204"/>
  <c r="AS204"/>
  <c r="AR204"/>
  <c r="AQ204"/>
  <c r="AU204" s="1"/>
  <c r="AP204"/>
  <c r="AO204"/>
  <c r="AI204"/>
  <c r="AF204"/>
  <c r="AC204"/>
  <c r="W204"/>
  <c r="Q204"/>
  <c r="K204"/>
  <c r="AS203"/>
  <c r="AR203"/>
  <c r="AQ203"/>
  <c r="AP203"/>
  <c r="AU203" s="1"/>
  <c r="AO203"/>
  <c r="AI203"/>
  <c r="AF203"/>
  <c r="AC203"/>
  <c r="AT203"/>
  <c r="Q203"/>
  <c r="K203"/>
  <c r="AT202"/>
  <c r="AQ202"/>
  <c r="AP202"/>
  <c r="AO202"/>
  <c r="AI202"/>
  <c r="AF202"/>
  <c r="AC202"/>
  <c r="W202"/>
  <c r="Q202"/>
  <c r="P202"/>
  <c r="I202"/>
  <c r="AS202" s="1"/>
  <c r="H202"/>
  <c r="AR202" s="1"/>
  <c r="AT201"/>
  <c r="AS201"/>
  <c r="AR201"/>
  <c r="AQ201"/>
  <c r="AP201"/>
  <c r="AU201" s="1"/>
  <c r="AO201"/>
  <c r="AI201"/>
  <c r="AF201"/>
  <c r="AC201"/>
  <c r="W201"/>
  <c r="Q201"/>
  <c r="K201"/>
  <c r="AT200"/>
  <c r="AS200"/>
  <c r="AR200"/>
  <c r="AQ200"/>
  <c r="AP200"/>
  <c r="AO200"/>
  <c r="AI200"/>
  <c r="AF200"/>
  <c r="AC200"/>
  <c r="W200"/>
  <c r="Q200"/>
  <c r="K200"/>
  <c r="AT199"/>
  <c r="AS199"/>
  <c r="AR199"/>
  <c r="AQ199"/>
  <c r="AP199"/>
  <c r="AU199" s="1"/>
  <c r="AO199"/>
  <c r="AI199"/>
  <c r="AF199"/>
  <c r="AC199"/>
  <c r="W199"/>
  <c r="Q199"/>
  <c r="K199"/>
  <c r="AS198"/>
  <c r="AR198"/>
  <c r="AQ198"/>
  <c r="AP198"/>
  <c r="AO198"/>
  <c r="AI198"/>
  <c r="AF198"/>
  <c r="AB198"/>
  <c r="AT198" s="1"/>
  <c r="W198"/>
  <c r="Q198"/>
  <c r="K198"/>
  <c r="AT197"/>
  <c r="AS197"/>
  <c r="AR197"/>
  <c r="AQ197"/>
  <c r="AP197"/>
  <c r="AO197"/>
  <c r="AI197"/>
  <c r="AF197"/>
  <c r="AC197"/>
  <c r="W197"/>
  <c r="Q197"/>
  <c r="K197"/>
  <c r="AS196"/>
  <c r="AR196"/>
  <c r="AQ196"/>
  <c r="AP196"/>
  <c r="AO196"/>
  <c r="AI196"/>
  <c r="AF196"/>
  <c r="AB196"/>
  <c r="AT196" s="1"/>
  <c r="W196"/>
  <c r="Q196"/>
  <c r="K196"/>
  <c r="AT195"/>
  <c r="AS195"/>
  <c r="AR195"/>
  <c r="AQ195"/>
  <c r="AP195"/>
  <c r="AO195"/>
  <c r="AI195"/>
  <c r="AF195"/>
  <c r="AC195"/>
  <c r="W195"/>
  <c r="Q195"/>
  <c r="K195"/>
  <c r="AS194"/>
  <c r="AR194"/>
  <c r="AQ194"/>
  <c r="AP194"/>
  <c r="AO194"/>
  <c r="AI194"/>
  <c r="AF194"/>
  <c r="AT194"/>
  <c r="W194"/>
  <c r="Q194"/>
  <c r="K194"/>
  <c r="AT193"/>
  <c r="AS193"/>
  <c r="AR193"/>
  <c r="AQ193"/>
  <c r="AP193"/>
  <c r="AO193"/>
  <c r="AI193"/>
  <c r="AF193"/>
  <c r="AC193"/>
  <c r="W193"/>
  <c r="Q193"/>
  <c r="K193"/>
  <c r="AQ192"/>
  <c r="AP192"/>
  <c r="AO192"/>
  <c r="AH192"/>
  <c r="AT192" s="1"/>
  <c r="AF192"/>
  <c r="AC192"/>
  <c r="W192"/>
  <c r="Q192"/>
  <c r="I192"/>
  <c r="AS192" s="1"/>
  <c r="H192"/>
  <c r="AR192" s="1"/>
  <c r="AT191"/>
  <c r="AS191"/>
  <c r="AR191"/>
  <c r="AQ191"/>
  <c r="AP191"/>
  <c r="AO191"/>
  <c r="AI191"/>
  <c r="AF191"/>
  <c r="AC191"/>
  <c r="W191"/>
  <c r="Q191"/>
  <c r="K191"/>
  <c r="AS190"/>
  <c r="AQ190"/>
  <c r="AP190"/>
  <c r="AO190"/>
  <c r="AI190"/>
  <c r="AF190"/>
  <c r="AC190"/>
  <c r="W190"/>
  <c r="AT190"/>
  <c r="H190"/>
  <c r="AR190" s="1"/>
  <c r="AS189"/>
  <c r="AQ189"/>
  <c r="AP189"/>
  <c r="AO189"/>
  <c r="AI189"/>
  <c r="AF189"/>
  <c r="AC189"/>
  <c r="W189"/>
  <c r="P189"/>
  <c r="P206" s="1"/>
  <c r="H189"/>
  <c r="AR189" s="1"/>
  <c r="AS188"/>
  <c r="AQ188"/>
  <c r="AP188"/>
  <c r="AO188"/>
  <c r="AI188"/>
  <c r="AF188"/>
  <c r="AC188"/>
  <c r="W188"/>
  <c r="Q188"/>
  <c r="J188"/>
  <c r="J206" s="1"/>
  <c r="H188"/>
  <c r="AQ187"/>
  <c r="AP187"/>
  <c r="AO187"/>
  <c r="AI187"/>
  <c r="AE187"/>
  <c r="AT187" s="1"/>
  <c r="AC187"/>
  <c r="W187"/>
  <c r="Q187"/>
  <c r="I187"/>
  <c r="AS187" s="1"/>
  <c r="H187"/>
  <c r="AR187" s="1"/>
  <c r="AT186"/>
  <c r="AS186"/>
  <c r="AR186"/>
  <c r="AQ186"/>
  <c r="AP186"/>
  <c r="AU186" s="1"/>
  <c r="AO186"/>
  <c r="AI186"/>
  <c r="AF186"/>
  <c r="AC186"/>
  <c r="W186"/>
  <c r="Q186"/>
  <c r="K186"/>
  <c r="AT185"/>
  <c r="AS185"/>
  <c r="AQ185"/>
  <c r="AP185"/>
  <c r="AO185"/>
  <c r="AI185"/>
  <c r="AF185"/>
  <c r="AC185"/>
  <c r="W185"/>
  <c r="Q185"/>
  <c r="K185"/>
  <c r="H185"/>
  <c r="AR185" s="1"/>
  <c r="AT184"/>
  <c r="AS184"/>
  <c r="AR184"/>
  <c r="AQ184"/>
  <c r="AP184"/>
  <c r="AO184"/>
  <c r="AI184"/>
  <c r="AF184"/>
  <c r="AC184"/>
  <c r="W184"/>
  <c r="Q184"/>
  <c r="K184"/>
  <c r="AT183"/>
  <c r="AS183"/>
  <c r="AQ183"/>
  <c r="AP183"/>
  <c r="AO183"/>
  <c r="AI183"/>
  <c r="AF183"/>
  <c r="AC183"/>
  <c r="W183"/>
  <c r="Q183"/>
  <c r="H183"/>
  <c r="AR183" s="1"/>
  <c r="AS182"/>
  <c r="AR182"/>
  <c r="AQ182"/>
  <c r="AP182"/>
  <c r="AO182"/>
  <c r="AI182"/>
  <c r="AF182"/>
  <c r="AB182"/>
  <c r="AT182" s="1"/>
  <c r="W182"/>
  <c r="Q182"/>
  <c r="K182"/>
  <c r="AR181"/>
  <c r="AP181"/>
  <c r="AK181"/>
  <c r="AK206" s="1"/>
  <c r="AH181"/>
  <c r="AT181" s="1"/>
  <c r="AF181"/>
  <c r="AC181"/>
  <c r="W181"/>
  <c r="Q181"/>
  <c r="I181"/>
  <c r="AS181" s="1"/>
  <c r="H181"/>
  <c r="AQ180"/>
  <c r="AP180"/>
  <c r="AO180"/>
  <c r="AI180"/>
  <c r="AF180"/>
  <c r="AE180"/>
  <c r="AT180" s="1"/>
  <c r="AC180"/>
  <c r="W180"/>
  <c r="Q180"/>
  <c r="I180"/>
  <c r="AS180" s="1"/>
  <c r="H180"/>
  <c r="AR180" s="1"/>
  <c r="AS179"/>
  <c r="AR179"/>
  <c r="AQ179"/>
  <c r="AP179"/>
  <c r="AO179"/>
  <c r="AI179"/>
  <c r="AF179"/>
  <c r="AC179"/>
  <c r="W179"/>
  <c r="V206"/>
  <c r="Q179"/>
  <c r="K179"/>
  <c r="AT178"/>
  <c r="AS178"/>
  <c r="AR178"/>
  <c r="AQ178"/>
  <c r="AU178" s="1"/>
  <c r="AP178"/>
  <c r="AO178"/>
  <c r="AI178"/>
  <c r="AF178"/>
  <c r="AC178"/>
  <c r="W178"/>
  <c r="Q178"/>
  <c r="K178"/>
  <c r="AT177"/>
  <c r="AS177"/>
  <c r="AQ177"/>
  <c r="AP177"/>
  <c r="AO177"/>
  <c r="AI177"/>
  <c r="AF177"/>
  <c r="AC177"/>
  <c r="W177"/>
  <c r="Q177"/>
  <c r="H177"/>
  <c r="AR177" s="1"/>
  <c r="AQ176"/>
  <c r="AP176"/>
  <c r="AO176"/>
  <c r="AI176"/>
  <c r="AE176"/>
  <c r="AT176" s="1"/>
  <c r="AC176"/>
  <c r="W176"/>
  <c r="Q176"/>
  <c r="I176"/>
  <c r="AS176" s="1"/>
  <c r="H176"/>
  <c r="AR176" s="1"/>
  <c r="AT175"/>
  <c r="AS175"/>
  <c r="AR175"/>
  <c r="AQ175"/>
  <c r="AP175"/>
  <c r="AO175"/>
  <c r="AI175"/>
  <c r="AF175"/>
  <c r="AC175"/>
  <c r="W175"/>
  <c r="Q175"/>
  <c r="K175"/>
  <c r="AT174"/>
  <c r="AS174"/>
  <c r="AR174"/>
  <c r="AQ174"/>
  <c r="AP174"/>
  <c r="AO174"/>
  <c r="AI174"/>
  <c r="AF174"/>
  <c r="AC174"/>
  <c r="W174"/>
  <c r="Q174"/>
  <c r="K174"/>
  <c r="AR173"/>
  <c r="AQ173"/>
  <c r="AP173"/>
  <c r="AO173"/>
  <c r="AI173"/>
  <c r="AE173"/>
  <c r="AT173" s="1"/>
  <c r="AC173"/>
  <c r="W173"/>
  <c r="Q173"/>
  <c r="I173"/>
  <c r="AS173" s="1"/>
  <c r="AQ172"/>
  <c r="AP172"/>
  <c r="AO172"/>
  <c r="AI172"/>
  <c r="AE172"/>
  <c r="AT172" s="1"/>
  <c r="AC172"/>
  <c r="W172"/>
  <c r="Q172"/>
  <c r="I172"/>
  <c r="AS172" s="1"/>
  <c r="H172"/>
  <c r="AR172" s="1"/>
  <c r="AT171"/>
  <c r="AS171"/>
  <c r="AR171"/>
  <c r="AQ171"/>
  <c r="AP171"/>
  <c r="AO171"/>
  <c r="AI171"/>
  <c r="AF171"/>
  <c r="AC171"/>
  <c r="W171"/>
  <c r="Q171"/>
  <c r="K171"/>
  <c r="AQ170"/>
  <c r="AP170"/>
  <c r="AL170"/>
  <c r="AI170"/>
  <c r="AE170"/>
  <c r="AE206" s="1"/>
  <c r="AC170"/>
  <c r="W170"/>
  <c r="Q170"/>
  <c r="I170"/>
  <c r="I206" s="1"/>
  <c r="H170"/>
  <c r="H206" s="1"/>
  <c r="AS169"/>
  <c r="AR169"/>
  <c r="AQ169"/>
  <c r="AP169"/>
  <c r="AO169"/>
  <c r="AI169"/>
  <c r="AF169"/>
  <c r="AB169"/>
  <c r="AB206" s="1"/>
  <c r="W169"/>
  <c r="Q169"/>
  <c r="K169"/>
  <c r="AN168"/>
  <c r="AM168"/>
  <c r="AL168"/>
  <c r="AK168"/>
  <c r="AJ168"/>
  <c r="AH168"/>
  <c r="AG168"/>
  <c r="AE168"/>
  <c r="AD168"/>
  <c r="AA168"/>
  <c r="Z168"/>
  <c r="Y168"/>
  <c r="X168"/>
  <c r="V168"/>
  <c r="U168"/>
  <c r="T168"/>
  <c r="S168"/>
  <c r="R168"/>
  <c r="O168"/>
  <c r="N168"/>
  <c r="M168"/>
  <c r="L168"/>
  <c r="J168"/>
  <c r="I168"/>
  <c r="H168"/>
  <c r="G168"/>
  <c r="F168"/>
  <c r="AS167"/>
  <c r="AR167"/>
  <c r="AQ167"/>
  <c r="AP167"/>
  <c r="AO167"/>
  <c r="AI167"/>
  <c r="AF167"/>
  <c r="AC167"/>
  <c r="W167"/>
  <c r="P167"/>
  <c r="P168" s="1"/>
  <c r="K167"/>
  <c r="AT166"/>
  <c r="AS166"/>
  <c r="AR166"/>
  <c r="AQ166"/>
  <c r="AP166"/>
  <c r="AO166"/>
  <c r="AI166"/>
  <c r="AF166"/>
  <c r="AC166"/>
  <c r="W166"/>
  <c r="Q166"/>
  <c r="K166"/>
  <c r="AS165"/>
  <c r="AR165"/>
  <c r="AQ165"/>
  <c r="AP165"/>
  <c r="AO165"/>
  <c r="AI165"/>
  <c r="AF165"/>
  <c r="AB165"/>
  <c r="AT165" s="1"/>
  <c r="W165"/>
  <c r="Q165"/>
  <c r="K165"/>
  <c r="AS164"/>
  <c r="AR164"/>
  <c r="AQ164"/>
  <c r="AP164"/>
  <c r="AO164"/>
  <c r="AI164"/>
  <c r="AF164"/>
  <c r="AB164"/>
  <c r="AB168" s="1"/>
  <c r="W164"/>
  <c r="Q164"/>
  <c r="K164"/>
  <c r="AT163"/>
  <c r="AS163"/>
  <c r="AR163"/>
  <c r="AQ163"/>
  <c r="AP163"/>
  <c r="AP168" s="1"/>
  <c r="AO163"/>
  <c r="AI163"/>
  <c r="AF163"/>
  <c r="AC163"/>
  <c r="W163"/>
  <c r="Q163"/>
  <c r="K163"/>
  <c r="AN162"/>
  <c r="AM162"/>
  <c r="AL162"/>
  <c r="AK162"/>
  <c r="AJ162"/>
  <c r="AG162"/>
  <c r="AE162"/>
  <c r="AD162"/>
  <c r="AA162"/>
  <c r="Y162"/>
  <c r="X162"/>
  <c r="U162"/>
  <c r="T162"/>
  <c r="S162"/>
  <c r="R162"/>
  <c r="P162"/>
  <c r="O162"/>
  <c r="N162"/>
  <c r="M162"/>
  <c r="L162"/>
  <c r="I162"/>
  <c r="G162"/>
  <c r="F162"/>
  <c r="AS161"/>
  <c r="AR161"/>
  <c r="AQ161"/>
  <c r="AP161"/>
  <c r="AO161"/>
  <c r="AI161"/>
  <c r="AF161"/>
  <c r="AC161"/>
  <c r="W161"/>
  <c r="AT161"/>
  <c r="Q161"/>
  <c r="K161"/>
  <c r="AT160"/>
  <c r="AS160"/>
  <c r="AQ160"/>
  <c r="AP160"/>
  <c r="AO160"/>
  <c r="AI160"/>
  <c r="AF160"/>
  <c r="Z160"/>
  <c r="Z162" s="1"/>
  <c r="W160"/>
  <c r="Q160"/>
  <c r="K160"/>
  <c r="AS159"/>
  <c r="AR159"/>
  <c r="AQ159"/>
  <c r="AP159"/>
  <c r="AO159"/>
  <c r="AH159"/>
  <c r="AH162" s="1"/>
  <c r="AF159"/>
  <c r="AC159"/>
  <c r="W159"/>
  <c r="Q159"/>
  <c r="K159"/>
  <c r="AS158"/>
  <c r="AR158"/>
  <c r="AQ158"/>
  <c r="AP158"/>
  <c r="AO158"/>
  <c r="AI158"/>
  <c r="AF158"/>
  <c r="AB158"/>
  <c r="AT158" s="1"/>
  <c r="W158"/>
  <c r="Q158"/>
  <c r="K158"/>
  <c r="AT157"/>
  <c r="AS157"/>
  <c r="AR157"/>
  <c r="AQ157"/>
  <c r="AP157"/>
  <c r="AO157"/>
  <c r="AI157"/>
  <c r="AF157"/>
  <c r="AC157"/>
  <c r="W157"/>
  <c r="Q157"/>
  <c r="K157"/>
  <c r="AS156"/>
  <c r="AR156"/>
  <c r="AQ156"/>
  <c r="AP156"/>
  <c r="AO156"/>
  <c r="AI156"/>
  <c r="AF156"/>
  <c r="AC156"/>
  <c r="AT156"/>
  <c r="Q156"/>
  <c r="K156"/>
  <c r="AS155"/>
  <c r="AR155"/>
  <c r="AQ155"/>
  <c r="AP155"/>
  <c r="AO155"/>
  <c r="AI155"/>
  <c r="AF155"/>
  <c r="AB155"/>
  <c r="AB162" s="1"/>
  <c r="W155"/>
  <c r="Q155"/>
  <c r="K155"/>
  <c r="AS154"/>
  <c r="AS162" s="1"/>
  <c r="AQ154"/>
  <c r="AP154"/>
  <c r="AP162" s="1"/>
  <c r="AO154"/>
  <c r="AI154"/>
  <c r="AF154"/>
  <c r="AC154"/>
  <c r="W154"/>
  <c r="Q154"/>
  <c r="J154"/>
  <c r="AT154" s="1"/>
  <c r="H154"/>
  <c r="H162" s="1"/>
  <c r="AN153"/>
  <c r="AM153"/>
  <c r="AL153"/>
  <c r="AK153"/>
  <c r="AJ153"/>
  <c r="AH153"/>
  <c r="AG153"/>
  <c r="AE153"/>
  <c r="AD153"/>
  <c r="AB153"/>
  <c r="AA153"/>
  <c r="Z153"/>
  <c r="Y153"/>
  <c r="X153"/>
  <c r="V153"/>
  <c r="U153"/>
  <c r="T153"/>
  <c r="S153"/>
  <c r="R153"/>
  <c r="O153"/>
  <c r="N153"/>
  <c r="M153"/>
  <c r="L153"/>
  <c r="I153"/>
  <c r="G153"/>
  <c r="F153"/>
  <c r="AS152"/>
  <c r="AR152"/>
  <c r="AQ152"/>
  <c r="AP152"/>
  <c r="AO152"/>
  <c r="AI152"/>
  <c r="AF152"/>
  <c r="AC152"/>
  <c r="W152"/>
  <c r="Q152"/>
  <c r="J152"/>
  <c r="J153" s="1"/>
  <c r="AT151"/>
  <c r="AS151"/>
  <c r="AR151"/>
  <c r="AQ151"/>
  <c r="AP151"/>
  <c r="AO151"/>
  <c r="AI151"/>
  <c r="AF151"/>
  <c r="AC151"/>
  <c r="W151"/>
  <c r="Q151"/>
  <c r="K151"/>
  <c r="AT150"/>
  <c r="AS150"/>
  <c r="AR150"/>
  <c r="AQ150"/>
  <c r="AP150"/>
  <c r="AO150"/>
  <c r="AI150"/>
  <c r="AF150"/>
  <c r="AC150"/>
  <c r="W150"/>
  <c r="Q150"/>
  <c r="K150"/>
  <c r="AS149"/>
  <c r="AR149"/>
  <c r="AQ149"/>
  <c r="AP149"/>
  <c r="AO149"/>
  <c r="AI149"/>
  <c r="AF149"/>
  <c r="AC149"/>
  <c r="W149"/>
  <c r="P153"/>
  <c r="K149"/>
  <c r="AT148"/>
  <c r="AS148"/>
  <c r="AQ148"/>
  <c r="AQ153" s="1"/>
  <c r="AP148"/>
  <c r="AO148"/>
  <c r="AI148"/>
  <c r="AF148"/>
  <c r="AF153" s="1"/>
  <c r="AC148"/>
  <c r="W148"/>
  <c r="Q148"/>
  <c r="H148"/>
  <c r="H153" s="1"/>
  <c r="AN147"/>
  <c r="AM147"/>
  <c r="AL147"/>
  <c r="AK147"/>
  <c r="AJ147"/>
  <c r="AH147"/>
  <c r="AG147"/>
  <c r="AE147"/>
  <c r="AD147"/>
  <c r="AC147"/>
  <c r="AB147"/>
  <c r="AA147"/>
  <c r="Z147"/>
  <c r="Y147"/>
  <c r="X147"/>
  <c r="V147"/>
  <c r="U147"/>
  <c r="T147"/>
  <c r="S147"/>
  <c r="R147"/>
  <c r="P147"/>
  <c r="O147"/>
  <c r="N147"/>
  <c r="M147"/>
  <c r="L147"/>
  <c r="J147"/>
  <c r="I147"/>
  <c r="H147"/>
  <c r="G147"/>
  <c r="F147"/>
  <c r="AT146"/>
  <c r="AT147" s="1"/>
  <c r="AS146"/>
  <c r="AS147" s="1"/>
  <c r="AR146"/>
  <c r="AR147" s="1"/>
  <c r="AQ146"/>
  <c r="AQ147" s="1"/>
  <c r="AP146"/>
  <c r="AP147" s="1"/>
  <c r="AO146"/>
  <c r="AO147" s="1"/>
  <c r="AI146"/>
  <c r="AI147" s="1"/>
  <c r="AF146"/>
  <c r="AF147" s="1"/>
  <c r="AC146"/>
  <c r="W146"/>
  <c r="W147" s="1"/>
  <c r="Q146"/>
  <c r="Q147" s="1"/>
  <c r="K146"/>
  <c r="K147" s="1"/>
  <c r="AN145"/>
  <c r="AM145"/>
  <c r="AL145"/>
  <c r="AK145"/>
  <c r="AJ145"/>
  <c r="AH145"/>
  <c r="AG145"/>
  <c r="AD145"/>
  <c r="AA145"/>
  <c r="Z145"/>
  <c r="Y145"/>
  <c r="X145"/>
  <c r="V145"/>
  <c r="U145"/>
  <c r="T145"/>
  <c r="S145"/>
  <c r="R145"/>
  <c r="P145"/>
  <c r="O145"/>
  <c r="N145"/>
  <c r="M145"/>
  <c r="L145"/>
  <c r="J145"/>
  <c r="H145"/>
  <c r="G145"/>
  <c r="F145"/>
  <c r="AR144"/>
  <c r="AQ144"/>
  <c r="AP144"/>
  <c r="AO144"/>
  <c r="AI144"/>
  <c r="AE144"/>
  <c r="AT144" s="1"/>
  <c r="AD144"/>
  <c r="AC144"/>
  <c r="W144"/>
  <c r="Q144"/>
  <c r="I144"/>
  <c r="I145" s="1"/>
  <c r="AS143"/>
  <c r="AR143"/>
  <c r="AQ143"/>
  <c r="AP143"/>
  <c r="AP145" s="1"/>
  <c r="AO143"/>
  <c r="AO145" s="1"/>
  <c r="AI143"/>
  <c r="AF143"/>
  <c r="AB143"/>
  <c r="AB145" s="1"/>
  <c r="W143"/>
  <c r="Q143"/>
  <c r="K143"/>
  <c r="AN142"/>
  <c r="AM142"/>
  <c r="AL142"/>
  <c r="AJ142"/>
  <c r="AG142"/>
  <c r="AD142"/>
  <c r="AA142"/>
  <c r="Z142"/>
  <c r="Y142"/>
  <c r="X142"/>
  <c r="U142"/>
  <c r="T142"/>
  <c r="S142"/>
  <c r="R142"/>
  <c r="N142"/>
  <c r="M142"/>
  <c r="L142"/>
  <c r="J142"/>
  <c r="G142"/>
  <c r="F142"/>
  <c r="AT141"/>
  <c r="AQ141"/>
  <c r="AP141"/>
  <c r="AO141"/>
  <c r="AI141"/>
  <c r="AF141"/>
  <c r="AC141"/>
  <c r="W141"/>
  <c r="O141"/>
  <c r="O142" s="1"/>
  <c r="K141"/>
  <c r="H141"/>
  <c r="AR141" s="1"/>
  <c r="AT140"/>
  <c r="AS140"/>
  <c r="AR140"/>
  <c r="AQ140"/>
  <c r="AP140"/>
  <c r="AO140"/>
  <c r="AI140"/>
  <c r="AF140"/>
  <c r="AC140"/>
  <c r="W140"/>
  <c r="Q140"/>
  <c r="K140"/>
  <c r="AS139"/>
  <c r="AR139"/>
  <c r="AQ139"/>
  <c r="AP139"/>
  <c r="AO139"/>
  <c r="AI139"/>
  <c r="AF139"/>
  <c r="AC139"/>
  <c r="W139"/>
  <c r="P139"/>
  <c r="P142" s="1"/>
  <c r="K139"/>
  <c r="AS138"/>
  <c r="AR138"/>
  <c r="AQ138"/>
  <c r="AP138"/>
  <c r="AO138"/>
  <c r="AI138"/>
  <c r="AF138"/>
  <c r="AC138"/>
  <c r="V142"/>
  <c r="Q138"/>
  <c r="K138"/>
  <c r="AT137"/>
  <c r="AS137"/>
  <c r="AQ137"/>
  <c r="AP137"/>
  <c r="AO137"/>
  <c r="AI137"/>
  <c r="AF137"/>
  <c r="AC137"/>
  <c r="W137"/>
  <c r="Q137"/>
  <c r="H137"/>
  <c r="AR137" s="1"/>
  <c r="AQ136"/>
  <c r="AP136"/>
  <c r="AO136"/>
  <c r="AI136"/>
  <c r="AE136"/>
  <c r="AT136" s="1"/>
  <c r="AC136"/>
  <c r="W136"/>
  <c r="Q136"/>
  <c r="I136"/>
  <c r="I142" s="1"/>
  <c r="H136"/>
  <c r="AR136" s="1"/>
  <c r="AT135"/>
  <c r="AS135"/>
  <c r="AR135"/>
  <c r="AQ135"/>
  <c r="AP135"/>
  <c r="AO135"/>
  <c r="AI135"/>
  <c r="AF135"/>
  <c r="AC135"/>
  <c r="W135"/>
  <c r="Q135"/>
  <c r="K135"/>
  <c r="AS133"/>
  <c r="AR133"/>
  <c r="AQ133"/>
  <c r="AP133"/>
  <c r="AO133"/>
  <c r="AH133"/>
  <c r="AT133" s="1"/>
  <c r="AF133"/>
  <c r="AC133"/>
  <c r="W133"/>
  <c r="Q133"/>
  <c r="K133"/>
  <c r="AT132"/>
  <c r="AS132"/>
  <c r="AR132"/>
  <c r="AQ132"/>
  <c r="AP132"/>
  <c r="AO132"/>
  <c r="AI132"/>
  <c r="AF132"/>
  <c r="AC132"/>
  <c r="W132"/>
  <c r="Q132"/>
  <c r="K132"/>
  <c r="AT131"/>
  <c r="AS131"/>
  <c r="AQ131"/>
  <c r="AP131"/>
  <c r="AO131"/>
  <c r="AI131"/>
  <c r="AF131"/>
  <c r="AC131"/>
  <c r="W131"/>
  <c r="Q131"/>
  <c r="H131"/>
  <c r="AR131" s="1"/>
  <c r="AT130"/>
  <c r="AS130"/>
  <c r="AR130"/>
  <c r="AQ130"/>
  <c r="AP130"/>
  <c r="AO130"/>
  <c r="AI130"/>
  <c r="AF130"/>
  <c r="AC130"/>
  <c r="W130"/>
  <c r="Q130"/>
  <c r="K130"/>
  <c r="AT129"/>
  <c r="AS129"/>
  <c r="AR129"/>
  <c r="AQ129"/>
  <c r="AP129"/>
  <c r="AO129"/>
  <c r="AI129"/>
  <c r="AF129"/>
  <c r="AC129"/>
  <c r="W129"/>
  <c r="Q129"/>
  <c r="K129"/>
  <c r="AT128"/>
  <c r="AS128"/>
  <c r="AR128"/>
  <c r="AQ128"/>
  <c r="AP128"/>
  <c r="AO128"/>
  <c r="AI128"/>
  <c r="AF128"/>
  <c r="AC128"/>
  <c r="AB128"/>
  <c r="AB142" s="1"/>
  <c r="W128"/>
  <c r="Q128"/>
  <c r="K128"/>
  <c r="AS127"/>
  <c r="AR127"/>
  <c r="AQ127"/>
  <c r="AP127"/>
  <c r="AO127"/>
  <c r="AI127"/>
  <c r="AH127"/>
  <c r="AT127" s="1"/>
  <c r="AF127"/>
  <c r="AC127"/>
  <c r="W127"/>
  <c r="Q127"/>
  <c r="K127"/>
  <c r="AT126"/>
  <c r="AS126"/>
  <c r="AR126"/>
  <c r="AP126"/>
  <c r="AK126"/>
  <c r="AI126"/>
  <c r="AF126"/>
  <c r="AC126"/>
  <c r="W126"/>
  <c r="Q126"/>
  <c r="K126"/>
  <c r="AN125"/>
  <c r="AM125"/>
  <c r="AL125"/>
  <c r="AK125"/>
  <c r="AJ125"/>
  <c r="AH125"/>
  <c r="AG125"/>
  <c r="AE125"/>
  <c r="AD125"/>
  <c r="AB125"/>
  <c r="AA125"/>
  <c r="Z125"/>
  <c r="Y125"/>
  <c r="X125"/>
  <c r="V125"/>
  <c r="U125"/>
  <c r="T125"/>
  <c r="S125"/>
  <c r="R125"/>
  <c r="P125"/>
  <c r="O125"/>
  <c r="N125"/>
  <c r="M125"/>
  <c r="L125"/>
  <c r="J125"/>
  <c r="H125"/>
  <c r="G125"/>
  <c r="F125"/>
  <c r="AT124"/>
  <c r="AT125" s="1"/>
  <c r="AR124"/>
  <c r="AR125" s="1"/>
  <c r="AQ124"/>
  <c r="AQ125" s="1"/>
  <c r="AP124"/>
  <c r="AP125" s="1"/>
  <c r="AO124"/>
  <c r="AO125" s="1"/>
  <c r="AI124"/>
  <c r="AI125" s="1"/>
  <c r="AF124"/>
  <c r="AF125" s="1"/>
  <c r="AC124"/>
  <c r="AC125" s="1"/>
  <c r="W124"/>
  <c r="W125" s="1"/>
  <c r="Q124"/>
  <c r="Q125" s="1"/>
  <c r="I124"/>
  <c r="AN123"/>
  <c r="AM123"/>
  <c r="AL123"/>
  <c r="AK123"/>
  <c r="AJ123"/>
  <c r="AH123"/>
  <c r="AG123"/>
  <c r="AE123"/>
  <c r="AD123"/>
  <c r="AB123"/>
  <c r="AA123"/>
  <c r="Z123"/>
  <c r="Y123"/>
  <c r="X123"/>
  <c r="V123"/>
  <c r="U123"/>
  <c r="T123"/>
  <c r="S123"/>
  <c r="R123"/>
  <c r="P123"/>
  <c r="O123"/>
  <c r="N123"/>
  <c r="M123"/>
  <c r="L123"/>
  <c r="I123"/>
  <c r="H123"/>
  <c r="G123"/>
  <c r="F123"/>
  <c r="AS122"/>
  <c r="AS123" s="1"/>
  <c r="AR122"/>
  <c r="AR123" s="1"/>
  <c r="AQ122"/>
  <c r="AQ123" s="1"/>
  <c r="AP122"/>
  <c r="AP123" s="1"/>
  <c r="AO122"/>
  <c r="AO123" s="1"/>
  <c r="AI122"/>
  <c r="AI123" s="1"/>
  <c r="AF122"/>
  <c r="AF123" s="1"/>
  <c r="AC122"/>
  <c r="AC123" s="1"/>
  <c r="W122"/>
  <c r="W123" s="1"/>
  <c r="Q122"/>
  <c r="Q123" s="1"/>
  <c r="J122"/>
  <c r="J123" s="1"/>
  <c r="AN121"/>
  <c r="AM121"/>
  <c r="AL121"/>
  <c r="AK121"/>
  <c r="AJ121"/>
  <c r="AH121"/>
  <c r="AG121"/>
  <c r="AE121"/>
  <c r="AD121"/>
  <c r="AB121"/>
  <c r="AA121"/>
  <c r="Z121"/>
  <c r="Y121"/>
  <c r="X121"/>
  <c r="V121"/>
  <c r="U121"/>
  <c r="T121"/>
  <c r="S121"/>
  <c r="R121"/>
  <c r="P121"/>
  <c r="O121"/>
  <c r="N121"/>
  <c r="M121"/>
  <c r="L121"/>
  <c r="J121"/>
  <c r="I121"/>
  <c r="G121"/>
  <c r="F121"/>
  <c r="AT120"/>
  <c r="AS120"/>
  <c r="AQ120"/>
  <c r="AP120"/>
  <c r="AO120"/>
  <c r="AI120"/>
  <c r="AF120"/>
  <c r="AC120"/>
  <c r="W120"/>
  <c r="Q120"/>
  <c r="H120"/>
  <c r="H121" s="1"/>
  <c r="AT119"/>
  <c r="AS119"/>
  <c r="AS121" s="1"/>
  <c r="AR119"/>
  <c r="AQ119"/>
  <c r="AQ121" s="1"/>
  <c r="AP119"/>
  <c r="AP121" s="1"/>
  <c r="AO119"/>
  <c r="AI119"/>
  <c r="AI121" s="1"/>
  <c r="AF119"/>
  <c r="AF121" s="1"/>
  <c r="AC119"/>
  <c r="AC121" s="1"/>
  <c r="W119"/>
  <c r="Q119"/>
  <c r="Q121" s="1"/>
  <c r="K119"/>
  <c r="AN118"/>
  <c r="AM118"/>
  <c r="AL118"/>
  <c r="AK118"/>
  <c r="AJ118"/>
  <c r="AH118"/>
  <c r="AG118"/>
  <c r="AE118"/>
  <c r="AD118"/>
  <c r="AA118"/>
  <c r="Y118"/>
  <c r="X118"/>
  <c r="V118"/>
  <c r="U118"/>
  <c r="T118"/>
  <c r="S118"/>
  <c r="R118"/>
  <c r="O118"/>
  <c r="N118"/>
  <c r="M118"/>
  <c r="L118"/>
  <c r="J118"/>
  <c r="I118"/>
  <c r="H118"/>
  <c r="G118"/>
  <c r="F118"/>
  <c r="AT117"/>
  <c r="AS117"/>
  <c r="AR117"/>
  <c r="AQ117"/>
  <c r="AP117"/>
  <c r="AO117"/>
  <c r="AI117"/>
  <c r="AF117"/>
  <c r="AC117"/>
  <c r="W117"/>
  <c r="Q117"/>
  <c r="K117"/>
  <c r="AS116"/>
  <c r="AQ116"/>
  <c r="AP116"/>
  <c r="AO116"/>
  <c r="AI116"/>
  <c r="AF116"/>
  <c r="AB116"/>
  <c r="AB118" s="1"/>
  <c r="Z116"/>
  <c r="AR116" s="1"/>
  <c r="W116"/>
  <c r="Q116"/>
  <c r="K116"/>
  <c r="AT115"/>
  <c r="AS115"/>
  <c r="AR115"/>
  <c r="AQ115"/>
  <c r="AP115"/>
  <c r="AO115"/>
  <c r="AI115"/>
  <c r="AF115"/>
  <c r="AC115"/>
  <c r="W115"/>
  <c r="Q115"/>
  <c r="P115"/>
  <c r="P118" s="1"/>
  <c r="K115"/>
  <c r="AT114"/>
  <c r="AS114"/>
  <c r="AR114"/>
  <c r="AQ114"/>
  <c r="AQ118" s="1"/>
  <c r="AP114"/>
  <c r="AO114"/>
  <c r="AI114"/>
  <c r="AF114"/>
  <c r="AC114"/>
  <c r="W114"/>
  <c r="Q114"/>
  <c r="K114"/>
  <c r="K118" s="1"/>
  <c r="AN113"/>
  <c r="AM113"/>
  <c r="AJ113"/>
  <c r="AG113"/>
  <c r="AD113"/>
  <c r="AA113"/>
  <c r="Y113"/>
  <c r="X113"/>
  <c r="U113"/>
  <c r="T113"/>
  <c r="S113"/>
  <c r="R113"/>
  <c r="O113"/>
  <c r="N113"/>
  <c r="M113"/>
  <c r="L113"/>
  <c r="G113"/>
  <c r="F113"/>
  <c r="AT112"/>
  <c r="AS112"/>
  <c r="AR112"/>
  <c r="AQ112"/>
  <c r="AP112"/>
  <c r="AO112"/>
  <c r="AI112"/>
  <c r="AF112"/>
  <c r="AC112"/>
  <c r="W112"/>
  <c r="Q112"/>
  <c r="K112"/>
  <c r="AR111"/>
  <c r="AQ111"/>
  <c r="AP111"/>
  <c r="AO111"/>
  <c r="AI111"/>
  <c r="AE111"/>
  <c r="AT111" s="1"/>
  <c r="AC111"/>
  <c r="W111"/>
  <c r="Q111"/>
  <c r="I111"/>
  <c r="AS111" s="1"/>
  <c r="AR110"/>
  <c r="AQ110"/>
  <c r="AP110"/>
  <c r="AO110"/>
  <c r="AI110"/>
  <c r="AE110"/>
  <c r="AT110" s="1"/>
  <c r="AC110"/>
  <c r="W110"/>
  <c r="Q110"/>
  <c r="I110"/>
  <c r="AS110" s="1"/>
  <c r="AT109"/>
  <c r="AS109"/>
  <c r="AR109"/>
  <c r="AQ109"/>
  <c r="AP109"/>
  <c r="AO109"/>
  <c r="AI109"/>
  <c r="AF109"/>
  <c r="AC109"/>
  <c r="W109"/>
  <c r="Q109"/>
  <c r="K109"/>
  <c r="AT108"/>
  <c r="AS108"/>
  <c r="AR108"/>
  <c r="AQ108"/>
  <c r="AP108"/>
  <c r="AO108"/>
  <c r="AI108"/>
  <c r="AF108"/>
  <c r="AC108"/>
  <c r="W108"/>
  <c r="Q108"/>
  <c r="K108"/>
  <c r="AS107"/>
  <c r="AQ107"/>
  <c r="AP107"/>
  <c r="AO107"/>
  <c r="AI107"/>
  <c r="AF107"/>
  <c r="AC107"/>
  <c r="W107"/>
  <c r="Q107"/>
  <c r="J107"/>
  <c r="AT107" s="1"/>
  <c r="H107"/>
  <c r="AS106"/>
  <c r="AR106"/>
  <c r="AQ106"/>
  <c r="AP106"/>
  <c r="AO106"/>
  <c r="AI106"/>
  <c r="AF106"/>
  <c r="AC106"/>
  <c r="W106"/>
  <c r="V113"/>
  <c r="Q106"/>
  <c r="K106"/>
  <c r="AS105"/>
  <c r="AQ105"/>
  <c r="AP105"/>
  <c r="AO105"/>
  <c r="AI105"/>
  <c r="AF105"/>
  <c r="AB105"/>
  <c r="AT105" s="1"/>
  <c r="W105"/>
  <c r="Q105"/>
  <c r="H105"/>
  <c r="AR105" s="1"/>
  <c r="AT104"/>
  <c r="AS104"/>
  <c r="AR104"/>
  <c r="AQ104"/>
  <c r="AP104"/>
  <c r="AO104"/>
  <c r="AI104"/>
  <c r="AF104"/>
  <c r="AC104"/>
  <c r="W104"/>
  <c r="Q104"/>
  <c r="K104"/>
  <c r="AQ103"/>
  <c r="AP103"/>
  <c r="AO103"/>
  <c r="AI103"/>
  <c r="AE103"/>
  <c r="AT103" s="1"/>
  <c r="AC103"/>
  <c r="W103"/>
  <c r="Q103"/>
  <c r="I103"/>
  <c r="AS103" s="1"/>
  <c r="H103"/>
  <c r="AR103" s="1"/>
  <c r="AS102"/>
  <c r="AR102"/>
  <c r="AQ102"/>
  <c r="AU102" s="1"/>
  <c r="AP102"/>
  <c r="AO102"/>
  <c r="AI102"/>
  <c r="AF102"/>
  <c r="AC102"/>
  <c r="W102"/>
  <c r="P102"/>
  <c r="AT102" s="1"/>
  <c r="K102"/>
  <c r="AS101"/>
  <c r="AR101"/>
  <c r="AQ101"/>
  <c r="AP101"/>
  <c r="AO101"/>
  <c r="AI101"/>
  <c r="AF101"/>
  <c r="AB101"/>
  <c r="AT101" s="1"/>
  <c r="W101"/>
  <c r="Q101"/>
  <c r="K101"/>
  <c r="AQ100"/>
  <c r="AP100"/>
  <c r="AO100"/>
  <c r="AH100"/>
  <c r="AT100" s="1"/>
  <c r="AF100"/>
  <c r="AC100"/>
  <c r="W100"/>
  <c r="Q100"/>
  <c r="I100"/>
  <c r="AS100" s="1"/>
  <c r="H100"/>
  <c r="AR100" s="1"/>
  <c r="AQ99"/>
  <c r="AP99"/>
  <c r="AO99"/>
  <c r="AL99"/>
  <c r="AL113" s="1"/>
  <c r="AI99"/>
  <c r="AE99"/>
  <c r="AT99" s="1"/>
  <c r="AC99"/>
  <c r="W99"/>
  <c r="Q99"/>
  <c r="I99"/>
  <c r="AS99" s="1"/>
  <c r="H99"/>
  <c r="AT98"/>
  <c r="AS98"/>
  <c r="AR98"/>
  <c r="AQ98"/>
  <c r="AP98"/>
  <c r="AO98"/>
  <c r="AI98"/>
  <c r="AF98"/>
  <c r="AC98"/>
  <c r="W98"/>
  <c r="Q98"/>
  <c r="K98"/>
  <c r="AS97"/>
  <c r="AQ97"/>
  <c r="AP97"/>
  <c r="AO97"/>
  <c r="AI97"/>
  <c r="AE97"/>
  <c r="AT97" s="1"/>
  <c r="AC97"/>
  <c r="W97"/>
  <c r="Q97"/>
  <c r="H97"/>
  <c r="AR97" s="1"/>
  <c r="AQ96"/>
  <c r="AP96"/>
  <c r="AO96"/>
  <c r="AI96"/>
  <c r="AE96"/>
  <c r="AT96" s="1"/>
  <c r="AC96"/>
  <c r="W96"/>
  <c r="Q96"/>
  <c r="I96"/>
  <c r="AS96" s="1"/>
  <c r="H96"/>
  <c r="AR96" s="1"/>
  <c r="AT95"/>
  <c r="AS95"/>
  <c r="AR95"/>
  <c r="AQ95"/>
  <c r="AP95"/>
  <c r="AO95"/>
  <c r="AI95"/>
  <c r="AF95"/>
  <c r="AC95"/>
  <c r="W95"/>
  <c r="Q95"/>
  <c r="K95"/>
  <c r="AS94"/>
  <c r="AR94"/>
  <c r="AQ94"/>
  <c r="AP94"/>
  <c r="AO94"/>
  <c r="AI94"/>
  <c r="AF94"/>
  <c r="AC94"/>
  <c r="W94"/>
  <c r="P94"/>
  <c r="AT94" s="1"/>
  <c r="K94"/>
  <c r="AS93"/>
  <c r="AQ93"/>
  <c r="AP93"/>
  <c r="AO93"/>
  <c r="AH93"/>
  <c r="AT93" s="1"/>
  <c r="AF93"/>
  <c r="AC93"/>
  <c r="W93"/>
  <c r="Q93"/>
  <c r="H93"/>
  <c r="AR93" s="1"/>
  <c r="AT92"/>
  <c r="AS92"/>
  <c r="AR92"/>
  <c r="AQ92"/>
  <c r="AP92"/>
  <c r="AO92"/>
  <c r="AI92"/>
  <c r="AF92"/>
  <c r="AC92"/>
  <c r="W92"/>
  <c r="Q92"/>
  <c r="P92"/>
  <c r="K92"/>
  <c r="AT91"/>
  <c r="AS91"/>
  <c r="AR91"/>
  <c r="AQ91"/>
  <c r="AP91"/>
  <c r="AO91"/>
  <c r="AI91"/>
  <c r="AF91"/>
  <c r="AC91"/>
  <c r="W91"/>
  <c r="Q91"/>
  <c r="K91"/>
  <c r="AQ90"/>
  <c r="AP90"/>
  <c r="AO90"/>
  <c r="AI90"/>
  <c r="AF90"/>
  <c r="AC90"/>
  <c r="W90"/>
  <c r="P90"/>
  <c r="P113" s="1"/>
  <c r="I90"/>
  <c r="AS90" s="1"/>
  <c r="H90"/>
  <c r="AR90" s="1"/>
  <c r="AQ89"/>
  <c r="AP89"/>
  <c r="AO89"/>
  <c r="AI89"/>
  <c r="AE89"/>
  <c r="AT89" s="1"/>
  <c r="AC89"/>
  <c r="W89"/>
  <c r="Q89"/>
  <c r="I89"/>
  <c r="AS89" s="1"/>
  <c r="H89"/>
  <c r="AR89" s="1"/>
  <c r="AS88"/>
  <c r="AQ88"/>
  <c r="AP88"/>
  <c r="AO88"/>
  <c r="AI88"/>
  <c r="AF88"/>
  <c r="AB88"/>
  <c r="AT88" s="1"/>
  <c r="W88"/>
  <c r="Q88"/>
  <c r="H88"/>
  <c r="AR88" s="1"/>
  <c r="AS87"/>
  <c r="AR87"/>
  <c r="AQ87"/>
  <c r="AP87"/>
  <c r="AO87"/>
  <c r="AI87"/>
  <c r="AF87"/>
  <c r="AB87"/>
  <c r="AT87" s="1"/>
  <c r="W87"/>
  <c r="Q87"/>
  <c r="K87"/>
  <c r="AT86"/>
  <c r="AS86"/>
  <c r="AR86"/>
  <c r="AQ86"/>
  <c r="AP86"/>
  <c r="AO86"/>
  <c r="AI86"/>
  <c r="AF86"/>
  <c r="AC86"/>
  <c r="W86"/>
  <c r="Q86"/>
  <c r="K86"/>
  <c r="AS85"/>
  <c r="AQ85"/>
  <c r="AP85"/>
  <c r="AO85"/>
  <c r="AI85"/>
  <c r="AF85"/>
  <c r="AC85"/>
  <c r="W85"/>
  <c r="Q85"/>
  <c r="J85"/>
  <c r="J113" s="1"/>
  <c r="H85"/>
  <c r="AS84"/>
  <c r="AR84"/>
  <c r="AQ84"/>
  <c r="AP84"/>
  <c r="AO84"/>
  <c r="AI84"/>
  <c r="AF84"/>
  <c r="AB84"/>
  <c r="AB113" s="1"/>
  <c r="W84"/>
  <c r="Q84"/>
  <c r="K84"/>
  <c r="AQ83"/>
  <c r="AP83"/>
  <c r="AO83"/>
  <c r="AI83"/>
  <c r="AE83"/>
  <c r="AE113" s="1"/>
  <c r="Z83"/>
  <c r="AR83" s="1"/>
  <c r="W83"/>
  <c r="Q83"/>
  <c r="I83"/>
  <c r="AS83" s="1"/>
  <c r="AP82"/>
  <c r="AK82"/>
  <c r="AK113" s="1"/>
  <c r="AH82"/>
  <c r="AT82" s="1"/>
  <c r="AF82"/>
  <c r="Z82"/>
  <c r="AC82" s="1"/>
  <c r="W82"/>
  <c r="Q82"/>
  <c r="I82"/>
  <c r="H82"/>
  <c r="AR82" s="1"/>
  <c r="AN81"/>
  <c r="AM81"/>
  <c r="AL81"/>
  <c r="AK81"/>
  <c r="AJ81"/>
  <c r="AH81"/>
  <c r="AG81"/>
  <c r="AF81"/>
  <c r="AE81"/>
  <c r="AD81"/>
  <c r="AB81"/>
  <c r="AA81"/>
  <c r="Z81"/>
  <c r="Y81"/>
  <c r="X81"/>
  <c r="V81"/>
  <c r="U81"/>
  <c r="T81"/>
  <c r="S81"/>
  <c r="R81"/>
  <c r="P81"/>
  <c r="O81"/>
  <c r="N81"/>
  <c r="M81"/>
  <c r="L81"/>
  <c r="J81"/>
  <c r="I81"/>
  <c r="G81"/>
  <c r="F81"/>
  <c r="AT80"/>
  <c r="AT81" s="1"/>
  <c r="AS80"/>
  <c r="AS81" s="1"/>
  <c r="AQ80"/>
  <c r="AQ81" s="1"/>
  <c r="AP80"/>
  <c r="AP81" s="1"/>
  <c r="AO80"/>
  <c r="AO81" s="1"/>
  <c r="AI80"/>
  <c r="AI81" s="1"/>
  <c r="AC80"/>
  <c r="AC81" s="1"/>
  <c r="W80"/>
  <c r="W81" s="1"/>
  <c r="Q80"/>
  <c r="Q81" s="1"/>
  <c r="J80"/>
  <c r="H80"/>
  <c r="H81" s="1"/>
  <c r="AN79"/>
  <c r="AM79"/>
  <c r="AL79"/>
  <c r="AK79"/>
  <c r="AJ79"/>
  <c r="AH79"/>
  <c r="AG79"/>
  <c r="AE79"/>
  <c r="AD79"/>
  <c r="AA79"/>
  <c r="Z79"/>
  <c r="Y79"/>
  <c r="X79"/>
  <c r="V79"/>
  <c r="U79"/>
  <c r="T79"/>
  <c r="S79"/>
  <c r="R79"/>
  <c r="P79"/>
  <c r="O79"/>
  <c r="N79"/>
  <c r="M79"/>
  <c r="L79"/>
  <c r="I79"/>
  <c r="G79"/>
  <c r="F79"/>
  <c r="AS78"/>
  <c r="AR78"/>
  <c r="AQ78"/>
  <c r="AP78"/>
  <c r="AO78"/>
  <c r="AI78"/>
  <c r="AF78"/>
  <c r="AC78"/>
  <c r="W78"/>
  <c r="Q78"/>
  <c r="J78"/>
  <c r="AT78" s="1"/>
  <c r="AT77"/>
  <c r="AS77"/>
  <c r="AR77"/>
  <c r="AQ77"/>
  <c r="AP77"/>
  <c r="AO77"/>
  <c r="AI77"/>
  <c r="AF77"/>
  <c r="AC77"/>
  <c r="W77"/>
  <c r="Q77"/>
  <c r="K77"/>
  <c r="AT76"/>
  <c r="AS76"/>
  <c r="AR76"/>
  <c r="AQ76"/>
  <c r="AP76"/>
  <c r="AO76"/>
  <c r="AI76"/>
  <c r="AF76"/>
  <c r="AC76"/>
  <c r="W76"/>
  <c r="Q76"/>
  <c r="K76"/>
  <c r="AS75"/>
  <c r="AR75"/>
  <c r="AQ75"/>
  <c r="AP75"/>
  <c r="AO75"/>
  <c r="AI75"/>
  <c r="AF75"/>
  <c r="AB75"/>
  <c r="AB79" s="1"/>
  <c r="W75"/>
  <c r="Q75"/>
  <c r="K75"/>
  <c r="AS74"/>
  <c r="AR74"/>
  <c r="AQ74"/>
  <c r="AP74"/>
  <c r="AO74"/>
  <c r="AI74"/>
  <c r="AF74"/>
  <c r="AC74"/>
  <c r="W74"/>
  <c r="Q74"/>
  <c r="J74"/>
  <c r="AT74" s="1"/>
  <c r="AS73"/>
  <c r="AQ73"/>
  <c r="AP73"/>
  <c r="AO73"/>
  <c r="AI73"/>
  <c r="AF73"/>
  <c r="AC73"/>
  <c r="W73"/>
  <c r="Q73"/>
  <c r="J73"/>
  <c r="H73"/>
  <c r="AT72"/>
  <c r="AS72"/>
  <c r="AR72"/>
  <c r="AQ72"/>
  <c r="AP72"/>
  <c r="AO72"/>
  <c r="AI72"/>
  <c r="AF72"/>
  <c r="AC72"/>
  <c r="W72"/>
  <c r="Q72"/>
  <c r="K72"/>
  <c r="AT71"/>
  <c r="AS71"/>
  <c r="AQ71"/>
  <c r="AP71"/>
  <c r="AO71"/>
  <c r="AI71"/>
  <c r="AF71"/>
  <c r="AC71"/>
  <c r="W71"/>
  <c r="Q71"/>
  <c r="H71"/>
  <c r="H79" s="1"/>
  <c r="AT70"/>
  <c r="AS70"/>
  <c r="AS79" s="1"/>
  <c r="AR70"/>
  <c r="AQ70"/>
  <c r="AQ79" s="1"/>
  <c r="AP70"/>
  <c r="AO70"/>
  <c r="AO79" s="1"/>
  <c r="AI70"/>
  <c r="AF70"/>
  <c r="AC70"/>
  <c r="W70"/>
  <c r="Q70"/>
  <c r="K70"/>
  <c r="AN69"/>
  <c r="AM69"/>
  <c r="AL69"/>
  <c r="AK69"/>
  <c r="AJ69"/>
  <c r="AH69"/>
  <c r="AG69"/>
  <c r="AE69"/>
  <c r="AD69"/>
  <c r="AB69"/>
  <c r="AA69"/>
  <c r="Z69"/>
  <c r="Y69"/>
  <c r="X69"/>
  <c r="V69"/>
  <c r="U69"/>
  <c r="T69"/>
  <c r="S69"/>
  <c r="R69"/>
  <c r="P69"/>
  <c r="O69"/>
  <c r="N69"/>
  <c r="M69"/>
  <c r="L69"/>
  <c r="J69"/>
  <c r="I69"/>
  <c r="H69"/>
  <c r="G69"/>
  <c r="F69"/>
  <c r="AT68"/>
  <c r="AT69" s="1"/>
  <c r="AS68"/>
  <c r="AS69" s="1"/>
  <c r="AR68"/>
  <c r="AR69" s="1"/>
  <c r="AQ68"/>
  <c r="AQ69" s="1"/>
  <c r="AP68"/>
  <c r="AP69" s="1"/>
  <c r="AO68"/>
  <c r="AO69" s="1"/>
  <c r="AI68"/>
  <c r="AI69" s="1"/>
  <c r="AF68"/>
  <c r="AF69" s="1"/>
  <c r="AC68"/>
  <c r="AC69" s="1"/>
  <c r="W68"/>
  <c r="W69" s="1"/>
  <c r="Q68"/>
  <c r="Q69" s="1"/>
  <c r="K68"/>
  <c r="K69" s="1"/>
  <c r="AN67"/>
  <c r="AM67"/>
  <c r="AL67"/>
  <c r="AK67"/>
  <c r="AJ67"/>
  <c r="AH67"/>
  <c r="AG67"/>
  <c r="AD67"/>
  <c r="AB67"/>
  <c r="AA67"/>
  <c r="Z67"/>
  <c r="Y67"/>
  <c r="X67"/>
  <c r="V67"/>
  <c r="U67"/>
  <c r="T67"/>
  <c r="S67"/>
  <c r="R67"/>
  <c r="P67"/>
  <c r="O67"/>
  <c r="N67"/>
  <c r="M67"/>
  <c r="L67"/>
  <c r="J67"/>
  <c r="H67"/>
  <c r="G67"/>
  <c r="F67"/>
  <c r="AT66"/>
  <c r="AS66"/>
  <c r="AR66"/>
  <c r="AQ66"/>
  <c r="AP66"/>
  <c r="AO66"/>
  <c r="AI66"/>
  <c r="AF66"/>
  <c r="AC66"/>
  <c r="W66"/>
  <c r="Q66"/>
  <c r="K66"/>
  <c r="AR65"/>
  <c r="AQ65"/>
  <c r="AP65"/>
  <c r="AO65"/>
  <c r="AI65"/>
  <c r="AF65"/>
  <c r="AE65"/>
  <c r="AT65" s="1"/>
  <c r="AC65"/>
  <c r="W65"/>
  <c r="Q65"/>
  <c r="I65"/>
  <c r="AS65" s="1"/>
  <c r="AS64"/>
  <c r="AR64"/>
  <c r="AQ64"/>
  <c r="AP64"/>
  <c r="AO64"/>
  <c r="AI64"/>
  <c r="AE64"/>
  <c r="AT64" s="1"/>
  <c r="AC64"/>
  <c r="W64"/>
  <c r="Q64"/>
  <c r="K64"/>
  <c r="AT63"/>
  <c r="AS63"/>
  <c r="AR63"/>
  <c r="AR67" s="1"/>
  <c r="AQ63"/>
  <c r="AQ67" s="1"/>
  <c r="AP63"/>
  <c r="AO63"/>
  <c r="AI63"/>
  <c r="AI67" s="1"/>
  <c r="AF63"/>
  <c r="AC63"/>
  <c r="W63"/>
  <c r="Q63"/>
  <c r="K63"/>
  <c r="AN62"/>
  <c r="AM62"/>
  <c r="AL62"/>
  <c r="AK62"/>
  <c r="AJ62"/>
  <c r="AH62"/>
  <c r="AG62"/>
  <c r="AE62"/>
  <c r="AD62"/>
  <c r="AA62"/>
  <c r="Y62"/>
  <c r="X62"/>
  <c r="V62"/>
  <c r="U62"/>
  <c r="T62"/>
  <c r="S62"/>
  <c r="R62"/>
  <c r="P62"/>
  <c r="O62"/>
  <c r="N62"/>
  <c r="M62"/>
  <c r="L62"/>
  <c r="I62"/>
  <c r="G62"/>
  <c r="F62"/>
  <c r="AT61"/>
  <c r="AS61"/>
  <c r="AR61"/>
  <c r="AQ61"/>
  <c r="AP61"/>
  <c r="AO61"/>
  <c r="AI61"/>
  <c r="AF61"/>
  <c r="AC61"/>
  <c r="W61"/>
  <c r="Q61"/>
  <c r="K61"/>
  <c r="AS60"/>
  <c r="AR60"/>
  <c r="AQ60"/>
  <c r="AP60"/>
  <c r="AO60"/>
  <c r="AI60"/>
  <c r="AF60"/>
  <c r="AC60"/>
  <c r="W60"/>
  <c r="Q60"/>
  <c r="J60"/>
  <c r="AT60" s="1"/>
  <c r="AS59"/>
  <c r="AR59"/>
  <c r="AQ59"/>
  <c r="AP59"/>
  <c r="AO59"/>
  <c r="AI59"/>
  <c r="AF59"/>
  <c r="AB59"/>
  <c r="AT59" s="1"/>
  <c r="W59"/>
  <c r="Q59"/>
  <c r="K59"/>
  <c r="AT58"/>
  <c r="AS58"/>
  <c r="AQ58"/>
  <c r="AP58"/>
  <c r="AO58"/>
  <c r="AI58"/>
  <c r="AF58"/>
  <c r="AC58"/>
  <c r="W58"/>
  <c r="Q58"/>
  <c r="H58"/>
  <c r="AR58" s="1"/>
  <c r="AT57"/>
  <c r="AS57"/>
  <c r="AQ57"/>
  <c r="AP57"/>
  <c r="AO57"/>
  <c r="AI57"/>
  <c r="AF57"/>
  <c r="AC57"/>
  <c r="W57"/>
  <c r="Q57"/>
  <c r="H57"/>
  <c r="AR57" s="1"/>
  <c r="AT56"/>
  <c r="AS56"/>
  <c r="AR56"/>
  <c r="AQ56"/>
  <c r="AP56"/>
  <c r="AU56" s="1"/>
  <c r="AO56"/>
  <c r="AI56"/>
  <c r="AF56"/>
  <c r="AC56"/>
  <c r="W56"/>
  <c r="Q56"/>
  <c r="K56"/>
  <c r="AT55"/>
  <c r="AS55"/>
  <c r="AR55"/>
  <c r="AQ55"/>
  <c r="AP55"/>
  <c r="AO55"/>
  <c r="AI55"/>
  <c r="AF55"/>
  <c r="AC55"/>
  <c r="W55"/>
  <c r="Q55"/>
  <c r="K55"/>
  <c r="AT54"/>
  <c r="AS54"/>
  <c r="AQ54"/>
  <c r="AP54"/>
  <c r="AO54"/>
  <c r="AI54"/>
  <c r="AF54"/>
  <c r="AB54"/>
  <c r="Z54"/>
  <c r="AR54" s="1"/>
  <c r="W54"/>
  <c r="Q54"/>
  <c r="K54"/>
  <c r="AN53"/>
  <c r="AM53"/>
  <c r="AL53"/>
  <c r="AK53"/>
  <c r="AJ53"/>
  <c r="AH53"/>
  <c r="AG53"/>
  <c r="AD53"/>
  <c r="AA53"/>
  <c r="Y53"/>
  <c r="X53"/>
  <c r="V53"/>
  <c r="U53"/>
  <c r="T53"/>
  <c r="S53"/>
  <c r="R53"/>
  <c r="P53"/>
  <c r="O53"/>
  <c r="N53"/>
  <c r="M53"/>
  <c r="L53"/>
  <c r="G53"/>
  <c r="F53"/>
  <c r="AQ52"/>
  <c r="AP52"/>
  <c r="AO52"/>
  <c r="AI52"/>
  <c r="AE52"/>
  <c r="AT52" s="1"/>
  <c r="AC52"/>
  <c r="W52"/>
  <c r="Q52"/>
  <c r="I52"/>
  <c r="H52"/>
  <c r="AR52" s="1"/>
  <c r="AT51"/>
  <c r="AS51"/>
  <c r="AQ51"/>
  <c r="AP51"/>
  <c r="AO51"/>
  <c r="AI51"/>
  <c r="AF51"/>
  <c r="AC51"/>
  <c r="W51"/>
  <c r="Q51"/>
  <c r="H51"/>
  <c r="AR51" s="1"/>
  <c r="AS50"/>
  <c r="AQ50"/>
  <c r="AP50"/>
  <c r="AO50"/>
  <c r="AI50"/>
  <c r="AF50"/>
  <c r="AC50"/>
  <c r="W50"/>
  <c r="Q50"/>
  <c r="J50"/>
  <c r="J53" s="1"/>
  <c r="H50"/>
  <c r="AT49"/>
  <c r="AS49"/>
  <c r="AQ49"/>
  <c r="AP49"/>
  <c r="AO49"/>
  <c r="AI49"/>
  <c r="AF49"/>
  <c r="AC49"/>
  <c r="W49"/>
  <c r="Q49"/>
  <c r="H49"/>
  <c r="AR49" s="1"/>
  <c r="AT48"/>
  <c r="AS48"/>
  <c r="AR48"/>
  <c r="AQ48"/>
  <c r="AP48"/>
  <c r="AO48"/>
  <c r="AI48"/>
  <c r="AF48"/>
  <c r="AC48"/>
  <c r="W48"/>
  <c r="Q48"/>
  <c r="K48"/>
  <c r="AT47"/>
  <c r="AS47"/>
  <c r="AR47"/>
  <c r="AQ47"/>
  <c r="AP47"/>
  <c r="AO47"/>
  <c r="AI47"/>
  <c r="AF47"/>
  <c r="AC47"/>
  <c r="W47"/>
  <c r="Q47"/>
  <c r="K47"/>
  <c r="AQ46"/>
  <c r="AP46"/>
  <c r="AO46"/>
  <c r="AI46"/>
  <c r="AE46"/>
  <c r="AE53" s="1"/>
  <c r="AC46"/>
  <c r="W46"/>
  <c r="Q46"/>
  <c r="I46"/>
  <c r="AS46" s="1"/>
  <c r="H46"/>
  <c r="AR46" s="1"/>
  <c r="AS45"/>
  <c r="AQ45"/>
  <c r="AP45"/>
  <c r="AO45"/>
  <c r="AI45"/>
  <c r="AF45"/>
  <c r="AB45"/>
  <c r="AB53" s="1"/>
  <c r="Z45"/>
  <c r="AR45" s="1"/>
  <c r="W45"/>
  <c r="Q45"/>
  <c r="Q53" s="1"/>
  <c r="K45"/>
  <c r="AN44"/>
  <c r="AM44"/>
  <c r="AL44"/>
  <c r="AK44"/>
  <c r="AJ44"/>
  <c r="AH44"/>
  <c r="AG44"/>
  <c r="AD44"/>
  <c r="AB44"/>
  <c r="AA44"/>
  <c r="Y44"/>
  <c r="X44"/>
  <c r="V44"/>
  <c r="U44"/>
  <c r="T44"/>
  <c r="S44"/>
  <c r="R44"/>
  <c r="O44"/>
  <c r="N44"/>
  <c r="M44"/>
  <c r="L44"/>
  <c r="G44"/>
  <c r="F44"/>
  <c r="AT43"/>
  <c r="AS43"/>
  <c r="AR43"/>
  <c r="AQ43"/>
  <c r="AP43"/>
  <c r="AO43"/>
  <c r="AI43"/>
  <c r="AF43"/>
  <c r="AC43"/>
  <c r="W43"/>
  <c r="Q43"/>
  <c r="K43"/>
  <c r="AS42"/>
  <c r="AR42"/>
  <c r="AQ42"/>
  <c r="AP42"/>
  <c r="AO42"/>
  <c r="AI42"/>
  <c r="AF42"/>
  <c r="AC42"/>
  <c r="W42"/>
  <c r="Q42"/>
  <c r="J42"/>
  <c r="AT42" s="1"/>
  <c r="H42"/>
  <c r="AT41"/>
  <c r="AS41"/>
  <c r="AR41"/>
  <c r="AQ41"/>
  <c r="AP41"/>
  <c r="AO41"/>
  <c r="AI41"/>
  <c r="AF41"/>
  <c r="AC41"/>
  <c r="W41"/>
  <c r="Q41"/>
  <c r="K41"/>
  <c r="AT40"/>
  <c r="AS40"/>
  <c r="AR40"/>
  <c r="AQ40"/>
  <c r="AP40"/>
  <c r="AO40"/>
  <c r="AI40"/>
  <c r="AF40"/>
  <c r="AC40"/>
  <c r="W40"/>
  <c r="Q40"/>
  <c r="K40"/>
  <c r="AR39"/>
  <c r="AQ39"/>
  <c r="AP39"/>
  <c r="AO39"/>
  <c r="AI39"/>
  <c r="AE39"/>
  <c r="AT39" s="1"/>
  <c r="AC39"/>
  <c r="W39"/>
  <c r="Q39"/>
  <c r="I39"/>
  <c r="I44" s="1"/>
  <c r="AT38"/>
  <c r="AS38"/>
  <c r="AR38"/>
  <c r="AQ38"/>
  <c r="AP38"/>
  <c r="AO38"/>
  <c r="AI38"/>
  <c r="AF38"/>
  <c r="AC38"/>
  <c r="W38"/>
  <c r="Q38"/>
  <c r="K38"/>
  <c r="AS37"/>
  <c r="AR37"/>
  <c r="AQ37"/>
  <c r="AP37"/>
  <c r="AO37"/>
  <c r="AI37"/>
  <c r="AF37"/>
  <c r="AC37"/>
  <c r="W37"/>
  <c r="P37"/>
  <c r="P44" s="1"/>
  <c r="K37"/>
  <c r="AT36"/>
  <c r="AS36"/>
  <c r="AQ36"/>
  <c r="AP36"/>
  <c r="AO36"/>
  <c r="AI36"/>
  <c r="AF36"/>
  <c r="Z36"/>
  <c r="Z44" s="1"/>
  <c r="W36"/>
  <c r="Q36"/>
  <c r="K36"/>
  <c r="AT35"/>
  <c r="AS35"/>
  <c r="AQ35"/>
  <c r="AP35"/>
  <c r="AO35"/>
  <c r="AI35"/>
  <c r="AF35"/>
  <c r="AC35"/>
  <c r="W35"/>
  <c r="Q35"/>
  <c r="H35"/>
  <c r="H44" s="1"/>
  <c r="AT32"/>
  <c r="AS32"/>
  <c r="AR32"/>
  <c r="AQ32"/>
  <c r="AP32"/>
  <c r="AO32"/>
  <c r="AI32"/>
  <c r="AF32"/>
  <c r="AC32"/>
  <c r="W32"/>
  <c r="Q32"/>
  <c r="K32"/>
  <c r="AT31"/>
  <c r="AS31"/>
  <c r="AQ31"/>
  <c r="AP31"/>
  <c r="AO31"/>
  <c r="AI31"/>
  <c r="AF31"/>
  <c r="AC31"/>
  <c r="W31"/>
  <c r="Q31"/>
  <c r="H31"/>
  <c r="AR31" s="1"/>
  <c r="AT30"/>
  <c r="AS30"/>
  <c r="AR30"/>
  <c r="AQ30"/>
  <c r="AP30"/>
  <c r="AO30"/>
  <c r="AI30"/>
  <c r="AF30"/>
  <c r="AC30"/>
  <c r="W30"/>
  <c r="Q30"/>
  <c r="K30"/>
  <c r="AN29"/>
  <c r="AM29"/>
  <c r="AL29"/>
  <c r="AK29"/>
  <c r="AJ29"/>
  <c r="AH29"/>
  <c r="AG29"/>
  <c r="AE29"/>
  <c r="AD29"/>
  <c r="AB29"/>
  <c r="AA29"/>
  <c r="Z29"/>
  <c r="Y29"/>
  <c r="X29"/>
  <c r="V29"/>
  <c r="U29"/>
  <c r="T29"/>
  <c r="S29"/>
  <c r="R29"/>
  <c r="P29"/>
  <c r="O29"/>
  <c r="N29"/>
  <c r="M29"/>
  <c r="L29"/>
  <c r="J29"/>
  <c r="I29"/>
  <c r="H29"/>
  <c r="G29"/>
  <c r="F29"/>
  <c r="AT28"/>
  <c r="AS28"/>
  <c r="AR28"/>
  <c r="AQ28"/>
  <c r="AP28"/>
  <c r="AO28"/>
  <c r="AI28"/>
  <c r="AF28"/>
  <c r="AC28"/>
  <c r="W28"/>
  <c r="Q28"/>
  <c r="K28"/>
  <c r="AT27"/>
  <c r="AT29" s="1"/>
  <c r="AS27"/>
  <c r="AR27"/>
  <c r="AR29" s="1"/>
  <c r="AQ27"/>
  <c r="AP27"/>
  <c r="AP29" s="1"/>
  <c r="AO27"/>
  <c r="AI27"/>
  <c r="AI29" s="1"/>
  <c r="AF27"/>
  <c r="AF29" s="1"/>
  <c r="AC27"/>
  <c r="AC29" s="1"/>
  <c r="W27"/>
  <c r="Q27"/>
  <c r="Q29" s="1"/>
  <c r="K27"/>
  <c r="AN26"/>
  <c r="AM26"/>
  <c r="AL26"/>
  <c r="AK26"/>
  <c r="AJ26"/>
  <c r="AH26"/>
  <c r="AG26"/>
  <c r="AD26"/>
  <c r="AA26"/>
  <c r="Y26"/>
  <c r="X26"/>
  <c r="V26"/>
  <c r="U26"/>
  <c r="T26"/>
  <c r="S26"/>
  <c r="R26"/>
  <c r="P26"/>
  <c r="O26"/>
  <c r="N26"/>
  <c r="M26"/>
  <c r="L26"/>
  <c r="G26"/>
  <c r="F26"/>
  <c r="AT25"/>
  <c r="AS25"/>
  <c r="AR25"/>
  <c r="AQ25"/>
  <c r="AP25"/>
  <c r="AO25"/>
  <c r="AI25"/>
  <c r="AF25"/>
  <c r="AC25"/>
  <c r="W25"/>
  <c r="Q25"/>
  <c r="K25"/>
  <c r="AS24"/>
  <c r="AR24"/>
  <c r="AQ24"/>
  <c r="AP24"/>
  <c r="AO24"/>
  <c r="AI24"/>
  <c r="AF24"/>
  <c r="AB24"/>
  <c r="AB26" s="1"/>
  <c r="W24"/>
  <c r="Q24"/>
  <c r="K24"/>
  <c r="AS23"/>
  <c r="AQ23"/>
  <c r="AP23"/>
  <c r="AO23"/>
  <c r="AI23"/>
  <c r="AF23"/>
  <c r="AC23"/>
  <c r="W23"/>
  <c r="Q23"/>
  <c r="J23"/>
  <c r="AT23" s="1"/>
  <c r="H23"/>
  <c r="H26" s="1"/>
  <c r="AQ22"/>
  <c r="AP22"/>
  <c r="AO22"/>
  <c r="AI22"/>
  <c r="AF22"/>
  <c r="AE22"/>
  <c r="AT22" s="1"/>
  <c r="Z22"/>
  <c r="Z26" s="1"/>
  <c r="W22"/>
  <c r="Q22"/>
  <c r="I22"/>
  <c r="AS22" s="1"/>
  <c r="AR21"/>
  <c r="AQ21"/>
  <c r="AP21"/>
  <c r="AP26" s="1"/>
  <c r="AO21"/>
  <c r="AI21"/>
  <c r="AE21"/>
  <c r="AT21" s="1"/>
  <c r="AC21"/>
  <c r="W21"/>
  <c r="Q21"/>
  <c r="I21"/>
  <c r="AN20"/>
  <c r="AM20"/>
  <c r="AL20"/>
  <c r="AK20"/>
  <c r="AJ20"/>
  <c r="AH20"/>
  <c r="AG20"/>
  <c r="AE20"/>
  <c r="AD20"/>
  <c r="AB20"/>
  <c r="AA20"/>
  <c r="Z20"/>
  <c r="Y20"/>
  <c r="X20"/>
  <c r="V20"/>
  <c r="U20"/>
  <c r="T20"/>
  <c r="S20"/>
  <c r="R20"/>
  <c r="P20"/>
  <c r="O20"/>
  <c r="N20"/>
  <c r="M20"/>
  <c r="L20"/>
  <c r="I20"/>
  <c r="G20"/>
  <c r="F20"/>
  <c r="AS19"/>
  <c r="AQ19"/>
  <c r="AP19"/>
  <c r="AO19"/>
  <c r="AI19"/>
  <c r="AF19"/>
  <c r="AC19"/>
  <c r="W19"/>
  <c r="Q19"/>
  <c r="J19"/>
  <c r="AT19" s="1"/>
  <c r="H19"/>
  <c r="AT18"/>
  <c r="AS18"/>
  <c r="AR18"/>
  <c r="AQ18"/>
  <c r="AP18"/>
  <c r="AO18"/>
  <c r="AI18"/>
  <c r="AF18"/>
  <c r="AC18"/>
  <c r="W18"/>
  <c r="Q18"/>
  <c r="K18"/>
  <c r="AS17"/>
  <c r="AS20" s="1"/>
  <c r="AR17"/>
  <c r="AQ17"/>
  <c r="AP17"/>
  <c r="AO17"/>
  <c r="AO20" s="1"/>
  <c r="AI17"/>
  <c r="AF17"/>
  <c r="AC17"/>
  <c r="W17"/>
  <c r="W20" s="1"/>
  <c r="Q17"/>
  <c r="J17"/>
  <c r="J20" s="1"/>
  <c r="AN16"/>
  <c r="AN224" s="1"/>
  <c r="AN226" s="1"/>
  <c r="AM16"/>
  <c r="AL16"/>
  <c r="AK16"/>
  <c r="AJ16"/>
  <c r="AJ224" s="1"/>
  <c r="AJ226" s="1"/>
  <c r="AG16"/>
  <c r="AG224" s="1"/>
  <c r="AG226" s="1"/>
  <c r="AD16"/>
  <c r="AA16"/>
  <c r="Y16"/>
  <c r="Y224" s="1"/>
  <c r="Y226" s="1"/>
  <c r="X16"/>
  <c r="X224" s="1"/>
  <c r="X226" s="1"/>
  <c r="V16"/>
  <c r="U16"/>
  <c r="T16"/>
  <c r="T224" s="1"/>
  <c r="T226" s="1"/>
  <c r="S16"/>
  <c r="S224" s="1"/>
  <c r="S226" s="1"/>
  <c r="R16"/>
  <c r="O16"/>
  <c r="N16"/>
  <c r="M16"/>
  <c r="M224" s="1"/>
  <c r="M226" s="1"/>
  <c r="L16"/>
  <c r="J16"/>
  <c r="G16"/>
  <c r="G224" s="1"/>
  <c r="G226" s="1"/>
  <c r="F16"/>
  <c r="F224" s="1"/>
  <c r="F226" s="1"/>
  <c r="AQ15"/>
  <c r="AP15"/>
  <c r="AO15"/>
  <c r="AI15"/>
  <c r="AF15"/>
  <c r="AC15"/>
  <c r="W15"/>
  <c r="P15"/>
  <c r="AT15" s="1"/>
  <c r="I15"/>
  <c r="AS15" s="1"/>
  <c r="H15"/>
  <c r="AR15" s="1"/>
  <c r="AQ14"/>
  <c r="AP14"/>
  <c r="AO14"/>
  <c r="AI14"/>
  <c r="AE14"/>
  <c r="AT14" s="1"/>
  <c r="Z14"/>
  <c r="W14"/>
  <c r="Q14"/>
  <c r="I14"/>
  <c r="AS14" s="1"/>
  <c r="H14"/>
  <c r="AS13"/>
  <c r="AR13"/>
  <c r="AQ13"/>
  <c r="AP13"/>
  <c r="AO13"/>
  <c r="AI13"/>
  <c r="AF13"/>
  <c r="AC13"/>
  <c r="W13"/>
  <c r="P13"/>
  <c r="P16" s="1"/>
  <c r="K13"/>
  <c r="AS12"/>
  <c r="AQ12"/>
  <c r="AP12"/>
  <c r="AO12"/>
  <c r="AI12"/>
  <c r="AF12"/>
  <c r="AB12"/>
  <c r="AT12" s="1"/>
  <c r="Z12"/>
  <c r="AR12" s="1"/>
  <c r="W12"/>
  <c r="Q12"/>
  <c r="K12"/>
  <c r="AS11"/>
  <c r="AR11"/>
  <c r="AQ11"/>
  <c r="AP11"/>
  <c r="AO11"/>
  <c r="AI11"/>
  <c r="AE11"/>
  <c r="AF11" s="1"/>
  <c r="AC11"/>
  <c r="W11"/>
  <c r="Q11"/>
  <c r="K11"/>
  <c r="AS10"/>
  <c r="AQ10"/>
  <c r="AP10"/>
  <c r="AO10"/>
  <c r="AI10"/>
  <c r="AF10"/>
  <c r="AB10"/>
  <c r="Z10"/>
  <c r="AR10" s="1"/>
  <c r="W10"/>
  <c r="Q10"/>
  <c r="K10"/>
  <c r="AS9"/>
  <c r="AR9"/>
  <c r="AQ9"/>
  <c r="AP9"/>
  <c r="AO9"/>
  <c r="AH9"/>
  <c r="AH16" s="1"/>
  <c r="AF9"/>
  <c r="AC9"/>
  <c r="W9"/>
  <c r="Q9"/>
  <c r="K9"/>
  <c r="AQ8"/>
  <c r="AP8"/>
  <c r="AO8"/>
  <c r="AI8"/>
  <c r="AF8"/>
  <c r="AE8"/>
  <c r="AT8" s="1"/>
  <c r="Z8"/>
  <c r="AC8" s="1"/>
  <c r="W8"/>
  <c r="Q8"/>
  <c r="I8"/>
  <c r="AS8" s="1"/>
  <c r="H8"/>
  <c r="AR8" s="1"/>
  <c r="AQ7"/>
  <c r="AP7"/>
  <c r="AO7"/>
  <c r="AI7"/>
  <c r="AE7"/>
  <c r="AF7" s="1"/>
  <c r="Z7"/>
  <c r="AR7" s="1"/>
  <c r="W7"/>
  <c r="Q7"/>
  <c r="I7"/>
  <c r="AS7" s="1"/>
  <c r="AR6"/>
  <c r="AQ6"/>
  <c r="AP6"/>
  <c r="AO6"/>
  <c r="AI6"/>
  <c r="AE6"/>
  <c r="AT6" s="1"/>
  <c r="AC6"/>
  <c r="W6"/>
  <c r="Q6"/>
  <c r="I6"/>
  <c r="AS6" s="1"/>
  <c r="AQ5"/>
  <c r="AP5"/>
  <c r="AO5"/>
  <c r="AO16" s="1"/>
  <c r="AI5"/>
  <c r="AE5"/>
  <c r="AF5" s="1"/>
  <c r="AC5"/>
  <c r="Z5"/>
  <c r="W5"/>
  <c r="Q5"/>
  <c r="I5"/>
  <c r="I16" s="1"/>
  <c r="H5"/>
  <c r="Q15" l="1"/>
  <c r="Q20"/>
  <c r="AI20"/>
  <c r="AU48"/>
  <c r="K50"/>
  <c r="K51"/>
  <c r="AB62"/>
  <c r="AQ62"/>
  <c r="Q67"/>
  <c r="AC75"/>
  <c r="AC79" s="1"/>
  <c r="AT75"/>
  <c r="AU109"/>
  <c r="AT121"/>
  <c r="AU129"/>
  <c r="Q139"/>
  <c r="AF168"/>
  <c r="AC164"/>
  <c r="AP206"/>
  <c r="AB16"/>
  <c r="AO53"/>
  <c r="AT62"/>
  <c r="J79"/>
  <c r="AU195"/>
  <c r="AC20"/>
  <c r="AP20"/>
  <c r="AF20"/>
  <c r="K19"/>
  <c r="AO26"/>
  <c r="K35"/>
  <c r="AI53"/>
  <c r="AC59"/>
  <c r="AP79"/>
  <c r="AU72"/>
  <c r="K73"/>
  <c r="W113"/>
  <c r="AC84"/>
  <c r="AU84"/>
  <c r="AT84"/>
  <c r="AC87"/>
  <c r="AU87"/>
  <c r="K107"/>
  <c r="AP118"/>
  <c r="AU117"/>
  <c r="AP153"/>
  <c r="K152"/>
  <c r="AO162"/>
  <c r="H222"/>
  <c r="AF212"/>
  <c r="K213"/>
  <c r="AU92"/>
  <c r="AU135"/>
  <c r="H16"/>
  <c r="AS5"/>
  <c r="W16"/>
  <c r="AE16"/>
  <c r="AP16"/>
  <c r="K6"/>
  <c r="K14"/>
  <c r="AR14"/>
  <c r="O224"/>
  <c r="O226" s="1"/>
  <c r="U224"/>
  <c r="U226" s="1"/>
  <c r="AA224"/>
  <c r="AA226" s="1"/>
  <c r="AQ20"/>
  <c r="Q26"/>
  <c r="AF21"/>
  <c r="AF26" s="1"/>
  <c r="AQ26"/>
  <c r="AU25"/>
  <c r="AE26"/>
  <c r="K29"/>
  <c r="AQ29"/>
  <c r="AP44"/>
  <c r="AU40"/>
  <c r="AT45"/>
  <c r="W53"/>
  <c r="Q62"/>
  <c r="AF62"/>
  <c r="W67"/>
  <c r="AO67"/>
  <c r="Q79"/>
  <c r="AI79"/>
  <c r="AR73"/>
  <c r="Z113"/>
  <c r="K85"/>
  <c r="AF89"/>
  <c r="AU95"/>
  <c r="AF97"/>
  <c r="AF103"/>
  <c r="AU104"/>
  <c r="AF110"/>
  <c r="Q118"/>
  <c r="AI118"/>
  <c r="Z118"/>
  <c r="K120"/>
  <c r="AU127"/>
  <c r="AT139"/>
  <c r="AU139" s="1"/>
  <c r="Q141"/>
  <c r="Q145"/>
  <c r="AQ145"/>
  <c r="AF144"/>
  <c r="AF145" s="1"/>
  <c r="AS153"/>
  <c r="AC153"/>
  <c r="AF162"/>
  <c r="AQ162"/>
  <c r="AI168"/>
  <c r="AR168"/>
  <c r="AC165"/>
  <c r="AU165"/>
  <c r="AF170"/>
  <c r="AF172"/>
  <c r="AU174"/>
  <c r="K181"/>
  <c r="K188"/>
  <c r="K189"/>
  <c r="AT189"/>
  <c r="AU189" s="1"/>
  <c r="AI222"/>
  <c r="AR210"/>
  <c r="AF217"/>
  <c r="AU18"/>
  <c r="I26"/>
  <c r="K22"/>
  <c r="AC22"/>
  <c r="AC24"/>
  <c r="AC26" s="1"/>
  <c r="AT24"/>
  <c r="AT26" s="1"/>
  <c r="W44"/>
  <c r="AO44"/>
  <c r="AI44"/>
  <c r="AF39"/>
  <c r="AQ53"/>
  <c r="AF52"/>
  <c r="AP62"/>
  <c r="AU66"/>
  <c r="AU108"/>
  <c r="K111"/>
  <c r="AU115"/>
  <c r="K121"/>
  <c r="K122"/>
  <c r="K123" s="1"/>
  <c r="AC143"/>
  <c r="AC145" s="1"/>
  <c r="AT143"/>
  <c r="AT145" s="1"/>
  <c r="K148"/>
  <c r="AC155"/>
  <c r="AT155"/>
  <c r="AU155" s="1"/>
  <c r="AU156"/>
  <c r="AU157"/>
  <c r="AU158"/>
  <c r="K168"/>
  <c r="AU164"/>
  <c r="AT164"/>
  <c r="AO168"/>
  <c r="AS168"/>
  <c r="AU175"/>
  <c r="AU185"/>
  <c r="AU194"/>
  <c r="AU197"/>
  <c r="AU198"/>
  <c r="K209"/>
  <c r="AU212"/>
  <c r="AU221"/>
  <c r="AU10"/>
  <c r="W29"/>
  <c r="AO29"/>
  <c r="AS29"/>
  <c r="I53"/>
  <c r="AF79"/>
  <c r="AU76"/>
  <c r="AU86"/>
  <c r="AU91"/>
  <c r="K99"/>
  <c r="Q142"/>
  <c r="AI153"/>
  <c r="AC168"/>
  <c r="AR170"/>
  <c r="AU171"/>
  <c r="K173"/>
  <c r="AC182"/>
  <c r="AU182"/>
  <c r="AU184"/>
  <c r="Q189"/>
  <c r="AU191"/>
  <c r="AI192"/>
  <c r="AC196"/>
  <c r="AU196"/>
  <c r="AU200"/>
  <c r="AC222"/>
  <c r="AP222"/>
  <c r="AU211"/>
  <c r="AF216"/>
  <c r="AB224"/>
  <c r="AB226" s="1"/>
  <c r="Z16"/>
  <c r="AT10"/>
  <c r="AQ16"/>
  <c r="L224"/>
  <c r="L226" s="1"/>
  <c r="R224"/>
  <c r="R226" s="1"/>
  <c r="AD224"/>
  <c r="AD226" s="1"/>
  <c r="AR19"/>
  <c r="AU19" s="1"/>
  <c r="H20"/>
  <c r="W26"/>
  <c r="AI26"/>
  <c r="AR23"/>
  <c r="AU23" s="1"/>
  <c r="AF44"/>
  <c r="AQ44"/>
  <c r="AU38"/>
  <c r="AU41"/>
  <c r="K42"/>
  <c r="AU42"/>
  <c r="AU43"/>
  <c r="AE44"/>
  <c r="AP53"/>
  <c r="AI62"/>
  <c r="W62"/>
  <c r="AO62"/>
  <c r="AS62"/>
  <c r="AU58"/>
  <c r="AU59"/>
  <c r="AU60"/>
  <c r="AU61"/>
  <c r="AC67"/>
  <c r="AP67"/>
  <c r="AT67"/>
  <c r="AU64"/>
  <c r="W79"/>
  <c r="AU74"/>
  <c r="AU75"/>
  <c r="AU77"/>
  <c r="AU78"/>
  <c r="I113"/>
  <c r="AP113"/>
  <c r="AU98"/>
  <c r="AR107"/>
  <c r="AU107" s="1"/>
  <c r="AU112"/>
  <c r="W118"/>
  <c r="AO118"/>
  <c r="AS118"/>
  <c r="AF118"/>
  <c r="W121"/>
  <c r="AO121"/>
  <c r="AH142"/>
  <c r="AU128"/>
  <c r="AU130"/>
  <c r="AU132"/>
  <c r="AU133"/>
  <c r="AU137"/>
  <c r="AU140"/>
  <c r="W145"/>
  <c r="AI145"/>
  <c r="AR145"/>
  <c r="W153"/>
  <c r="AO153"/>
  <c r="AU151"/>
  <c r="Q162"/>
  <c r="AR154"/>
  <c r="AU161"/>
  <c r="W168"/>
  <c r="AQ168"/>
  <c r="AT170"/>
  <c r="AU177"/>
  <c r="N224"/>
  <c r="N226" s="1"/>
  <c r="AK226" i="20"/>
  <c r="AY226"/>
  <c r="AY228" s="1"/>
  <c r="BC80"/>
  <c r="BC208"/>
  <c r="BC27"/>
  <c r="BC144"/>
  <c r="BA226"/>
  <c r="AU150" i="14"/>
  <c r="K153"/>
  <c r="AZ226" i="20"/>
  <c r="AZ228" s="1"/>
  <c r="AG226"/>
  <c r="AG228" s="1"/>
  <c r="L226"/>
  <c r="P224" i="14"/>
  <c r="P226" s="1"/>
  <c r="AU193"/>
  <c r="AU6"/>
  <c r="AS16"/>
  <c r="AU8"/>
  <c r="AU14"/>
  <c r="AU31"/>
  <c r="AU49"/>
  <c r="AU51"/>
  <c r="AR62"/>
  <c r="AU57"/>
  <c r="AS67"/>
  <c r="AU65"/>
  <c r="AU88"/>
  <c r="AU89"/>
  <c r="AU93"/>
  <c r="AU94"/>
  <c r="AU97"/>
  <c r="AU101"/>
  <c r="AU103"/>
  <c r="AU110"/>
  <c r="AU111"/>
  <c r="AR118"/>
  <c r="AU12"/>
  <c r="AU15"/>
  <c r="AU96"/>
  <c r="AU100"/>
  <c r="AU105"/>
  <c r="I125"/>
  <c r="AS124"/>
  <c r="AS125" s="1"/>
  <c r="K124"/>
  <c r="K125" s="1"/>
  <c r="AP142"/>
  <c r="K5"/>
  <c r="AT7"/>
  <c r="AU7" s="1"/>
  <c r="K8"/>
  <c r="AC10"/>
  <c r="AT11"/>
  <c r="AU11" s="1"/>
  <c r="AR5"/>
  <c r="AR16" s="1"/>
  <c r="AT5"/>
  <c r="AF6"/>
  <c r="K7"/>
  <c r="AC7"/>
  <c r="AI9"/>
  <c r="AI16" s="1"/>
  <c r="AT9"/>
  <c r="AU9" s="1"/>
  <c r="AC12"/>
  <c r="Q13"/>
  <c r="Q16" s="1"/>
  <c r="AT13"/>
  <c r="AU13" s="1"/>
  <c r="AC14"/>
  <c r="AF14"/>
  <c r="AM224"/>
  <c r="AM226" s="1"/>
  <c r="K17"/>
  <c r="K20" s="1"/>
  <c r="K21"/>
  <c r="AR22"/>
  <c r="AR26" s="1"/>
  <c r="K23"/>
  <c r="J26"/>
  <c r="AU27"/>
  <c r="AU30"/>
  <c r="K31"/>
  <c r="AR35"/>
  <c r="AC36"/>
  <c r="AC44" s="1"/>
  <c r="AR36"/>
  <c r="AU36" s="1"/>
  <c r="Q37"/>
  <c r="Q44" s="1"/>
  <c r="AT37"/>
  <c r="AT44" s="1"/>
  <c r="K39"/>
  <c r="K44" s="1"/>
  <c r="J44"/>
  <c r="AU45"/>
  <c r="AF46"/>
  <c r="AF53" s="1"/>
  <c r="K49"/>
  <c r="AR50"/>
  <c r="AR53" s="1"/>
  <c r="AT50"/>
  <c r="K52"/>
  <c r="H53"/>
  <c r="Z53"/>
  <c r="Z224" s="1"/>
  <c r="Z226" s="1"/>
  <c r="AU54"/>
  <c r="K57"/>
  <c r="K58"/>
  <c r="K60"/>
  <c r="H62"/>
  <c r="J62"/>
  <c r="Z62"/>
  <c r="AU63"/>
  <c r="AU67" s="1"/>
  <c r="AF64"/>
  <c r="AF67" s="1"/>
  <c r="K65"/>
  <c r="K67" s="1"/>
  <c r="I67"/>
  <c r="AE67"/>
  <c r="AU70"/>
  <c r="K71"/>
  <c r="K74"/>
  <c r="K78"/>
  <c r="AI82"/>
  <c r="AO82"/>
  <c r="AO113" s="1"/>
  <c r="AQ82"/>
  <c r="AQ113" s="1"/>
  <c r="AS82"/>
  <c r="AS113" s="1"/>
  <c r="K83"/>
  <c r="AC83"/>
  <c r="AF83"/>
  <c r="AR85"/>
  <c r="AT85"/>
  <c r="K88"/>
  <c r="AC88"/>
  <c r="K89"/>
  <c r="K90"/>
  <c r="Q90"/>
  <c r="AT90"/>
  <c r="AU90" s="1"/>
  <c r="K93"/>
  <c r="AI93"/>
  <c r="Q94"/>
  <c r="AF96"/>
  <c r="K97"/>
  <c r="AF99"/>
  <c r="AR99"/>
  <c r="AU99" s="1"/>
  <c r="K100"/>
  <c r="AI100"/>
  <c r="AC101"/>
  <c r="Q102"/>
  <c r="K103"/>
  <c r="K105"/>
  <c r="AC105"/>
  <c r="AT106"/>
  <c r="AU106" s="1"/>
  <c r="K110"/>
  <c r="AF111"/>
  <c r="H113"/>
  <c r="AH113"/>
  <c r="AU114"/>
  <c r="AC116"/>
  <c r="AC118" s="1"/>
  <c r="AT116"/>
  <c r="AT118" s="1"/>
  <c r="AR120"/>
  <c r="AU120" s="1"/>
  <c r="AT122"/>
  <c r="AT123" s="1"/>
  <c r="AC142"/>
  <c r="AU131"/>
  <c r="AU172"/>
  <c r="AU176"/>
  <c r="AU183"/>
  <c r="AU187"/>
  <c r="AU192"/>
  <c r="AU210"/>
  <c r="AU213"/>
  <c r="AU216"/>
  <c r="AU217"/>
  <c r="AK142"/>
  <c r="AK224" s="1"/>
  <c r="AK226" s="1"/>
  <c r="AQ126"/>
  <c r="AQ142" s="1"/>
  <c r="AO126"/>
  <c r="AO142" s="1"/>
  <c r="H142"/>
  <c r="K131"/>
  <c r="K15"/>
  <c r="AT17"/>
  <c r="AT20" s="1"/>
  <c r="AS21"/>
  <c r="AS26" s="1"/>
  <c r="AU28"/>
  <c r="AU32"/>
  <c r="AU35"/>
  <c r="AS39"/>
  <c r="AS44" s="1"/>
  <c r="AC45"/>
  <c r="AC53" s="1"/>
  <c r="K46"/>
  <c r="AT46"/>
  <c r="AU47"/>
  <c r="AS52"/>
  <c r="AU52" s="1"/>
  <c r="AC54"/>
  <c r="AC62" s="1"/>
  <c r="AU55"/>
  <c r="AU68"/>
  <c r="AU69" s="1"/>
  <c r="AR71"/>
  <c r="AR79" s="1"/>
  <c r="AT73"/>
  <c r="AT79" s="1"/>
  <c r="K80"/>
  <c r="K81" s="1"/>
  <c r="AR80"/>
  <c r="AR81" s="1"/>
  <c r="K82"/>
  <c r="AT83"/>
  <c r="K96"/>
  <c r="AU119"/>
  <c r="AU124"/>
  <c r="AU125" s="1"/>
  <c r="AR142"/>
  <c r="AU173"/>
  <c r="AU180"/>
  <c r="AU190"/>
  <c r="AU202"/>
  <c r="AI133"/>
  <c r="AI142" s="1"/>
  <c r="AF136"/>
  <c r="AF142" s="1"/>
  <c r="AS136"/>
  <c r="K137"/>
  <c r="W138"/>
  <c r="W142" s="1"/>
  <c r="AS141"/>
  <c r="AU141" s="1"/>
  <c r="AE142"/>
  <c r="AU143"/>
  <c r="K144"/>
  <c r="K145" s="1"/>
  <c r="AS144"/>
  <c r="AS145" s="1"/>
  <c r="AE145"/>
  <c r="AR148"/>
  <c r="AR153" s="1"/>
  <c r="Q149"/>
  <c r="Q153" s="1"/>
  <c r="AT149"/>
  <c r="AU149" s="1"/>
  <c r="AT152"/>
  <c r="AU152" s="1"/>
  <c r="K154"/>
  <c r="K162" s="1"/>
  <c r="AU154"/>
  <c r="W156"/>
  <c r="W162" s="1"/>
  <c r="AC158"/>
  <c r="AI159"/>
  <c r="AI162" s="1"/>
  <c r="AT159"/>
  <c r="AU159" s="1"/>
  <c r="AC160"/>
  <c r="AR160"/>
  <c r="AR162" s="1"/>
  <c r="J162"/>
  <c r="J224" s="1"/>
  <c r="J226" s="1"/>
  <c r="V162"/>
  <c r="V224" s="1"/>
  <c r="V226" s="1"/>
  <c r="AU163"/>
  <c r="Q167"/>
  <c r="Q168" s="1"/>
  <c r="AT167"/>
  <c r="AT168" s="1"/>
  <c r="AC169"/>
  <c r="AT169"/>
  <c r="K170"/>
  <c r="AO170"/>
  <c r="AS170"/>
  <c r="AS206" s="1"/>
  <c r="K172"/>
  <c r="AF173"/>
  <c r="AF176"/>
  <c r="K177"/>
  <c r="AT179"/>
  <c r="AU179" s="1"/>
  <c r="K180"/>
  <c r="AI181"/>
  <c r="AI206" s="1"/>
  <c r="AO181"/>
  <c r="AQ181"/>
  <c r="AU181" s="1"/>
  <c r="K183"/>
  <c r="AF187"/>
  <c r="AR188"/>
  <c r="AT188"/>
  <c r="K190"/>
  <c r="Q190"/>
  <c r="Q206" s="1"/>
  <c r="AC194"/>
  <c r="AC198"/>
  <c r="W203"/>
  <c r="W206" s="1"/>
  <c r="AC205"/>
  <c r="AH206"/>
  <c r="AL206"/>
  <c r="AL224" s="1"/>
  <c r="AL226" s="1"/>
  <c r="Q207"/>
  <c r="Q208" s="1"/>
  <c r="AT209"/>
  <c r="AU209" s="1"/>
  <c r="AF210"/>
  <c r="AF213"/>
  <c r="AF214"/>
  <c r="AR215"/>
  <c r="AU215" s="1"/>
  <c r="K216"/>
  <c r="K222" s="1"/>
  <c r="Q218"/>
  <c r="Q222" s="1"/>
  <c r="AO218"/>
  <c r="AO222" s="1"/>
  <c r="AR219"/>
  <c r="AU219" s="1"/>
  <c r="AT220"/>
  <c r="AU220" s="1"/>
  <c r="I222"/>
  <c r="AE222"/>
  <c r="AQ222"/>
  <c r="K136"/>
  <c r="K142" s="1"/>
  <c r="AT138"/>
  <c r="AU138" s="1"/>
  <c r="AU146"/>
  <c r="AU147" s="1"/>
  <c r="AU148"/>
  <c r="AU166"/>
  <c r="AU169"/>
  <c r="K176"/>
  <c r="K187"/>
  <c r="K192"/>
  <c r="K202"/>
  <c r="AU207"/>
  <c r="AU208" s="1"/>
  <c r="AR218"/>
  <c r="AR222" s="1"/>
  <c r="AT218"/>
  <c r="AU188" l="1"/>
  <c r="AU85"/>
  <c r="AC16"/>
  <c r="AC162"/>
  <c r="AS142"/>
  <c r="AT53"/>
  <c r="AU144"/>
  <c r="AO206"/>
  <c r="AU122"/>
  <c r="AU123" s="1"/>
  <c r="K79"/>
  <c r="K62"/>
  <c r="AF16"/>
  <c r="AP224"/>
  <c r="AU116"/>
  <c r="AU118" s="1"/>
  <c r="AU22"/>
  <c r="AR20"/>
  <c r="AU24"/>
  <c r="AF206"/>
  <c r="AF224" s="1"/>
  <c r="K206"/>
  <c r="AU167"/>
  <c r="AH224"/>
  <c r="AH226" s="1"/>
  <c r="Q113"/>
  <c r="Q224" s="1"/>
  <c r="AC113"/>
  <c r="I224"/>
  <c r="I226" s="1"/>
  <c r="AF113"/>
  <c r="AE224"/>
  <c r="AE226" s="1"/>
  <c r="AU218"/>
  <c r="AF222"/>
  <c r="AU82"/>
  <c r="H224"/>
  <c r="H226" s="1"/>
  <c r="BC226" i="20"/>
  <c r="BC228" s="1"/>
  <c r="AT142" i="14"/>
  <c r="AT113"/>
  <c r="W224"/>
  <c r="AO224"/>
  <c r="AC206"/>
  <c r="AT153"/>
  <c r="K113"/>
  <c r="AU153"/>
  <c r="AT222"/>
  <c r="AT206"/>
  <c r="AU168"/>
  <c r="AU145"/>
  <c r="AU170"/>
  <c r="AU206" s="1"/>
  <c r="AQ206"/>
  <c r="AQ224" s="1"/>
  <c r="AU160"/>
  <c r="AU162" s="1"/>
  <c r="AU121"/>
  <c r="K53"/>
  <c r="AU21"/>
  <c r="AR206"/>
  <c r="AT162"/>
  <c r="AU80"/>
  <c r="AU81" s="1"/>
  <c r="AU62"/>
  <c r="AU17"/>
  <c r="AU20" s="1"/>
  <c r="AT16"/>
  <c r="AU5"/>
  <c r="AU16" s="1"/>
  <c r="AU126"/>
  <c r="AU83"/>
  <c r="AU50"/>
  <c r="AU39"/>
  <c r="AR121"/>
  <c r="AR113"/>
  <c r="AU71"/>
  <c r="AS53"/>
  <c r="AU222"/>
  <c r="AU136"/>
  <c r="AU113"/>
  <c r="AI113"/>
  <c r="AI224" s="1"/>
  <c r="AR44"/>
  <c r="AU29"/>
  <c r="K26"/>
  <c r="K16"/>
  <c r="AU46"/>
  <c r="AU37"/>
  <c r="AU73"/>
  <c r="AS224" l="1"/>
  <c r="AU44"/>
  <c r="AC224"/>
  <c r="AR224"/>
  <c r="AT224"/>
  <c r="AU53"/>
  <c r="AU79"/>
  <c r="AU26"/>
  <c r="K224"/>
  <c r="AU142"/>
  <c r="AU224" l="1"/>
  <c r="T163" i="12" l="1"/>
  <c r="T56"/>
  <c r="T47"/>
  <c r="T38"/>
  <c r="T36"/>
  <c r="T46" s="1"/>
  <c r="T14"/>
  <c r="T12"/>
  <c r="T10"/>
  <c r="T8"/>
  <c r="T7"/>
  <c r="T5"/>
  <c r="T16"/>
  <c r="T19"/>
  <c r="T21"/>
  <c r="T25"/>
  <c r="T28"/>
  <c r="T33"/>
  <c r="T55"/>
  <c r="T64"/>
  <c r="T69"/>
  <c r="T71"/>
  <c r="T74"/>
  <c r="T81" s="1"/>
  <c r="T83"/>
  <c r="T84"/>
  <c r="T85"/>
  <c r="T116" s="1"/>
  <c r="T119"/>
  <c r="T121" s="1"/>
  <c r="T124"/>
  <c r="T126"/>
  <c r="T143"/>
  <c r="T146"/>
  <c r="T148"/>
  <c r="T153"/>
  <c r="T155"/>
  <c r="T165"/>
  <c r="T171"/>
  <c r="T208"/>
  <c r="T210"/>
  <c r="T223"/>
  <c r="H142"/>
  <c r="H138"/>
  <c r="H137"/>
  <c r="H132"/>
  <c r="H123"/>
  <c r="H22"/>
  <c r="H15"/>
  <c r="H14"/>
  <c r="H8"/>
  <c r="H5"/>
  <c r="H82" l="1"/>
  <c r="J223" i="15" l="1"/>
  <c r="J222"/>
  <c r="J220"/>
  <c r="J219"/>
  <c r="J218"/>
  <c r="J215"/>
  <c r="J213"/>
  <c r="J212"/>
  <c r="J210"/>
  <c r="J208"/>
  <c r="J206"/>
  <c r="J205"/>
  <c r="J204"/>
  <c r="J202"/>
  <c r="J201"/>
  <c r="J200"/>
  <c r="J199"/>
  <c r="J198"/>
  <c r="J197"/>
  <c r="J196"/>
  <c r="J195"/>
  <c r="J193"/>
  <c r="J188"/>
  <c r="J186"/>
  <c r="J184"/>
  <c r="J181"/>
  <c r="J180"/>
  <c r="J177"/>
  <c r="J176"/>
  <c r="J173"/>
  <c r="J171"/>
  <c r="J169"/>
  <c r="J168"/>
  <c r="J167"/>
  <c r="J166"/>
  <c r="J165"/>
  <c r="J163"/>
  <c r="J162"/>
  <c r="J161"/>
  <c r="J160"/>
  <c r="J159"/>
  <c r="J158"/>
  <c r="J157"/>
  <c r="J156"/>
  <c r="J153"/>
  <c r="J151"/>
  <c r="J150"/>
  <c r="J149"/>
  <c r="J146"/>
  <c r="J143"/>
  <c r="J140"/>
  <c r="J139"/>
  <c r="J138"/>
  <c r="J135"/>
  <c r="J134"/>
  <c r="J132"/>
  <c r="J130"/>
  <c r="J129"/>
  <c r="J128"/>
  <c r="J127"/>
  <c r="J126"/>
  <c r="J121"/>
  <c r="J119"/>
  <c r="J118"/>
  <c r="J117"/>
  <c r="J116"/>
  <c r="J114"/>
  <c r="J111"/>
  <c r="J110"/>
  <c r="J108"/>
  <c r="J106"/>
  <c r="J104"/>
  <c r="J103"/>
  <c r="J100"/>
  <c r="J97"/>
  <c r="J96"/>
  <c r="J94"/>
  <c r="J93"/>
  <c r="J89"/>
  <c r="J88"/>
  <c r="J86"/>
  <c r="J80"/>
  <c r="J79"/>
  <c r="J78"/>
  <c r="J77"/>
  <c r="J76"/>
  <c r="J74"/>
  <c r="J72"/>
  <c r="J70"/>
  <c r="J68"/>
  <c r="J65"/>
  <c r="J63"/>
  <c r="J62"/>
  <c r="J61"/>
  <c r="J58"/>
  <c r="J57"/>
  <c r="J56"/>
  <c r="J50"/>
  <c r="J49"/>
  <c r="J47"/>
  <c r="J45"/>
  <c r="J44"/>
  <c r="J43"/>
  <c r="J41"/>
  <c r="J40"/>
  <c r="J38"/>
  <c r="J37"/>
  <c r="J36"/>
  <c r="J34"/>
  <c r="J32"/>
  <c r="J31"/>
  <c r="J29"/>
  <c r="J27"/>
  <c r="J26"/>
  <c r="J24"/>
  <c r="J23"/>
  <c r="J17"/>
  <c r="J13"/>
  <c r="J12"/>
  <c r="J11"/>
  <c r="J10"/>
  <c r="J9"/>
  <c r="O223"/>
  <c r="O222"/>
  <c r="O221"/>
  <c r="O220"/>
  <c r="O219"/>
  <c r="O218"/>
  <c r="O217"/>
  <c r="O216"/>
  <c r="O215"/>
  <c r="O214"/>
  <c r="O213"/>
  <c r="O212"/>
  <c r="O211"/>
  <c r="O210"/>
  <c r="O208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69"/>
  <c r="O168"/>
  <c r="O167"/>
  <c r="O166"/>
  <c r="O165"/>
  <c r="O163"/>
  <c r="O162"/>
  <c r="O161"/>
  <c r="O160"/>
  <c r="O159"/>
  <c r="O158"/>
  <c r="O157"/>
  <c r="O156"/>
  <c r="O155"/>
  <c r="O153"/>
  <c r="O152"/>
  <c r="O151"/>
  <c r="O150"/>
  <c r="O149"/>
  <c r="O148"/>
  <c r="O146"/>
  <c r="O144"/>
  <c r="O143"/>
  <c r="O140"/>
  <c r="O139"/>
  <c r="O138"/>
  <c r="O137"/>
  <c r="O136"/>
  <c r="O135"/>
  <c r="O134"/>
  <c r="O132"/>
  <c r="O131"/>
  <c r="O130"/>
  <c r="O129"/>
  <c r="O128"/>
  <c r="O127"/>
  <c r="O126"/>
  <c r="O124"/>
  <c r="O122"/>
  <c r="O121"/>
  <c r="O119"/>
  <c r="O118"/>
  <c r="O117"/>
  <c r="O116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2"/>
  <c r="O80"/>
  <c r="O79"/>
  <c r="O78"/>
  <c r="O77"/>
  <c r="O76"/>
  <c r="O75"/>
  <c r="O74"/>
  <c r="O73"/>
  <c r="O72"/>
  <c r="O70"/>
  <c r="O68"/>
  <c r="O67"/>
  <c r="O66"/>
  <c r="O65"/>
  <c r="O63"/>
  <c r="O62"/>
  <c r="O61"/>
  <c r="O60"/>
  <c r="O59"/>
  <c r="O58"/>
  <c r="O57"/>
  <c r="O56"/>
  <c r="O54"/>
  <c r="O53"/>
  <c r="O52"/>
  <c r="O51"/>
  <c r="O50"/>
  <c r="O49"/>
  <c r="O48"/>
  <c r="O47"/>
  <c r="O45"/>
  <c r="O44"/>
  <c r="O43"/>
  <c r="O42"/>
  <c r="O41"/>
  <c r="O40"/>
  <c r="O39"/>
  <c r="O38"/>
  <c r="O37"/>
  <c r="O36"/>
  <c r="O35"/>
  <c r="O34"/>
  <c r="O32"/>
  <c r="O31"/>
  <c r="O30"/>
  <c r="O29"/>
  <c r="O27"/>
  <c r="O26"/>
  <c r="O24"/>
  <c r="O23"/>
  <c r="O22"/>
  <c r="O21"/>
  <c r="O20"/>
  <c r="O18"/>
  <c r="O17"/>
  <c r="O15"/>
  <c r="O14"/>
  <c r="O13"/>
  <c r="O12"/>
  <c r="O11"/>
  <c r="O10"/>
  <c r="O9"/>
  <c r="O8"/>
  <c r="O7"/>
  <c r="O6"/>
  <c r="O5"/>
  <c r="T223"/>
  <c r="T222"/>
  <c r="T221"/>
  <c r="T220"/>
  <c r="T219"/>
  <c r="T218"/>
  <c r="T217"/>
  <c r="T216"/>
  <c r="T215"/>
  <c r="T214"/>
  <c r="T213"/>
  <c r="T212"/>
  <c r="T211"/>
  <c r="T210"/>
  <c r="T208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69"/>
  <c r="T168"/>
  <c r="T167"/>
  <c r="T166"/>
  <c r="T165"/>
  <c r="T163"/>
  <c r="T162"/>
  <c r="T161"/>
  <c r="T160"/>
  <c r="T159"/>
  <c r="T158"/>
  <c r="T157"/>
  <c r="T156"/>
  <c r="T155"/>
  <c r="T153"/>
  <c r="T152"/>
  <c r="T151"/>
  <c r="T150"/>
  <c r="T149"/>
  <c r="T148"/>
  <c r="T146"/>
  <c r="T144"/>
  <c r="T143"/>
  <c r="T141"/>
  <c r="T140"/>
  <c r="T139"/>
  <c r="T138"/>
  <c r="T137"/>
  <c r="T136"/>
  <c r="T135"/>
  <c r="T134"/>
  <c r="T132"/>
  <c r="T131"/>
  <c r="T130"/>
  <c r="T129"/>
  <c r="T128"/>
  <c r="T127"/>
  <c r="T126"/>
  <c r="T124"/>
  <c r="T122"/>
  <c r="T121"/>
  <c r="T119"/>
  <c r="T118"/>
  <c r="T117"/>
  <c r="T116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2"/>
  <c r="T80"/>
  <c r="T79"/>
  <c r="T78"/>
  <c r="T77"/>
  <c r="T76"/>
  <c r="T75"/>
  <c r="T74"/>
  <c r="T73"/>
  <c r="T72"/>
  <c r="T70"/>
  <c r="T68"/>
  <c r="T67"/>
  <c r="T66"/>
  <c r="T65"/>
  <c r="T63"/>
  <c r="T62"/>
  <c r="T61"/>
  <c r="T60"/>
  <c r="T59"/>
  <c r="T58"/>
  <c r="T57"/>
  <c r="T56"/>
  <c r="T54"/>
  <c r="T53"/>
  <c r="T52"/>
  <c r="T51"/>
  <c r="T50"/>
  <c r="T49"/>
  <c r="T48"/>
  <c r="T47"/>
  <c r="T45"/>
  <c r="T44"/>
  <c r="T43"/>
  <c r="T42"/>
  <c r="T41"/>
  <c r="T40"/>
  <c r="T39"/>
  <c r="T38"/>
  <c r="T37"/>
  <c r="T36"/>
  <c r="T35"/>
  <c r="T34"/>
  <c r="T32"/>
  <c r="T31"/>
  <c r="T30"/>
  <c r="T29"/>
  <c r="T27"/>
  <c r="T26"/>
  <c r="T24"/>
  <c r="T23"/>
  <c r="T22"/>
  <c r="T21"/>
  <c r="T20"/>
  <c r="T18"/>
  <c r="T17"/>
  <c r="T15"/>
  <c r="T14"/>
  <c r="T13"/>
  <c r="T12"/>
  <c r="T11"/>
  <c r="T10"/>
  <c r="T9"/>
  <c r="T8"/>
  <c r="T7"/>
  <c r="T6"/>
  <c r="T5"/>
  <c r="Y223"/>
  <c r="Y221"/>
  <c r="Y220"/>
  <c r="Y219"/>
  <c r="Y218"/>
  <c r="Y217"/>
  <c r="Y216"/>
  <c r="Y215"/>
  <c r="Y214"/>
  <c r="Y213"/>
  <c r="Y212"/>
  <c r="Y211"/>
  <c r="Y210"/>
  <c r="Y208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69"/>
  <c r="Y168"/>
  <c r="Y167"/>
  <c r="Y166"/>
  <c r="Y165"/>
  <c r="Y163"/>
  <c r="Y161"/>
  <c r="Y160"/>
  <c r="Y159"/>
  <c r="Y158"/>
  <c r="Y157"/>
  <c r="Y156"/>
  <c r="Y155"/>
  <c r="Y153"/>
  <c r="Y152"/>
  <c r="Y151"/>
  <c r="Y150"/>
  <c r="Y149"/>
  <c r="Y148"/>
  <c r="Y146"/>
  <c r="Y144"/>
  <c r="Y143"/>
  <c r="Y141"/>
  <c r="Y140"/>
  <c r="Y139"/>
  <c r="Y138"/>
  <c r="Y137"/>
  <c r="Y136"/>
  <c r="Y135"/>
  <c r="Y134"/>
  <c r="Y132"/>
  <c r="Y131"/>
  <c r="Y130"/>
  <c r="Y129"/>
  <c r="Y128"/>
  <c r="Y127"/>
  <c r="Y126"/>
  <c r="Y124"/>
  <c r="Y122"/>
  <c r="Y121"/>
  <c r="Y119"/>
  <c r="Y117"/>
  <c r="Y116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2"/>
  <c r="Y80"/>
  <c r="Y79"/>
  <c r="Y78"/>
  <c r="Y77"/>
  <c r="Y76"/>
  <c r="Y75"/>
  <c r="Y74"/>
  <c r="Y73"/>
  <c r="Y72"/>
  <c r="Y70"/>
  <c r="Y68"/>
  <c r="Y67"/>
  <c r="Y66"/>
  <c r="Y65"/>
  <c r="Y63"/>
  <c r="Y62"/>
  <c r="Y61"/>
  <c r="Y60"/>
  <c r="Y59"/>
  <c r="Y58"/>
  <c r="Y57"/>
  <c r="Y54"/>
  <c r="Y53"/>
  <c r="Y52"/>
  <c r="Y51"/>
  <c r="Y50"/>
  <c r="Y49"/>
  <c r="Y48"/>
  <c r="Y45"/>
  <c r="Y44"/>
  <c r="Y43"/>
  <c r="Y42"/>
  <c r="Y41"/>
  <c r="Y40"/>
  <c r="Y39"/>
  <c r="Y37"/>
  <c r="Y35"/>
  <c r="Y34"/>
  <c r="Y32"/>
  <c r="Y31"/>
  <c r="Y30"/>
  <c r="Y29"/>
  <c r="Y27"/>
  <c r="Y26"/>
  <c r="Y24"/>
  <c r="Y23"/>
  <c r="Y22"/>
  <c r="Y20"/>
  <c r="Y18"/>
  <c r="Y17"/>
  <c r="Y15"/>
  <c r="Y13"/>
  <c r="Y11"/>
  <c r="Y9"/>
  <c r="Y6"/>
  <c r="AH223"/>
  <c r="AH222"/>
  <c r="AH221"/>
  <c r="AH220"/>
  <c r="AH218"/>
  <c r="AH217"/>
  <c r="AH216"/>
  <c r="AH215"/>
  <c r="AH214"/>
  <c r="AH213"/>
  <c r="AH212"/>
  <c r="AH211"/>
  <c r="AH210"/>
  <c r="AH208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2"/>
  <c r="AH181"/>
  <c r="AH180"/>
  <c r="AH179"/>
  <c r="AH178"/>
  <c r="AH177"/>
  <c r="AH176"/>
  <c r="AH175"/>
  <c r="AH174"/>
  <c r="AH173"/>
  <c r="AH171"/>
  <c r="AH169"/>
  <c r="AH168"/>
  <c r="AH167"/>
  <c r="AH166"/>
  <c r="AH165"/>
  <c r="AH163"/>
  <c r="AH162"/>
  <c r="AH161"/>
  <c r="AH160"/>
  <c r="AH159"/>
  <c r="AH158"/>
  <c r="AH157"/>
  <c r="AH156"/>
  <c r="AH155"/>
  <c r="AH153"/>
  <c r="AH152"/>
  <c r="AH151"/>
  <c r="AH150"/>
  <c r="AH149"/>
  <c r="AH148"/>
  <c r="AH146"/>
  <c r="AH144"/>
  <c r="AH143"/>
  <c r="AH141"/>
  <c r="AH140"/>
  <c r="AH139"/>
  <c r="AH138"/>
  <c r="AH137"/>
  <c r="AH136"/>
  <c r="AH135"/>
  <c r="AH134"/>
  <c r="AH132"/>
  <c r="AH131"/>
  <c r="AH130"/>
  <c r="AH129"/>
  <c r="AH128"/>
  <c r="AH127"/>
  <c r="AH124"/>
  <c r="AH122"/>
  <c r="AH121"/>
  <c r="AH119"/>
  <c r="AH118"/>
  <c r="AH117"/>
  <c r="AH116"/>
  <c r="AH114"/>
  <c r="AH113"/>
  <c r="AH112"/>
  <c r="AH111"/>
  <c r="AH110"/>
  <c r="AH109"/>
  <c r="AH108"/>
  <c r="AH107"/>
  <c r="AH106"/>
  <c r="AH105"/>
  <c r="AH104"/>
  <c r="AH103"/>
  <c r="AH102"/>
  <c r="AH100"/>
  <c r="AH99"/>
  <c r="AH98"/>
  <c r="AH97"/>
  <c r="AH96"/>
  <c r="AH95"/>
  <c r="AH94"/>
  <c r="AH93"/>
  <c r="AH92"/>
  <c r="AH91"/>
  <c r="AH90"/>
  <c r="AH89"/>
  <c r="AH88"/>
  <c r="AH87"/>
  <c r="AH86"/>
  <c r="AH85"/>
  <c r="AH82"/>
  <c r="AH80"/>
  <c r="AH79"/>
  <c r="AH78"/>
  <c r="AH77"/>
  <c r="AH76"/>
  <c r="AH75"/>
  <c r="AH74"/>
  <c r="AH73"/>
  <c r="AH72"/>
  <c r="AH70"/>
  <c r="AH68"/>
  <c r="AH67"/>
  <c r="AH66"/>
  <c r="AH65"/>
  <c r="AH63"/>
  <c r="AH62"/>
  <c r="AH61"/>
  <c r="AH60"/>
  <c r="AH59"/>
  <c r="AH58"/>
  <c r="AH57"/>
  <c r="AH56"/>
  <c r="AH54"/>
  <c r="AH53"/>
  <c r="AH52"/>
  <c r="AH51"/>
  <c r="AH50"/>
  <c r="AH49"/>
  <c r="AH48"/>
  <c r="AH47"/>
  <c r="AH45"/>
  <c r="AH44"/>
  <c r="AH43"/>
  <c r="AH42"/>
  <c r="AH41"/>
  <c r="AH40"/>
  <c r="AH39"/>
  <c r="AH38"/>
  <c r="AH37"/>
  <c r="AH36"/>
  <c r="AH35"/>
  <c r="AH34"/>
  <c r="AH32"/>
  <c r="AH31"/>
  <c r="AH30"/>
  <c r="AH29"/>
  <c r="AH27"/>
  <c r="AH26"/>
  <c r="AH24"/>
  <c r="AH23"/>
  <c r="AH22"/>
  <c r="AH21"/>
  <c r="AH20"/>
  <c r="AH18"/>
  <c r="AH17"/>
  <c r="AH15"/>
  <c r="AH14"/>
  <c r="AH13"/>
  <c r="AH12"/>
  <c r="AH11"/>
  <c r="AH10"/>
  <c r="AH9"/>
  <c r="AH8"/>
  <c r="AH7"/>
  <c r="AH6"/>
  <c r="AH5"/>
  <c r="I217" l="1"/>
  <c r="I209"/>
  <c r="I203"/>
  <c r="I194"/>
  <c r="I189"/>
  <c r="I183"/>
  <c r="I182"/>
  <c r="I178"/>
  <c r="I175"/>
  <c r="J175" s="1"/>
  <c r="I174"/>
  <c r="I172"/>
  <c r="I170"/>
  <c r="I154"/>
  <c r="I147"/>
  <c r="I144"/>
  <c r="I136"/>
  <c r="I142" s="1"/>
  <c r="I124"/>
  <c r="J124" s="1"/>
  <c r="I120"/>
  <c r="I113"/>
  <c r="J113" s="1"/>
  <c r="I112"/>
  <c r="J112" s="1"/>
  <c r="I105"/>
  <c r="I102"/>
  <c r="I101"/>
  <c r="I98"/>
  <c r="I92"/>
  <c r="I91"/>
  <c r="I85"/>
  <c r="J85" s="1"/>
  <c r="I84"/>
  <c r="I83"/>
  <c r="I71"/>
  <c r="I67"/>
  <c r="I64"/>
  <c r="I54"/>
  <c r="I48"/>
  <c r="I39"/>
  <c r="I33"/>
  <c r="I28"/>
  <c r="I21"/>
  <c r="J21" s="1"/>
  <c r="I20"/>
  <c r="J20" s="1"/>
  <c r="I15"/>
  <c r="I14"/>
  <c r="I8"/>
  <c r="I7"/>
  <c r="J7" s="1"/>
  <c r="I6"/>
  <c r="J6" s="1"/>
  <c r="I5"/>
  <c r="AL5" s="1"/>
  <c r="I69" l="1"/>
  <c r="J67"/>
  <c r="I46"/>
  <c r="I164"/>
  <c r="I123"/>
  <c r="I19"/>
  <c r="I115"/>
  <c r="I145"/>
  <c r="I125"/>
  <c r="I224"/>
  <c r="I16"/>
  <c r="I55"/>
  <c r="J147"/>
  <c r="J209"/>
  <c r="J28"/>
  <c r="J170"/>
  <c r="J120"/>
  <c r="J125"/>
  <c r="J71"/>
  <c r="I81"/>
  <c r="I207"/>
  <c r="I25"/>
  <c r="I226" l="1"/>
  <c r="AG224" l="1"/>
  <c r="AE224"/>
  <c r="AD224"/>
  <c r="AB224"/>
  <c r="X224"/>
  <c r="V224"/>
  <c r="U224"/>
  <c r="S224"/>
  <c r="R224"/>
  <c r="Q224"/>
  <c r="P224"/>
  <c r="N224"/>
  <c r="M224"/>
  <c r="L224"/>
  <c r="K224"/>
  <c r="AG209"/>
  <c r="AF209"/>
  <c r="AE209"/>
  <c r="AD209"/>
  <c r="AB209"/>
  <c r="Z209"/>
  <c r="X209"/>
  <c r="W209"/>
  <c r="V209"/>
  <c r="U209"/>
  <c r="S209"/>
  <c r="R209"/>
  <c r="Q209"/>
  <c r="P209"/>
  <c r="N209"/>
  <c r="M209"/>
  <c r="L209"/>
  <c r="K209"/>
  <c r="AG207"/>
  <c r="AD207"/>
  <c r="AB207"/>
  <c r="X207"/>
  <c r="W207"/>
  <c r="V207"/>
  <c r="U207"/>
  <c r="S207"/>
  <c r="R207"/>
  <c r="Q207"/>
  <c r="P207"/>
  <c r="N207"/>
  <c r="M207"/>
  <c r="L207"/>
  <c r="K207"/>
  <c r="AG170"/>
  <c r="AF170"/>
  <c r="AE170"/>
  <c r="AD170"/>
  <c r="AB170"/>
  <c r="Z170"/>
  <c r="X170"/>
  <c r="W170"/>
  <c r="V170"/>
  <c r="U170"/>
  <c r="S170"/>
  <c r="R170"/>
  <c r="Q170"/>
  <c r="P170"/>
  <c r="N170"/>
  <c r="M170"/>
  <c r="L170"/>
  <c r="K170"/>
  <c r="AG164"/>
  <c r="AF164"/>
  <c r="AE164"/>
  <c r="AD164"/>
  <c r="AB164"/>
  <c r="Z164"/>
  <c r="X164"/>
  <c r="V164"/>
  <c r="U164"/>
  <c r="S164"/>
  <c r="R164"/>
  <c r="Q164"/>
  <c r="P164"/>
  <c r="N164"/>
  <c r="M164"/>
  <c r="L164"/>
  <c r="K164"/>
  <c r="G164"/>
  <c r="AG154"/>
  <c r="AF154"/>
  <c r="AE154"/>
  <c r="AD154"/>
  <c r="AB154"/>
  <c r="Z154"/>
  <c r="X154"/>
  <c r="U154"/>
  <c r="S154"/>
  <c r="R154"/>
  <c r="Q154"/>
  <c r="P154"/>
  <c r="N154"/>
  <c r="M154"/>
  <c r="L154"/>
  <c r="K154"/>
  <c r="AG147"/>
  <c r="AF147"/>
  <c r="AE147"/>
  <c r="AD147"/>
  <c r="AB147"/>
  <c r="Z147"/>
  <c r="X147"/>
  <c r="W147"/>
  <c r="V147"/>
  <c r="U147"/>
  <c r="S147"/>
  <c r="R147"/>
  <c r="Q147"/>
  <c r="P147"/>
  <c r="N147"/>
  <c r="M147"/>
  <c r="L147"/>
  <c r="K147"/>
  <c r="AG145"/>
  <c r="AF145"/>
  <c r="AE145"/>
  <c r="AD145"/>
  <c r="AB145"/>
  <c r="X145"/>
  <c r="W145"/>
  <c r="V145"/>
  <c r="U145"/>
  <c r="S145"/>
  <c r="R145"/>
  <c r="Q145"/>
  <c r="P145"/>
  <c r="N145"/>
  <c r="M145"/>
  <c r="L145"/>
  <c r="K145"/>
  <c r="G145"/>
  <c r="AG142"/>
  <c r="AF142"/>
  <c r="AD142"/>
  <c r="AB142"/>
  <c r="Z142"/>
  <c r="X142"/>
  <c r="W142"/>
  <c r="V142"/>
  <c r="U142"/>
  <c r="R142"/>
  <c r="Q142"/>
  <c r="P142"/>
  <c r="M142"/>
  <c r="L142"/>
  <c r="K142"/>
  <c r="G142"/>
  <c r="F142"/>
  <c r="AG125"/>
  <c r="AF125"/>
  <c r="AE125"/>
  <c r="AD125"/>
  <c r="AB125"/>
  <c r="Z125"/>
  <c r="X125"/>
  <c r="W125"/>
  <c r="V125"/>
  <c r="U125"/>
  <c r="S125"/>
  <c r="R125"/>
  <c r="Q125"/>
  <c r="P125"/>
  <c r="N125"/>
  <c r="M125"/>
  <c r="L125"/>
  <c r="K125"/>
  <c r="G125"/>
  <c r="AG123"/>
  <c r="AF123"/>
  <c r="AE123"/>
  <c r="AD123"/>
  <c r="AB123"/>
  <c r="Z123"/>
  <c r="X123"/>
  <c r="W123"/>
  <c r="V123"/>
  <c r="U123"/>
  <c r="S123"/>
  <c r="R123"/>
  <c r="Q123"/>
  <c r="P123"/>
  <c r="N123"/>
  <c r="M123"/>
  <c r="L123"/>
  <c r="K123"/>
  <c r="G123"/>
  <c r="AG120"/>
  <c r="AF120"/>
  <c r="AE120"/>
  <c r="AD120"/>
  <c r="AB120"/>
  <c r="Z120"/>
  <c r="X120"/>
  <c r="V120"/>
  <c r="U120"/>
  <c r="S120"/>
  <c r="R120"/>
  <c r="Q120"/>
  <c r="P120"/>
  <c r="N120"/>
  <c r="M120"/>
  <c r="L120"/>
  <c r="K120"/>
  <c r="G120"/>
  <c r="AG115"/>
  <c r="AD115"/>
  <c r="AB115"/>
  <c r="X115"/>
  <c r="V115"/>
  <c r="U115"/>
  <c r="S115"/>
  <c r="R115"/>
  <c r="Q115"/>
  <c r="P115"/>
  <c r="N115"/>
  <c r="M115"/>
  <c r="L115"/>
  <c r="K115"/>
  <c r="G115"/>
  <c r="AG83"/>
  <c r="AF83"/>
  <c r="AE83"/>
  <c r="AD83"/>
  <c r="AB83"/>
  <c r="Z83"/>
  <c r="X83"/>
  <c r="W83"/>
  <c r="V83"/>
  <c r="U83"/>
  <c r="S83"/>
  <c r="R83"/>
  <c r="Q83"/>
  <c r="P83"/>
  <c r="N83"/>
  <c r="M83"/>
  <c r="L83"/>
  <c r="K83"/>
  <c r="G83"/>
  <c r="AG81"/>
  <c r="AF81"/>
  <c r="AE81"/>
  <c r="AD81"/>
  <c r="AB81"/>
  <c r="Z81"/>
  <c r="X81"/>
  <c r="V81"/>
  <c r="U81"/>
  <c r="S81"/>
  <c r="R81"/>
  <c r="Q81"/>
  <c r="P81"/>
  <c r="N81"/>
  <c r="M81"/>
  <c r="L81"/>
  <c r="K81"/>
  <c r="G81"/>
  <c r="AG71"/>
  <c r="AF71"/>
  <c r="AE71"/>
  <c r="AD71"/>
  <c r="AB71"/>
  <c r="Z71"/>
  <c r="X71"/>
  <c r="W71"/>
  <c r="V71"/>
  <c r="U71"/>
  <c r="S71"/>
  <c r="R71"/>
  <c r="Q71"/>
  <c r="P71"/>
  <c r="N71"/>
  <c r="M71"/>
  <c r="L71"/>
  <c r="K71"/>
  <c r="G71"/>
  <c r="AG69"/>
  <c r="AF69"/>
  <c r="AE69"/>
  <c r="AD69"/>
  <c r="AB69"/>
  <c r="X69"/>
  <c r="W69"/>
  <c r="V69"/>
  <c r="U69"/>
  <c r="S69"/>
  <c r="R69"/>
  <c r="Q69"/>
  <c r="P69"/>
  <c r="N69"/>
  <c r="M69"/>
  <c r="L69"/>
  <c r="K69"/>
  <c r="G69"/>
  <c r="AG64"/>
  <c r="AF64"/>
  <c r="AE64"/>
  <c r="AD64"/>
  <c r="AB64"/>
  <c r="Z64"/>
  <c r="X64"/>
  <c r="V64"/>
  <c r="U64"/>
  <c r="S64"/>
  <c r="R64"/>
  <c r="Q64"/>
  <c r="P64"/>
  <c r="N64"/>
  <c r="M64"/>
  <c r="L64"/>
  <c r="K64"/>
  <c r="G64"/>
  <c r="F64"/>
  <c r="AG55"/>
  <c r="AF55"/>
  <c r="AE55"/>
  <c r="AD55"/>
  <c r="AB55"/>
  <c r="X55"/>
  <c r="V55"/>
  <c r="U55"/>
  <c r="S55"/>
  <c r="R55"/>
  <c r="Q55"/>
  <c r="P55"/>
  <c r="N55"/>
  <c r="M55"/>
  <c r="L55"/>
  <c r="K55"/>
  <c r="G55"/>
  <c r="F55"/>
  <c r="AG46"/>
  <c r="AF46"/>
  <c r="AE46"/>
  <c r="AD46"/>
  <c r="AB46"/>
  <c r="Z46"/>
  <c r="X46"/>
  <c r="V46"/>
  <c r="U46"/>
  <c r="S46"/>
  <c r="R46"/>
  <c r="Q46"/>
  <c r="P46"/>
  <c r="N46"/>
  <c r="M46"/>
  <c r="L46"/>
  <c r="K46"/>
  <c r="G46"/>
  <c r="AG33"/>
  <c r="AF33"/>
  <c r="AE33"/>
  <c r="AD33"/>
  <c r="AB33"/>
  <c r="Z33"/>
  <c r="X33"/>
  <c r="W33"/>
  <c r="V33"/>
  <c r="U33"/>
  <c r="S33"/>
  <c r="R33"/>
  <c r="Q33"/>
  <c r="P33"/>
  <c r="N33"/>
  <c r="M33"/>
  <c r="L33"/>
  <c r="K33"/>
  <c r="G33"/>
  <c r="AG28"/>
  <c r="AF28"/>
  <c r="AE28"/>
  <c r="AD28"/>
  <c r="AB28"/>
  <c r="Z28"/>
  <c r="X28"/>
  <c r="W28"/>
  <c r="V28"/>
  <c r="U28"/>
  <c r="S28"/>
  <c r="R28"/>
  <c r="Q28"/>
  <c r="P28"/>
  <c r="N28"/>
  <c r="M28"/>
  <c r="L28"/>
  <c r="K28"/>
  <c r="G28"/>
  <c r="AG25"/>
  <c r="AF25"/>
  <c r="AE25"/>
  <c r="AD25"/>
  <c r="AB25"/>
  <c r="X25"/>
  <c r="V25"/>
  <c r="U25"/>
  <c r="S25"/>
  <c r="R25"/>
  <c r="Q25"/>
  <c r="P25"/>
  <c r="N25"/>
  <c r="M25"/>
  <c r="L25"/>
  <c r="K25"/>
  <c r="G25"/>
  <c r="F25"/>
  <c r="AG19"/>
  <c r="AF19"/>
  <c r="AE19"/>
  <c r="AD19"/>
  <c r="AB19"/>
  <c r="Z19"/>
  <c r="X19"/>
  <c r="W19"/>
  <c r="V19"/>
  <c r="U19"/>
  <c r="S19"/>
  <c r="R19"/>
  <c r="Q19"/>
  <c r="P19"/>
  <c r="N19"/>
  <c r="M19"/>
  <c r="L19"/>
  <c r="K19"/>
  <c r="G19"/>
  <c r="F16"/>
  <c r="AG16"/>
  <c r="AF16"/>
  <c r="AE16"/>
  <c r="AD16"/>
  <c r="AB16"/>
  <c r="X16"/>
  <c r="V16"/>
  <c r="U16"/>
  <c r="S16"/>
  <c r="R16"/>
  <c r="Q16"/>
  <c r="P16"/>
  <c r="N16"/>
  <c r="M16"/>
  <c r="L16"/>
  <c r="K16"/>
  <c r="G16"/>
  <c r="AC223"/>
  <c r="AC222"/>
  <c r="AC221"/>
  <c r="AC220"/>
  <c r="AC219"/>
  <c r="AC218"/>
  <c r="AC217"/>
  <c r="AC216"/>
  <c r="AC215"/>
  <c r="AC214"/>
  <c r="AC213"/>
  <c r="AC212"/>
  <c r="AC211"/>
  <c r="AC210"/>
  <c r="AC208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69"/>
  <c r="AC168"/>
  <c r="AC167"/>
  <c r="AC166"/>
  <c r="AC165"/>
  <c r="AC163"/>
  <c r="AC162"/>
  <c r="AC161"/>
  <c r="AC160"/>
  <c r="AC159"/>
  <c r="AC158"/>
  <c r="AC157"/>
  <c r="AC156"/>
  <c r="AC155"/>
  <c r="AC153"/>
  <c r="AC152"/>
  <c r="AC151"/>
  <c r="AC150"/>
  <c r="AC149"/>
  <c r="AC148"/>
  <c r="AC146"/>
  <c r="AC144"/>
  <c r="AC143"/>
  <c r="AC141"/>
  <c r="AC140"/>
  <c r="AC139"/>
  <c r="AC138"/>
  <c r="AC137"/>
  <c r="AC136"/>
  <c r="AC135"/>
  <c r="AC134"/>
  <c r="AC132"/>
  <c r="AC131"/>
  <c r="AC130"/>
  <c r="AC129"/>
  <c r="AC128"/>
  <c r="AC127"/>
  <c r="AC126"/>
  <c r="AC124"/>
  <c r="AC122"/>
  <c r="AC121"/>
  <c r="AC119"/>
  <c r="AC118"/>
  <c r="AC117"/>
  <c r="AC116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2"/>
  <c r="AC80"/>
  <c r="AC79"/>
  <c r="AC78"/>
  <c r="AC77"/>
  <c r="AC76"/>
  <c r="AC75"/>
  <c r="AC74"/>
  <c r="AC73"/>
  <c r="AC72"/>
  <c r="AC70"/>
  <c r="AC68"/>
  <c r="AC67"/>
  <c r="AC66"/>
  <c r="AC65"/>
  <c r="AC63"/>
  <c r="AC62"/>
  <c r="AC61"/>
  <c r="AC60"/>
  <c r="AC59"/>
  <c r="AC58"/>
  <c r="AC57"/>
  <c r="AC56"/>
  <c r="AC54"/>
  <c r="AC53"/>
  <c r="AC52"/>
  <c r="AC51"/>
  <c r="AC50"/>
  <c r="AC49"/>
  <c r="AC48"/>
  <c r="AC47"/>
  <c r="AC45"/>
  <c r="AC44"/>
  <c r="AC43"/>
  <c r="AC42"/>
  <c r="AC41"/>
  <c r="AC40"/>
  <c r="AC39"/>
  <c r="AC38"/>
  <c r="AC37"/>
  <c r="AC36"/>
  <c r="AC35"/>
  <c r="AC34"/>
  <c r="AC32"/>
  <c r="AC31"/>
  <c r="AC30"/>
  <c r="AC29"/>
  <c r="AC27"/>
  <c r="AC26"/>
  <c r="AC24"/>
  <c r="AC23"/>
  <c r="AC22"/>
  <c r="AC21"/>
  <c r="AC20"/>
  <c r="AC18"/>
  <c r="AC17"/>
  <c r="AC15"/>
  <c r="AC14"/>
  <c r="AC13"/>
  <c r="AC12"/>
  <c r="AC11"/>
  <c r="AC10"/>
  <c r="AC9"/>
  <c r="AC8"/>
  <c r="AC7"/>
  <c r="AC6"/>
  <c r="AC5"/>
  <c r="AA223"/>
  <c r="AA222"/>
  <c r="AA221"/>
  <c r="AA220"/>
  <c r="AA219"/>
  <c r="AA218"/>
  <c r="AA217"/>
  <c r="AA216"/>
  <c r="AA215"/>
  <c r="AA213"/>
  <c r="AA212"/>
  <c r="AA211"/>
  <c r="AA210"/>
  <c r="AA208"/>
  <c r="AA209" s="1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8"/>
  <c r="AA187"/>
  <c r="AA186"/>
  <c r="AA185"/>
  <c r="AA184"/>
  <c r="AA183"/>
  <c r="AA182"/>
  <c r="AA181"/>
  <c r="AA180"/>
  <c r="AA179"/>
  <c r="AA177"/>
  <c r="AA176"/>
  <c r="AA173"/>
  <c r="AA171"/>
  <c r="AA169"/>
  <c r="AA168"/>
  <c r="AA167"/>
  <c r="AA166"/>
  <c r="AA165"/>
  <c r="AA163"/>
  <c r="AA162"/>
  <c r="AA161"/>
  <c r="AA160"/>
  <c r="AA159"/>
  <c r="AA158"/>
  <c r="AA157"/>
  <c r="AA156"/>
  <c r="AA155"/>
  <c r="AA153"/>
  <c r="AA152"/>
  <c r="AA151"/>
  <c r="AA150"/>
  <c r="AA149"/>
  <c r="AA148"/>
  <c r="AA146"/>
  <c r="AA147" s="1"/>
  <c r="AA143"/>
  <c r="AA141"/>
  <c r="AA140"/>
  <c r="AA139"/>
  <c r="AA138"/>
  <c r="AA137"/>
  <c r="AA136"/>
  <c r="AA135"/>
  <c r="AA134"/>
  <c r="AA132"/>
  <c r="AA131"/>
  <c r="AA130"/>
  <c r="AA129"/>
  <c r="AA128"/>
  <c r="AA127"/>
  <c r="AA126"/>
  <c r="AA124"/>
  <c r="AA125" s="1"/>
  <c r="AA122"/>
  <c r="AA121"/>
  <c r="AA119"/>
  <c r="AA118"/>
  <c r="AA117"/>
  <c r="AA116"/>
  <c r="AA114"/>
  <c r="AA113"/>
  <c r="AA112"/>
  <c r="AA111"/>
  <c r="AA110"/>
  <c r="AA109"/>
  <c r="AA108"/>
  <c r="AA107"/>
  <c r="AA106"/>
  <c r="AA104"/>
  <c r="AA103"/>
  <c r="AA102"/>
  <c r="AA100"/>
  <c r="AA99"/>
  <c r="AA98"/>
  <c r="AA97"/>
  <c r="AA96"/>
  <c r="AA95"/>
  <c r="AA94"/>
  <c r="AA93"/>
  <c r="AA92"/>
  <c r="AA90"/>
  <c r="AA89"/>
  <c r="AA88"/>
  <c r="AA87"/>
  <c r="AA86"/>
  <c r="AA85"/>
  <c r="AA84"/>
  <c r="AA82"/>
  <c r="AA83" s="1"/>
  <c r="AA80"/>
  <c r="AA79"/>
  <c r="AA78"/>
  <c r="AA77"/>
  <c r="AA76"/>
  <c r="AA75"/>
  <c r="AA74"/>
  <c r="AA73"/>
  <c r="AA72"/>
  <c r="AA70"/>
  <c r="AA71" s="1"/>
  <c r="AA68"/>
  <c r="AA67"/>
  <c r="AA65"/>
  <c r="AA63"/>
  <c r="AA62"/>
  <c r="AA61"/>
  <c r="AA60"/>
  <c r="AA59"/>
  <c r="AA58"/>
  <c r="AA57"/>
  <c r="AA56"/>
  <c r="AA53"/>
  <c r="AA52"/>
  <c r="AA51"/>
  <c r="AA50"/>
  <c r="AA49"/>
  <c r="AA47"/>
  <c r="AA45"/>
  <c r="AA44"/>
  <c r="AA43"/>
  <c r="AA42"/>
  <c r="AA41"/>
  <c r="AA40"/>
  <c r="AA39"/>
  <c r="AA38"/>
  <c r="AA37"/>
  <c r="AA36"/>
  <c r="AA35"/>
  <c r="AA34"/>
  <c r="AA32"/>
  <c r="AA31"/>
  <c r="AA30"/>
  <c r="AA29"/>
  <c r="AA27"/>
  <c r="AA26"/>
  <c r="AA24"/>
  <c r="AA23"/>
  <c r="AA22"/>
  <c r="AA18"/>
  <c r="AA17"/>
  <c r="AA15"/>
  <c r="AA14"/>
  <c r="AA13"/>
  <c r="AA12"/>
  <c r="AA11"/>
  <c r="AA10"/>
  <c r="AA9"/>
  <c r="K226" l="1"/>
  <c r="K228" s="1"/>
  <c r="Q226"/>
  <c r="Q228" s="1"/>
  <c r="X226"/>
  <c r="X228" s="1"/>
  <c r="T28"/>
  <c r="AB226"/>
  <c r="AB228" s="1"/>
  <c r="P226"/>
  <c r="P228" s="1"/>
  <c r="Y28"/>
  <c r="AD226"/>
  <c r="AD228" s="1"/>
  <c r="M226"/>
  <c r="M228" s="1"/>
  <c r="U226"/>
  <c r="U228" s="1"/>
  <c r="AG226"/>
  <c r="AG228" s="1"/>
  <c r="AA123"/>
  <c r="L226"/>
  <c r="L228" s="1"/>
  <c r="R226"/>
  <c r="R228" s="1"/>
  <c r="AA164"/>
  <c r="Y83"/>
  <c r="Y123"/>
  <c r="AA19"/>
  <c r="T224"/>
  <c r="Y125"/>
  <c r="AA28"/>
  <c r="T64"/>
  <c r="T81"/>
  <c r="T115"/>
  <c r="T120"/>
  <c r="T164"/>
  <c r="Y147"/>
  <c r="Y209"/>
  <c r="AC25"/>
  <c r="AC81"/>
  <c r="AC125"/>
  <c r="AC145"/>
  <c r="AC224"/>
  <c r="AA33"/>
  <c r="AA46"/>
  <c r="AA64"/>
  <c r="AA154"/>
  <c r="T46"/>
  <c r="T71"/>
  <c r="T83"/>
  <c r="T125"/>
  <c r="T147"/>
  <c r="T170"/>
  <c r="Y170"/>
  <c r="AC33"/>
  <c r="AC46"/>
  <c r="AC55"/>
  <c r="AC64"/>
  <c r="AC69"/>
  <c r="AC71"/>
  <c r="AC154"/>
  <c r="AC207"/>
  <c r="AC209"/>
  <c r="T19"/>
  <c r="Y19"/>
  <c r="Y33"/>
  <c r="AA120"/>
  <c r="AA142"/>
  <c r="AA170"/>
  <c r="AC16"/>
  <c r="T16"/>
  <c r="T33"/>
  <c r="T55"/>
  <c r="T69"/>
  <c r="T209"/>
  <c r="Y69"/>
  <c r="Y71"/>
  <c r="Y142"/>
  <c r="AC19"/>
  <c r="AC115"/>
  <c r="AC120"/>
  <c r="AC123"/>
  <c r="AC147"/>
  <c r="AC170"/>
  <c r="Y207"/>
  <c r="T25"/>
  <c r="T123"/>
  <c r="T207"/>
  <c r="AC28"/>
  <c r="AC83"/>
  <c r="AC142"/>
  <c r="AC164"/>
  <c r="T145"/>
  <c r="T154"/>
  <c r="Y145"/>
  <c r="AA81"/>
  <c r="J82"/>
  <c r="J83" l="1"/>
  <c r="AC226"/>
  <c r="AL223"/>
  <c r="AL222"/>
  <c r="AL220"/>
  <c r="AL219"/>
  <c r="AL218"/>
  <c r="AL215"/>
  <c r="AL213"/>
  <c r="AL212"/>
  <c r="AL211"/>
  <c r="AL210"/>
  <c r="AL208"/>
  <c r="AL206"/>
  <c r="AL205"/>
  <c r="AL204"/>
  <c r="AL202"/>
  <c r="AL201"/>
  <c r="AL200"/>
  <c r="AL199"/>
  <c r="AL198"/>
  <c r="AL197"/>
  <c r="AL196"/>
  <c r="AL195"/>
  <c r="AL193"/>
  <c r="AL192"/>
  <c r="AL190"/>
  <c r="AL188"/>
  <c r="AL187"/>
  <c r="AL186"/>
  <c r="AL185"/>
  <c r="AL184"/>
  <c r="AL181"/>
  <c r="AL180"/>
  <c r="AL179"/>
  <c r="AL177"/>
  <c r="AL176"/>
  <c r="AL173"/>
  <c r="AL171"/>
  <c r="AL169"/>
  <c r="AL168"/>
  <c r="AL167"/>
  <c r="AL166"/>
  <c r="AL165"/>
  <c r="AL163"/>
  <c r="AL162"/>
  <c r="AL161"/>
  <c r="AL160"/>
  <c r="AL159"/>
  <c r="AL158"/>
  <c r="AL157"/>
  <c r="AL156"/>
  <c r="AL153"/>
  <c r="AL151"/>
  <c r="AL150"/>
  <c r="AL149"/>
  <c r="AL148"/>
  <c r="AL146"/>
  <c r="AL143"/>
  <c r="AL140"/>
  <c r="AL139"/>
  <c r="AL136"/>
  <c r="AL135"/>
  <c r="AL134"/>
  <c r="AL132"/>
  <c r="AL131"/>
  <c r="AL130"/>
  <c r="AL129"/>
  <c r="AL128"/>
  <c r="AL127"/>
  <c r="AL126"/>
  <c r="AL121"/>
  <c r="AL119"/>
  <c r="AL118"/>
  <c r="AL117"/>
  <c r="AL116"/>
  <c r="AL114"/>
  <c r="AL111"/>
  <c r="AL110"/>
  <c r="AL108"/>
  <c r="AL107"/>
  <c r="AL106"/>
  <c r="AL104"/>
  <c r="AL103"/>
  <c r="AL100"/>
  <c r="AL99"/>
  <c r="AL97"/>
  <c r="AL96"/>
  <c r="AL95"/>
  <c r="AL94"/>
  <c r="AL93"/>
  <c r="AL90"/>
  <c r="AL89"/>
  <c r="AL88"/>
  <c r="AL86"/>
  <c r="AL82"/>
  <c r="AL79"/>
  <c r="AL78"/>
  <c r="AL77"/>
  <c r="AL74"/>
  <c r="AL73"/>
  <c r="AL72"/>
  <c r="AL70"/>
  <c r="AL68"/>
  <c r="AL65"/>
  <c r="AL63"/>
  <c r="AL61"/>
  <c r="AL60"/>
  <c r="AL59"/>
  <c r="AL58"/>
  <c r="AL57"/>
  <c r="AL56"/>
  <c r="AL53"/>
  <c r="AL51"/>
  <c r="AL50"/>
  <c r="AL49"/>
  <c r="AL47"/>
  <c r="AL45"/>
  <c r="AL44"/>
  <c r="AL43"/>
  <c r="AL41"/>
  <c r="AL40"/>
  <c r="AL38"/>
  <c r="AL37"/>
  <c r="AL36"/>
  <c r="AL35"/>
  <c r="AL34"/>
  <c r="AL32"/>
  <c r="AL31"/>
  <c r="AL30"/>
  <c r="AL29"/>
  <c r="AL27"/>
  <c r="AL26"/>
  <c r="AL24"/>
  <c r="AL23"/>
  <c r="AL13"/>
  <c r="AL12"/>
  <c r="AL11"/>
  <c r="AL10"/>
  <c r="AL9"/>
  <c r="AL33" l="1"/>
  <c r="AL83"/>
  <c r="AL28"/>
  <c r="AL71"/>
  <c r="AL147"/>
  <c r="AL120"/>
  <c r="AL170"/>
  <c r="AL209"/>
  <c r="G224"/>
  <c r="G209"/>
  <c r="G207"/>
  <c r="G170"/>
  <c r="G154"/>
  <c r="G147"/>
  <c r="AH209"/>
  <c r="AH147"/>
  <c r="AH125"/>
  <c r="AH83"/>
  <c r="AH71"/>
  <c r="O209"/>
  <c r="O147"/>
  <c r="O125"/>
  <c r="O71"/>
  <c r="W225" i="12"/>
  <c r="V225"/>
  <c r="S225"/>
  <c r="R225"/>
  <c r="P225"/>
  <c r="O225"/>
  <c r="N225"/>
  <c r="L225"/>
  <c r="K225"/>
  <c r="J225"/>
  <c r="G225"/>
  <c r="F225"/>
  <c r="AB224"/>
  <c r="AA224"/>
  <c r="Z224"/>
  <c r="AC224" s="1"/>
  <c r="Y224"/>
  <c r="U224"/>
  <c r="Q224"/>
  <c r="M224"/>
  <c r="I224"/>
  <c r="AB223"/>
  <c r="AA223"/>
  <c r="Z223"/>
  <c r="Y223"/>
  <c r="U223"/>
  <c r="T225"/>
  <c r="Q223"/>
  <c r="M223"/>
  <c r="I223"/>
  <c r="AA222"/>
  <c r="Z222"/>
  <c r="Y222"/>
  <c r="U222"/>
  <c r="Q222"/>
  <c r="M222"/>
  <c r="I222"/>
  <c r="H222"/>
  <c r="AB222" s="1"/>
  <c r="AB221"/>
  <c r="AA221"/>
  <c r="AC221" s="1"/>
  <c r="Z221"/>
  <c r="Y221"/>
  <c r="U221"/>
  <c r="Q221"/>
  <c r="M221"/>
  <c r="I221"/>
  <c r="AA220"/>
  <c r="Z220"/>
  <c r="Y220"/>
  <c r="X220"/>
  <c r="AB220" s="1"/>
  <c r="U220"/>
  <c r="Q220"/>
  <c r="M220"/>
  <c r="I220"/>
  <c r="AB219"/>
  <c r="AA219"/>
  <c r="Z219"/>
  <c r="Y219"/>
  <c r="U219"/>
  <c r="Q219"/>
  <c r="M219"/>
  <c r="I219"/>
  <c r="AA218"/>
  <c r="Z218"/>
  <c r="Y218"/>
  <c r="U218"/>
  <c r="Q218"/>
  <c r="M218"/>
  <c r="H218"/>
  <c r="AB218" s="1"/>
  <c r="AA217"/>
  <c r="Z217"/>
  <c r="Y217"/>
  <c r="U217"/>
  <c r="Q217"/>
  <c r="M217"/>
  <c r="I217"/>
  <c r="H217"/>
  <c r="AB217" s="1"/>
  <c r="AB216"/>
  <c r="AA216"/>
  <c r="AC216" s="1"/>
  <c r="Z216"/>
  <c r="Y216"/>
  <c r="U216"/>
  <c r="Q216"/>
  <c r="M216"/>
  <c r="I216"/>
  <c r="AA215"/>
  <c r="Z215"/>
  <c r="Y215"/>
  <c r="U215"/>
  <c r="Q215"/>
  <c r="M215"/>
  <c r="I215"/>
  <c r="H215"/>
  <c r="AB215" s="1"/>
  <c r="AB214"/>
  <c r="AA214"/>
  <c r="Z214"/>
  <c r="Y214"/>
  <c r="U214"/>
  <c r="Q214"/>
  <c r="M214"/>
  <c r="I214"/>
  <c r="AB213"/>
  <c r="AA213"/>
  <c r="Z213"/>
  <c r="Y213"/>
  <c r="U213"/>
  <c r="Q213"/>
  <c r="M213"/>
  <c r="I213"/>
  <c r="AA212"/>
  <c r="Z212"/>
  <c r="Y212"/>
  <c r="U212"/>
  <c r="Q212"/>
  <c r="M212"/>
  <c r="I212"/>
  <c r="H212"/>
  <c r="AB212" s="1"/>
  <c r="AB211"/>
  <c r="AA211"/>
  <c r="Z211"/>
  <c r="Y211"/>
  <c r="Y225" s="1"/>
  <c r="U211"/>
  <c r="Q211"/>
  <c r="Q225" s="1"/>
  <c r="M211"/>
  <c r="M225" s="1"/>
  <c r="I211"/>
  <c r="X210"/>
  <c r="W210"/>
  <c r="V210"/>
  <c r="R210"/>
  <c r="P210"/>
  <c r="O210"/>
  <c r="N210"/>
  <c r="L210"/>
  <c r="K210"/>
  <c r="J210"/>
  <c r="H210"/>
  <c r="G210"/>
  <c r="F210"/>
  <c r="AB209"/>
  <c r="AB210" s="1"/>
  <c r="AA209"/>
  <c r="AA210" s="1"/>
  <c r="Z209"/>
  <c r="Z210" s="1"/>
  <c r="Y209"/>
  <c r="Y210" s="1"/>
  <c r="U209"/>
  <c r="U210" s="1"/>
  <c r="Q209"/>
  <c r="Q210" s="1"/>
  <c r="M209"/>
  <c r="M210" s="1"/>
  <c r="I209"/>
  <c r="I210" s="1"/>
  <c r="V208"/>
  <c r="R208"/>
  <c r="P208"/>
  <c r="O208"/>
  <c r="N208"/>
  <c r="L208"/>
  <c r="K208"/>
  <c r="J208"/>
  <c r="G208"/>
  <c r="F208"/>
  <c r="AB207"/>
  <c r="AA207"/>
  <c r="Z207"/>
  <c r="Y207"/>
  <c r="U207"/>
  <c r="Q207"/>
  <c r="M207"/>
  <c r="I207"/>
  <c r="AB206"/>
  <c r="AA206"/>
  <c r="Z206"/>
  <c r="Y206"/>
  <c r="U206"/>
  <c r="Q206"/>
  <c r="M206"/>
  <c r="I206"/>
  <c r="AB205"/>
  <c r="AA205"/>
  <c r="Z205"/>
  <c r="Y205"/>
  <c r="U205"/>
  <c r="Q205"/>
  <c r="M205"/>
  <c r="I205"/>
  <c r="AA204"/>
  <c r="Z204"/>
  <c r="Y204"/>
  <c r="U204"/>
  <c r="Q204"/>
  <c r="M204"/>
  <c r="H204"/>
  <c r="AB204" s="1"/>
  <c r="AB203"/>
  <c r="AA203"/>
  <c r="Z203"/>
  <c r="AC203" s="1"/>
  <c r="Y203"/>
  <c r="U203"/>
  <c r="Q203"/>
  <c r="M203"/>
  <c r="I203"/>
  <c r="AB202"/>
  <c r="AA202"/>
  <c r="Z202"/>
  <c r="AC202" s="1"/>
  <c r="Y202"/>
  <c r="U202"/>
  <c r="Q202"/>
  <c r="M202"/>
  <c r="I202"/>
  <c r="AB201"/>
  <c r="AA201"/>
  <c r="Z201"/>
  <c r="AC201" s="1"/>
  <c r="Y201"/>
  <c r="U201"/>
  <c r="Q201"/>
  <c r="M201"/>
  <c r="I201"/>
  <c r="AB200"/>
  <c r="AC200" s="1"/>
  <c r="AA200"/>
  <c r="Z200"/>
  <c r="Y200"/>
  <c r="U200"/>
  <c r="Q200"/>
  <c r="M200"/>
  <c r="I200"/>
  <c r="AB199"/>
  <c r="AA199"/>
  <c r="Z199"/>
  <c r="Y199"/>
  <c r="U199"/>
  <c r="Q199"/>
  <c r="M199"/>
  <c r="I199"/>
  <c r="AB198"/>
  <c r="AA198"/>
  <c r="Z198"/>
  <c r="Y198"/>
  <c r="U198"/>
  <c r="Q198"/>
  <c r="M198"/>
  <c r="I198"/>
  <c r="AB197"/>
  <c r="AA197"/>
  <c r="Z197"/>
  <c r="Y197"/>
  <c r="U197"/>
  <c r="Q197"/>
  <c r="M197"/>
  <c r="I197"/>
  <c r="AC196"/>
  <c r="AB196"/>
  <c r="AA196"/>
  <c r="Z196"/>
  <c r="Y196"/>
  <c r="U196"/>
  <c r="Q196"/>
  <c r="M196"/>
  <c r="I196"/>
  <c r="AA195"/>
  <c r="Z195"/>
  <c r="Y195"/>
  <c r="U195"/>
  <c r="Q195"/>
  <c r="M195"/>
  <c r="I195"/>
  <c r="H195"/>
  <c r="AB195" s="1"/>
  <c r="AB194"/>
  <c r="AA194"/>
  <c r="Z194"/>
  <c r="Y194"/>
  <c r="U194"/>
  <c r="Q194"/>
  <c r="M194"/>
  <c r="I194"/>
  <c r="AA193"/>
  <c r="Z193"/>
  <c r="Y193"/>
  <c r="U193"/>
  <c r="Q193"/>
  <c r="M193"/>
  <c r="I193"/>
  <c r="H193"/>
  <c r="AB193" s="1"/>
  <c r="AC193" s="1"/>
  <c r="AA192"/>
  <c r="Z192"/>
  <c r="Y192"/>
  <c r="U192"/>
  <c r="Q192"/>
  <c r="M192"/>
  <c r="I192"/>
  <c r="H192"/>
  <c r="AB192" s="1"/>
  <c r="AA191"/>
  <c r="Z191"/>
  <c r="Y191"/>
  <c r="U191"/>
  <c r="Q191"/>
  <c r="M191"/>
  <c r="I191"/>
  <c r="H191"/>
  <c r="AB191" s="1"/>
  <c r="AC191" s="1"/>
  <c r="AA190"/>
  <c r="Z190"/>
  <c r="Y190"/>
  <c r="U190"/>
  <c r="Q190"/>
  <c r="M190"/>
  <c r="I190"/>
  <c r="H190"/>
  <c r="AB190" s="1"/>
  <c r="AB189"/>
  <c r="AC189" s="1"/>
  <c r="AA189"/>
  <c r="Z189"/>
  <c r="Y189"/>
  <c r="U189"/>
  <c r="Q189"/>
  <c r="M189"/>
  <c r="I189"/>
  <c r="AA188"/>
  <c r="Z188"/>
  <c r="Y188"/>
  <c r="U188"/>
  <c r="Q188"/>
  <c r="M188"/>
  <c r="I188"/>
  <c r="H188"/>
  <c r="AB188" s="1"/>
  <c r="AB187"/>
  <c r="AA187"/>
  <c r="Z187"/>
  <c r="Y187"/>
  <c r="U187"/>
  <c r="Q187"/>
  <c r="M187"/>
  <c r="I187"/>
  <c r="AA186"/>
  <c r="Z186"/>
  <c r="Y186"/>
  <c r="U186"/>
  <c r="Q186"/>
  <c r="M186"/>
  <c r="I186"/>
  <c r="H186"/>
  <c r="AB186" s="1"/>
  <c r="AB185"/>
  <c r="AA185"/>
  <c r="Z185"/>
  <c r="Y185"/>
  <c r="U185"/>
  <c r="Q185"/>
  <c r="M185"/>
  <c r="I185"/>
  <c r="AB184"/>
  <c r="Z184"/>
  <c r="W184"/>
  <c r="W208" s="1"/>
  <c r="U184"/>
  <c r="Q184"/>
  <c r="M184"/>
  <c r="I184"/>
  <c r="H184"/>
  <c r="AA183"/>
  <c r="Z183"/>
  <c r="Y183"/>
  <c r="U183"/>
  <c r="Q183"/>
  <c r="M183"/>
  <c r="I183"/>
  <c r="H183"/>
  <c r="AB183" s="1"/>
  <c r="AB182"/>
  <c r="AC182" s="1"/>
  <c r="AA182"/>
  <c r="Z182"/>
  <c r="Y182"/>
  <c r="U182"/>
  <c r="Q182"/>
  <c r="M182"/>
  <c r="I182"/>
  <c r="AB181"/>
  <c r="AA181"/>
  <c r="Z181"/>
  <c r="Y181"/>
  <c r="U181"/>
  <c r="Q181"/>
  <c r="M181"/>
  <c r="I181"/>
  <c r="AA180"/>
  <c r="Z180"/>
  <c r="Y180"/>
  <c r="U180"/>
  <c r="Q180"/>
  <c r="M180"/>
  <c r="I180"/>
  <c r="H180"/>
  <c r="AB180" s="1"/>
  <c r="AA179"/>
  <c r="Z179"/>
  <c r="Y179"/>
  <c r="U179"/>
  <c r="Q179"/>
  <c r="M179"/>
  <c r="I179"/>
  <c r="H179"/>
  <c r="AB179" s="1"/>
  <c r="AB178"/>
  <c r="AA178"/>
  <c r="Z178"/>
  <c r="Y178"/>
  <c r="U178"/>
  <c r="Q178"/>
  <c r="M178"/>
  <c r="I178"/>
  <c r="AB177"/>
  <c r="AA177"/>
  <c r="Z177"/>
  <c r="Y177"/>
  <c r="U177"/>
  <c r="Q177"/>
  <c r="M177"/>
  <c r="I177"/>
  <c r="AB176"/>
  <c r="AC176" s="1"/>
  <c r="AA176"/>
  <c r="Z176"/>
  <c r="Y176"/>
  <c r="U176"/>
  <c r="Q176"/>
  <c r="M176"/>
  <c r="I176"/>
  <c r="AA175"/>
  <c r="Z175"/>
  <c r="Y175"/>
  <c r="U175"/>
  <c r="Q175"/>
  <c r="M175"/>
  <c r="I175"/>
  <c r="H175"/>
  <c r="AB175" s="1"/>
  <c r="AB174"/>
  <c r="AA174"/>
  <c r="Z174"/>
  <c r="Y174"/>
  <c r="U174"/>
  <c r="Q174"/>
  <c r="M174"/>
  <c r="I174"/>
  <c r="AA173"/>
  <c r="Z173"/>
  <c r="Y173"/>
  <c r="X173"/>
  <c r="X208" s="1"/>
  <c r="U173"/>
  <c r="Q173"/>
  <c r="M173"/>
  <c r="I173"/>
  <c r="H173"/>
  <c r="H208" s="1"/>
  <c r="AB172"/>
  <c r="AA172"/>
  <c r="Z172"/>
  <c r="Z208" s="1"/>
  <c r="Y172"/>
  <c r="U172"/>
  <c r="Q172"/>
  <c r="Q208" s="1"/>
  <c r="M172"/>
  <c r="M208" s="1"/>
  <c r="I172"/>
  <c r="X171"/>
  <c r="W171"/>
  <c r="V171"/>
  <c r="R171"/>
  <c r="P171"/>
  <c r="O171"/>
  <c r="N171"/>
  <c r="L171"/>
  <c r="K171"/>
  <c r="J171"/>
  <c r="H171"/>
  <c r="G171"/>
  <c r="F171"/>
  <c r="AB170"/>
  <c r="AA170"/>
  <c r="Z170"/>
  <c r="Y170"/>
  <c r="U170"/>
  <c r="Q170"/>
  <c r="M170"/>
  <c r="I170"/>
  <c r="AB169"/>
  <c r="AA169"/>
  <c r="Z169"/>
  <c r="Y169"/>
  <c r="U169"/>
  <c r="Q169"/>
  <c r="M169"/>
  <c r="M171" s="1"/>
  <c r="I169"/>
  <c r="AB168"/>
  <c r="AA168"/>
  <c r="Z168"/>
  <c r="Y168"/>
  <c r="U168"/>
  <c r="Q168"/>
  <c r="Q171" s="1"/>
  <c r="M168"/>
  <c r="I168"/>
  <c r="AB167"/>
  <c r="AA167"/>
  <c r="Z167"/>
  <c r="Y167"/>
  <c r="U167"/>
  <c r="Q167"/>
  <c r="M167"/>
  <c r="I167"/>
  <c r="AB166"/>
  <c r="AA166"/>
  <c r="AA171" s="1"/>
  <c r="Z166"/>
  <c r="Z171" s="1"/>
  <c r="Y166"/>
  <c r="Y171" s="1"/>
  <c r="U166"/>
  <c r="Q166"/>
  <c r="M166"/>
  <c r="I166"/>
  <c r="I171" s="1"/>
  <c r="X165"/>
  <c r="W165"/>
  <c r="V165"/>
  <c r="R165"/>
  <c r="P165"/>
  <c r="O165"/>
  <c r="N165"/>
  <c r="L165"/>
  <c r="K165"/>
  <c r="J165"/>
  <c r="G165"/>
  <c r="F165"/>
  <c r="AB164"/>
  <c r="AA164"/>
  <c r="Z164"/>
  <c r="Y164"/>
  <c r="U164"/>
  <c r="Q164"/>
  <c r="M164"/>
  <c r="I164"/>
  <c r="AA163"/>
  <c r="Z163"/>
  <c r="Y163"/>
  <c r="AB163"/>
  <c r="Q163"/>
  <c r="M163"/>
  <c r="I163"/>
  <c r="AB162"/>
  <c r="AA162"/>
  <c r="Z162"/>
  <c r="Y162"/>
  <c r="U162"/>
  <c r="Q162"/>
  <c r="M162"/>
  <c r="I162"/>
  <c r="AA161"/>
  <c r="Z161"/>
  <c r="Y161"/>
  <c r="AB161"/>
  <c r="Q161"/>
  <c r="M161"/>
  <c r="I161"/>
  <c r="AB160"/>
  <c r="AA160"/>
  <c r="Z160"/>
  <c r="AC160" s="1"/>
  <c r="Y160"/>
  <c r="U160"/>
  <c r="Q160"/>
  <c r="M160"/>
  <c r="I160"/>
  <c r="AB159"/>
  <c r="AC159" s="1"/>
  <c r="AA159"/>
  <c r="Z159"/>
  <c r="Y159"/>
  <c r="U159"/>
  <c r="Q159"/>
  <c r="M159"/>
  <c r="I159"/>
  <c r="AB158"/>
  <c r="AA158"/>
  <c r="Z158"/>
  <c r="Y158"/>
  <c r="U158"/>
  <c r="Q158"/>
  <c r="M158"/>
  <c r="I158"/>
  <c r="AB157"/>
  <c r="AA157"/>
  <c r="Z157"/>
  <c r="AC157" s="1"/>
  <c r="Y157"/>
  <c r="U157"/>
  <c r="Q157"/>
  <c r="M157"/>
  <c r="I157"/>
  <c r="AA156"/>
  <c r="Z156"/>
  <c r="Y156"/>
  <c r="Y165" s="1"/>
  <c r="U156"/>
  <c r="Q156"/>
  <c r="Q165" s="1"/>
  <c r="M156"/>
  <c r="M165" s="1"/>
  <c r="I156"/>
  <c r="I165" s="1"/>
  <c r="H156"/>
  <c r="H165" s="1"/>
  <c r="X155"/>
  <c r="W155"/>
  <c r="V155"/>
  <c r="R155"/>
  <c r="P155"/>
  <c r="O155"/>
  <c r="N155"/>
  <c r="L155"/>
  <c r="K155"/>
  <c r="J155"/>
  <c r="G155"/>
  <c r="F155"/>
  <c r="AB154"/>
  <c r="AA154"/>
  <c r="Z154"/>
  <c r="AC154" s="1"/>
  <c r="Y154"/>
  <c r="U154"/>
  <c r="Q154"/>
  <c r="M154"/>
  <c r="I154"/>
  <c r="AB153"/>
  <c r="AA153"/>
  <c r="Z153"/>
  <c r="AC153" s="1"/>
  <c r="Y153"/>
  <c r="U153"/>
  <c r="Q153"/>
  <c r="M153"/>
  <c r="I153"/>
  <c r="AB152"/>
  <c r="AA152"/>
  <c r="Z152"/>
  <c r="AC152" s="1"/>
  <c r="Y152"/>
  <c r="U152"/>
  <c r="Q152"/>
  <c r="M152"/>
  <c r="I152"/>
  <c r="AB151"/>
  <c r="Z151"/>
  <c r="Y151"/>
  <c r="U151"/>
  <c r="AA151"/>
  <c r="Q151"/>
  <c r="M151"/>
  <c r="I151"/>
  <c r="AB150"/>
  <c r="AA150"/>
  <c r="Z150"/>
  <c r="AC150" s="1"/>
  <c r="Y150"/>
  <c r="U150"/>
  <c r="Q150"/>
  <c r="M150"/>
  <c r="I150"/>
  <c r="AA149"/>
  <c r="Z149"/>
  <c r="Y149"/>
  <c r="Y155" s="1"/>
  <c r="U149"/>
  <c r="Q149"/>
  <c r="M149"/>
  <c r="M155" s="1"/>
  <c r="H149"/>
  <c r="I149" s="1"/>
  <c r="X148"/>
  <c r="W148"/>
  <c r="V148"/>
  <c r="R148"/>
  <c r="Q148"/>
  <c r="P148"/>
  <c r="O148"/>
  <c r="N148"/>
  <c r="M148"/>
  <c r="L148"/>
  <c r="K148"/>
  <c r="J148"/>
  <c r="H148"/>
  <c r="G148"/>
  <c r="F148"/>
  <c r="AB147"/>
  <c r="AB148" s="1"/>
  <c r="AA147"/>
  <c r="AA148" s="1"/>
  <c r="Z147"/>
  <c r="Z148" s="1"/>
  <c r="Y147"/>
  <c r="Y148" s="1"/>
  <c r="U147"/>
  <c r="U148" s="1"/>
  <c r="Q147"/>
  <c r="M147"/>
  <c r="I147"/>
  <c r="I148" s="1"/>
  <c r="X146"/>
  <c r="W146"/>
  <c r="V146"/>
  <c r="R146"/>
  <c r="P146"/>
  <c r="O146"/>
  <c r="N146"/>
  <c r="L146"/>
  <c r="K146"/>
  <c r="J146"/>
  <c r="G146"/>
  <c r="F146"/>
  <c r="AA145"/>
  <c r="Z145"/>
  <c r="Y145"/>
  <c r="U145"/>
  <c r="Q145"/>
  <c r="M145"/>
  <c r="H145"/>
  <c r="H146" s="1"/>
  <c r="AB144"/>
  <c r="AA144"/>
  <c r="AA146" s="1"/>
  <c r="Z144"/>
  <c r="Y144"/>
  <c r="Y146" s="1"/>
  <c r="U144"/>
  <c r="U146" s="1"/>
  <c r="Q144"/>
  <c r="Q146" s="1"/>
  <c r="M144"/>
  <c r="M146" s="1"/>
  <c r="I144"/>
  <c r="X143"/>
  <c r="V143"/>
  <c r="R143"/>
  <c r="P143"/>
  <c r="O143"/>
  <c r="N143"/>
  <c r="L143"/>
  <c r="K143"/>
  <c r="J143"/>
  <c r="G143"/>
  <c r="F143"/>
  <c r="AA142"/>
  <c r="Z142"/>
  <c r="Y142"/>
  <c r="U142"/>
  <c r="Q142"/>
  <c r="M142"/>
  <c r="I142"/>
  <c r="AB142"/>
  <c r="AC142" s="1"/>
  <c r="AB141"/>
  <c r="AA141"/>
  <c r="Z141"/>
  <c r="Y141"/>
  <c r="U141"/>
  <c r="Q141"/>
  <c r="M141"/>
  <c r="I141"/>
  <c r="AB140"/>
  <c r="AA140"/>
  <c r="Z140"/>
  <c r="Y140"/>
  <c r="U140"/>
  <c r="Q140"/>
  <c r="M140"/>
  <c r="I140"/>
  <c r="AB139"/>
  <c r="AA139"/>
  <c r="Z139"/>
  <c r="Y139"/>
  <c r="U139"/>
  <c r="Q139"/>
  <c r="M139"/>
  <c r="I139"/>
  <c r="AA138"/>
  <c r="Z138"/>
  <c r="Y138"/>
  <c r="U138"/>
  <c r="Q138"/>
  <c r="M138"/>
  <c r="AB138"/>
  <c r="AA137"/>
  <c r="Z137"/>
  <c r="Y137"/>
  <c r="U137"/>
  <c r="Q137"/>
  <c r="M137"/>
  <c r="AB137"/>
  <c r="AB136"/>
  <c r="AA136"/>
  <c r="Z136"/>
  <c r="Y136"/>
  <c r="U136"/>
  <c r="Q136"/>
  <c r="M136"/>
  <c r="I136"/>
  <c r="AB134"/>
  <c r="AA134"/>
  <c r="Z134"/>
  <c r="Y134"/>
  <c r="U134"/>
  <c r="Q134"/>
  <c r="M134"/>
  <c r="I134"/>
  <c r="AB133"/>
  <c r="AA133"/>
  <c r="Z133"/>
  <c r="Y133"/>
  <c r="U133"/>
  <c r="Q133"/>
  <c r="M133"/>
  <c r="I133"/>
  <c r="AA132"/>
  <c r="Z132"/>
  <c r="Y132"/>
  <c r="U132"/>
  <c r="Q132"/>
  <c r="M132"/>
  <c r="I132"/>
  <c r="H143"/>
  <c r="AB131"/>
  <c r="AA131"/>
  <c r="Z131"/>
  <c r="Y131"/>
  <c r="U131"/>
  <c r="Q131"/>
  <c r="M131"/>
  <c r="I131"/>
  <c r="AB130"/>
  <c r="AA130"/>
  <c r="Z130"/>
  <c r="Y130"/>
  <c r="U130"/>
  <c r="Q130"/>
  <c r="M130"/>
  <c r="I130"/>
  <c r="AC129"/>
  <c r="AB129"/>
  <c r="AA129"/>
  <c r="Z129"/>
  <c r="Y129"/>
  <c r="U129"/>
  <c r="Q129"/>
  <c r="M129"/>
  <c r="I129"/>
  <c r="AB128"/>
  <c r="AA128"/>
  <c r="Z128"/>
  <c r="Y128"/>
  <c r="U128"/>
  <c r="Q128"/>
  <c r="M128"/>
  <c r="I128"/>
  <c r="AB127"/>
  <c r="AA127"/>
  <c r="Z127"/>
  <c r="Z143" s="1"/>
  <c r="W127"/>
  <c r="W143" s="1"/>
  <c r="U127"/>
  <c r="Q127"/>
  <c r="Q143" s="1"/>
  <c r="M127"/>
  <c r="M143" s="1"/>
  <c r="I127"/>
  <c r="X126"/>
  <c r="W126"/>
  <c r="V126"/>
  <c r="R126"/>
  <c r="Q126"/>
  <c r="P126"/>
  <c r="O126"/>
  <c r="N126"/>
  <c r="M126"/>
  <c r="L126"/>
  <c r="K126"/>
  <c r="J126"/>
  <c r="H126"/>
  <c r="G126"/>
  <c r="F126"/>
  <c r="AC125"/>
  <c r="AC126" s="1"/>
  <c r="AB125"/>
  <c r="AB126" s="1"/>
  <c r="AA125"/>
  <c r="AA126" s="1"/>
  <c r="Z125"/>
  <c r="Z126" s="1"/>
  <c r="Y125"/>
  <c r="Y126" s="1"/>
  <c r="U125"/>
  <c r="U126" s="1"/>
  <c r="Q125"/>
  <c r="M125"/>
  <c r="I125"/>
  <c r="I126" s="1"/>
  <c r="X124"/>
  <c r="W124"/>
  <c r="V124"/>
  <c r="R124"/>
  <c r="P124"/>
  <c r="O124"/>
  <c r="N124"/>
  <c r="L124"/>
  <c r="K124"/>
  <c r="J124"/>
  <c r="G124"/>
  <c r="F124"/>
  <c r="AA123"/>
  <c r="Z123"/>
  <c r="Y123"/>
  <c r="U123"/>
  <c r="Q123"/>
  <c r="M123"/>
  <c r="H124"/>
  <c r="AB122"/>
  <c r="AA122"/>
  <c r="AA124" s="1"/>
  <c r="Z122"/>
  <c r="Y122"/>
  <c r="Y124" s="1"/>
  <c r="U122"/>
  <c r="U124" s="1"/>
  <c r="Q122"/>
  <c r="Q124" s="1"/>
  <c r="M122"/>
  <c r="M124" s="1"/>
  <c r="I122"/>
  <c r="X121"/>
  <c r="W121"/>
  <c r="V121"/>
  <c r="R121"/>
  <c r="P121"/>
  <c r="O121"/>
  <c r="N121"/>
  <c r="M121"/>
  <c r="L121"/>
  <c r="K121"/>
  <c r="J121"/>
  <c r="H121"/>
  <c r="G121"/>
  <c r="F121"/>
  <c r="AB120"/>
  <c r="AA120"/>
  <c r="AC120" s="1"/>
  <c r="Z120"/>
  <c r="Y120"/>
  <c r="U120"/>
  <c r="Q120"/>
  <c r="M120"/>
  <c r="I120"/>
  <c r="AA119"/>
  <c r="Z119"/>
  <c r="Y119"/>
  <c r="U119"/>
  <c r="AB119"/>
  <c r="Q119"/>
  <c r="Q121" s="1"/>
  <c r="M119"/>
  <c r="I119"/>
  <c r="AB118"/>
  <c r="AA118"/>
  <c r="Z118"/>
  <c r="Y118"/>
  <c r="U118"/>
  <c r="Q118"/>
  <c r="M118"/>
  <c r="I118"/>
  <c r="AB117"/>
  <c r="AB121" s="1"/>
  <c r="AA117"/>
  <c r="AA121" s="1"/>
  <c r="Z117"/>
  <c r="Z121" s="1"/>
  <c r="Y117"/>
  <c r="Y121" s="1"/>
  <c r="U117"/>
  <c r="Q117"/>
  <c r="M117"/>
  <c r="I117"/>
  <c r="I121" s="1"/>
  <c r="V116"/>
  <c r="R116"/>
  <c r="P116"/>
  <c r="O116"/>
  <c r="N116"/>
  <c r="L116"/>
  <c r="K116"/>
  <c r="J116"/>
  <c r="G116"/>
  <c r="F116"/>
  <c r="AB115"/>
  <c r="AA115"/>
  <c r="Z115"/>
  <c r="Y115"/>
  <c r="U115"/>
  <c r="Q115"/>
  <c r="M115"/>
  <c r="I115"/>
  <c r="AB114"/>
  <c r="AA114"/>
  <c r="AC114" s="1"/>
  <c r="Z114"/>
  <c r="Y114"/>
  <c r="U114"/>
  <c r="Q114"/>
  <c r="M114"/>
  <c r="I114"/>
  <c r="AB113"/>
  <c r="AA113"/>
  <c r="Z113"/>
  <c r="Y113"/>
  <c r="U113"/>
  <c r="Q113"/>
  <c r="M113"/>
  <c r="I113"/>
  <c r="AB112"/>
  <c r="AA112"/>
  <c r="Z112"/>
  <c r="Y112"/>
  <c r="U112"/>
  <c r="Q112"/>
  <c r="M112"/>
  <c r="I112"/>
  <c r="AB111"/>
  <c r="AA111"/>
  <c r="Z111"/>
  <c r="Y111"/>
  <c r="U111"/>
  <c r="Q111"/>
  <c r="M111"/>
  <c r="I111"/>
  <c r="AA110"/>
  <c r="Z110"/>
  <c r="Y110"/>
  <c r="U110"/>
  <c r="Q110"/>
  <c r="M110"/>
  <c r="H110"/>
  <c r="I110" s="1"/>
  <c r="AB109"/>
  <c r="AA109"/>
  <c r="Z109"/>
  <c r="Y109"/>
  <c r="U109"/>
  <c r="Q109"/>
  <c r="M109"/>
  <c r="I109"/>
  <c r="AB108"/>
  <c r="AA108"/>
  <c r="Z108"/>
  <c r="Y108"/>
  <c r="U108"/>
  <c r="Q108"/>
  <c r="M108"/>
  <c r="I108"/>
  <c r="AA107"/>
  <c r="Z107"/>
  <c r="Y107"/>
  <c r="U107"/>
  <c r="Q107"/>
  <c r="M107"/>
  <c r="H107"/>
  <c r="I107" s="1"/>
  <c r="AB106"/>
  <c r="AA106"/>
  <c r="Z106"/>
  <c r="Y106"/>
  <c r="U106"/>
  <c r="Q106"/>
  <c r="M106"/>
  <c r="I106"/>
  <c r="AA105"/>
  <c r="Z105"/>
  <c r="Y105"/>
  <c r="U105"/>
  <c r="Q105"/>
  <c r="M105"/>
  <c r="H105"/>
  <c r="AB105" s="1"/>
  <c r="AB104"/>
  <c r="AA104"/>
  <c r="Z104"/>
  <c r="Y104"/>
  <c r="U104"/>
  <c r="Q104"/>
  <c r="M104"/>
  <c r="I104"/>
  <c r="AB103"/>
  <c r="AA103"/>
  <c r="Z103"/>
  <c r="Y103"/>
  <c r="U103"/>
  <c r="Q103"/>
  <c r="M103"/>
  <c r="I103"/>
  <c r="AA102"/>
  <c r="Z102"/>
  <c r="Y102"/>
  <c r="U102"/>
  <c r="Q102"/>
  <c r="M102"/>
  <c r="H102"/>
  <c r="AB102" s="1"/>
  <c r="AA101"/>
  <c r="Z101"/>
  <c r="X101"/>
  <c r="X116" s="1"/>
  <c r="U101"/>
  <c r="Q101"/>
  <c r="M101"/>
  <c r="I101"/>
  <c r="H101"/>
  <c r="AB100"/>
  <c r="AA100"/>
  <c r="AC100" s="1"/>
  <c r="Z100"/>
  <c r="Y100"/>
  <c r="U100"/>
  <c r="Q100"/>
  <c r="M100"/>
  <c r="I100"/>
  <c r="AA99"/>
  <c r="Z99"/>
  <c r="Y99"/>
  <c r="U99"/>
  <c r="Q99"/>
  <c r="M99"/>
  <c r="H99"/>
  <c r="AB99" s="1"/>
  <c r="AA98"/>
  <c r="Z98"/>
  <c r="Y98"/>
  <c r="U98"/>
  <c r="Q98"/>
  <c r="M98"/>
  <c r="H98"/>
  <c r="AB98" s="1"/>
  <c r="AB97"/>
  <c r="AA97"/>
  <c r="Z97"/>
  <c r="Y97"/>
  <c r="U97"/>
  <c r="Q97"/>
  <c r="M97"/>
  <c r="I97"/>
  <c r="AB96"/>
  <c r="AA96"/>
  <c r="Z96"/>
  <c r="Y96"/>
  <c r="U96"/>
  <c r="Q96"/>
  <c r="M96"/>
  <c r="I96"/>
  <c r="AA95"/>
  <c r="Z95"/>
  <c r="Y95"/>
  <c r="U95"/>
  <c r="Q95"/>
  <c r="M95"/>
  <c r="H95"/>
  <c r="AB95" s="1"/>
  <c r="AB94"/>
  <c r="AA94"/>
  <c r="Z94"/>
  <c r="Y94"/>
  <c r="U94"/>
  <c r="Q94"/>
  <c r="M94"/>
  <c r="I94"/>
  <c r="AB93"/>
  <c r="AA93"/>
  <c r="Z93"/>
  <c r="Y93"/>
  <c r="U93"/>
  <c r="Q93"/>
  <c r="M93"/>
  <c r="I93"/>
  <c r="AA92"/>
  <c r="Z92"/>
  <c r="Y92"/>
  <c r="U92"/>
  <c r="Q92"/>
  <c r="M92"/>
  <c r="H92"/>
  <c r="AB92" s="1"/>
  <c r="AA91"/>
  <c r="Z91"/>
  <c r="Y91"/>
  <c r="U91"/>
  <c r="Q91"/>
  <c r="M91"/>
  <c r="H91"/>
  <c r="AB91" s="1"/>
  <c r="AC91" s="1"/>
  <c r="AA90"/>
  <c r="Z90"/>
  <c r="Y90"/>
  <c r="U90"/>
  <c r="Q90"/>
  <c r="M90"/>
  <c r="H90"/>
  <c r="AB90" s="1"/>
  <c r="AB89"/>
  <c r="AA89"/>
  <c r="Z89"/>
  <c r="Y89"/>
  <c r="U89"/>
  <c r="Q89"/>
  <c r="M89"/>
  <c r="I89"/>
  <c r="AB88"/>
  <c r="AA88"/>
  <c r="Z88"/>
  <c r="Y88"/>
  <c r="U88"/>
  <c r="Q88"/>
  <c r="M88"/>
  <c r="I88"/>
  <c r="AA87"/>
  <c r="Z87"/>
  <c r="Y87"/>
  <c r="U87"/>
  <c r="Q87"/>
  <c r="M87"/>
  <c r="H87"/>
  <c r="AB87" s="1"/>
  <c r="AB86"/>
  <c r="AA86"/>
  <c r="Z86"/>
  <c r="Y86"/>
  <c r="U86"/>
  <c r="Q86"/>
  <c r="M86"/>
  <c r="I86"/>
  <c r="AA85"/>
  <c r="Z85"/>
  <c r="Y85"/>
  <c r="AB85"/>
  <c r="Q85"/>
  <c r="M85"/>
  <c r="I85"/>
  <c r="AB84"/>
  <c r="AA84"/>
  <c r="Z84"/>
  <c r="Z116" s="1"/>
  <c r="W84"/>
  <c r="Y84" s="1"/>
  <c r="U84"/>
  <c r="Q84"/>
  <c r="Q116" s="1"/>
  <c r="M84"/>
  <c r="M116" s="1"/>
  <c r="I84"/>
  <c r="H84"/>
  <c r="H116" s="1"/>
  <c r="X83"/>
  <c r="W83"/>
  <c r="V83"/>
  <c r="R83"/>
  <c r="P83"/>
  <c r="O83"/>
  <c r="N83"/>
  <c r="M83"/>
  <c r="L83"/>
  <c r="K83"/>
  <c r="J83"/>
  <c r="G83"/>
  <c r="F83"/>
  <c r="AA82"/>
  <c r="Z82"/>
  <c r="Z83" s="1"/>
  <c r="Y82"/>
  <c r="Y83" s="1"/>
  <c r="U82"/>
  <c r="U83" s="1"/>
  <c r="Q82"/>
  <c r="Q83" s="1"/>
  <c r="M82"/>
  <c r="I82"/>
  <c r="I83" s="1"/>
  <c r="X81"/>
  <c r="W81"/>
  <c r="V81"/>
  <c r="R81"/>
  <c r="P81"/>
  <c r="O81"/>
  <c r="N81"/>
  <c r="L81"/>
  <c r="K81"/>
  <c r="J81"/>
  <c r="G81"/>
  <c r="F81"/>
  <c r="AB80"/>
  <c r="AA80"/>
  <c r="Z80"/>
  <c r="Y80"/>
  <c r="U80"/>
  <c r="Q80"/>
  <c r="M80"/>
  <c r="I80"/>
  <c r="AB79"/>
  <c r="AA79"/>
  <c r="Z79"/>
  <c r="Y79"/>
  <c r="U79"/>
  <c r="Q79"/>
  <c r="M79"/>
  <c r="I79"/>
  <c r="AB78"/>
  <c r="AA78"/>
  <c r="Z78"/>
  <c r="Y78"/>
  <c r="U78"/>
  <c r="Q78"/>
  <c r="M78"/>
  <c r="I78"/>
  <c r="AB77"/>
  <c r="AA77"/>
  <c r="Z77"/>
  <c r="Y77"/>
  <c r="U77"/>
  <c r="Q77"/>
  <c r="M77"/>
  <c r="I77"/>
  <c r="AB76"/>
  <c r="AA76"/>
  <c r="AC76" s="1"/>
  <c r="Z76"/>
  <c r="Y76"/>
  <c r="U76"/>
  <c r="Q76"/>
  <c r="M76"/>
  <c r="I76"/>
  <c r="AA75"/>
  <c r="Z75"/>
  <c r="Y75"/>
  <c r="U75"/>
  <c r="Q75"/>
  <c r="M75"/>
  <c r="H75"/>
  <c r="AB75" s="1"/>
  <c r="AB74"/>
  <c r="AA74"/>
  <c r="Z74"/>
  <c r="Y74"/>
  <c r="U74"/>
  <c r="Q74"/>
  <c r="M74"/>
  <c r="I74"/>
  <c r="AA73"/>
  <c r="Z73"/>
  <c r="Y73"/>
  <c r="U73"/>
  <c r="Q73"/>
  <c r="Q81" s="1"/>
  <c r="M73"/>
  <c r="H73"/>
  <c r="AB73" s="1"/>
  <c r="AB72"/>
  <c r="AA72"/>
  <c r="Z72"/>
  <c r="Z81" s="1"/>
  <c r="Y72"/>
  <c r="Y81" s="1"/>
  <c r="U72"/>
  <c r="Q72"/>
  <c r="M72"/>
  <c r="M81" s="1"/>
  <c r="I72"/>
  <c r="X71"/>
  <c r="W71"/>
  <c r="V71"/>
  <c r="R71"/>
  <c r="Q71"/>
  <c r="P71"/>
  <c r="O71"/>
  <c r="N71"/>
  <c r="L71"/>
  <c r="K71"/>
  <c r="J71"/>
  <c r="H71"/>
  <c r="G71"/>
  <c r="F71"/>
  <c r="AB70"/>
  <c r="AB71" s="1"/>
  <c r="AA70"/>
  <c r="AA71" s="1"/>
  <c r="Z70"/>
  <c r="Z71" s="1"/>
  <c r="Y70"/>
  <c r="Y71" s="1"/>
  <c r="U70"/>
  <c r="U71" s="1"/>
  <c r="Q70"/>
  <c r="M70"/>
  <c r="M71" s="1"/>
  <c r="I70"/>
  <c r="I71" s="1"/>
  <c r="X69"/>
  <c r="W69"/>
  <c r="V69"/>
  <c r="R69"/>
  <c r="P69"/>
  <c r="O69"/>
  <c r="N69"/>
  <c r="L69"/>
  <c r="K69"/>
  <c r="J69"/>
  <c r="G69"/>
  <c r="F69"/>
  <c r="AB68"/>
  <c r="AA68"/>
  <c r="Z68"/>
  <c r="Y68"/>
  <c r="U68"/>
  <c r="Q68"/>
  <c r="M68"/>
  <c r="I68"/>
  <c r="AB67"/>
  <c r="AA67"/>
  <c r="Z67"/>
  <c r="Y67"/>
  <c r="U67"/>
  <c r="Q67"/>
  <c r="M67"/>
  <c r="I67"/>
  <c r="AA66"/>
  <c r="Z66"/>
  <c r="Y66"/>
  <c r="U66"/>
  <c r="Q66"/>
  <c r="M66"/>
  <c r="H69"/>
  <c r="AB65"/>
  <c r="AA65"/>
  <c r="AA69" s="1"/>
  <c r="Z65"/>
  <c r="Y65"/>
  <c r="Y69" s="1"/>
  <c r="U65"/>
  <c r="Q65"/>
  <c r="Q69" s="1"/>
  <c r="M65"/>
  <c r="M69" s="1"/>
  <c r="I65"/>
  <c r="X64"/>
  <c r="W64"/>
  <c r="V64"/>
  <c r="R64"/>
  <c r="P64"/>
  <c r="O64"/>
  <c r="N64"/>
  <c r="L64"/>
  <c r="K64"/>
  <c r="J64"/>
  <c r="G64"/>
  <c r="F64"/>
  <c r="AB63"/>
  <c r="AA63"/>
  <c r="Z63"/>
  <c r="Y63"/>
  <c r="U63"/>
  <c r="Q63"/>
  <c r="M63"/>
  <c r="I63"/>
  <c r="AB62"/>
  <c r="AA62"/>
  <c r="Z62"/>
  <c r="Y62"/>
  <c r="U62"/>
  <c r="Q62"/>
  <c r="M62"/>
  <c r="I62"/>
  <c r="AB61"/>
  <c r="AA61"/>
  <c r="Z61"/>
  <c r="Y61"/>
  <c r="U61"/>
  <c r="Q61"/>
  <c r="M61"/>
  <c r="I61"/>
  <c r="AA60"/>
  <c r="Z60"/>
  <c r="Y60"/>
  <c r="U60"/>
  <c r="Q60"/>
  <c r="M60"/>
  <c r="H60"/>
  <c r="AB60" s="1"/>
  <c r="AA59"/>
  <c r="Z59"/>
  <c r="Y59"/>
  <c r="U59"/>
  <c r="Q59"/>
  <c r="M59"/>
  <c r="H59"/>
  <c r="AB59" s="1"/>
  <c r="AC59" s="1"/>
  <c r="AB58"/>
  <c r="AA58"/>
  <c r="Z58"/>
  <c r="AC58" s="1"/>
  <c r="Y58"/>
  <c r="U58"/>
  <c r="Q58"/>
  <c r="M58"/>
  <c r="I58"/>
  <c r="AB57"/>
  <c r="AA57"/>
  <c r="Z57"/>
  <c r="Y57"/>
  <c r="U57"/>
  <c r="Q57"/>
  <c r="M57"/>
  <c r="I57"/>
  <c r="AB56"/>
  <c r="AA56"/>
  <c r="Z56"/>
  <c r="Z64" s="1"/>
  <c r="Y56"/>
  <c r="Y64" s="1"/>
  <c r="U56"/>
  <c r="U64" s="1"/>
  <c r="Q56"/>
  <c r="Q64" s="1"/>
  <c r="M56"/>
  <c r="M64" s="1"/>
  <c r="I56"/>
  <c r="X55"/>
  <c r="W55"/>
  <c r="V55"/>
  <c r="R55"/>
  <c r="P55"/>
  <c r="O55"/>
  <c r="N55"/>
  <c r="L55"/>
  <c r="K55"/>
  <c r="J55"/>
  <c r="G55"/>
  <c r="F55"/>
  <c r="AA54"/>
  <c r="Z54"/>
  <c r="Y54"/>
  <c r="U54"/>
  <c r="Q54"/>
  <c r="M54"/>
  <c r="H54"/>
  <c r="AB54" s="1"/>
  <c r="AA53"/>
  <c r="Z53"/>
  <c r="Y53"/>
  <c r="U53"/>
  <c r="Q53"/>
  <c r="M53"/>
  <c r="H53"/>
  <c r="AB53" s="1"/>
  <c r="AA52"/>
  <c r="Z52"/>
  <c r="Y52"/>
  <c r="U52"/>
  <c r="Q52"/>
  <c r="M52"/>
  <c r="H52"/>
  <c r="AB52" s="1"/>
  <c r="AA51"/>
  <c r="Z51"/>
  <c r="Y51"/>
  <c r="U51"/>
  <c r="Q51"/>
  <c r="M51"/>
  <c r="H51"/>
  <c r="AB51" s="1"/>
  <c r="AC51" s="1"/>
  <c r="AB50"/>
  <c r="AA50"/>
  <c r="Z50"/>
  <c r="Y50"/>
  <c r="U50"/>
  <c r="Q50"/>
  <c r="M50"/>
  <c r="I50"/>
  <c r="AB49"/>
  <c r="AA49"/>
  <c r="Z49"/>
  <c r="Y49"/>
  <c r="U49"/>
  <c r="Q49"/>
  <c r="M49"/>
  <c r="I49"/>
  <c r="AA48"/>
  <c r="Z48"/>
  <c r="Y48"/>
  <c r="U48"/>
  <c r="Q48"/>
  <c r="M48"/>
  <c r="H48"/>
  <c r="H55" s="1"/>
  <c r="Z47"/>
  <c r="Y47"/>
  <c r="Y55" s="1"/>
  <c r="U47"/>
  <c r="Q47"/>
  <c r="Q55" s="1"/>
  <c r="M47"/>
  <c r="M55" s="1"/>
  <c r="I47"/>
  <c r="X46"/>
  <c r="W46"/>
  <c r="V46"/>
  <c r="R46"/>
  <c r="P46"/>
  <c r="O46"/>
  <c r="N46"/>
  <c r="L46"/>
  <c r="K46"/>
  <c r="J46"/>
  <c r="G46"/>
  <c r="F46"/>
  <c r="AB45"/>
  <c r="AA45"/>
  <c r="Z45"/>
  <c r="AC45" s="1"/>
  <c r="Y45"/>
  <c r="U45"/>
  <c r="Q45"/>
  <c r="M45"/>
  <c r="I45"/>
  <c r="AB44"/>
  <c r="AA44"/>
  <c r="Z44"/>
  <c r="AC44" s="1"/>
  <c r="Y44"/>
  <c r="U44"/>
  <c r="Q44"/>
  <c r="M44"/>
  <c r="I44"/>
  <c r="AB43"/>
  <c r="AA43"/>
  <c r="Z43"/>
  <c r="Y43"/>
  <c r="U43"/>
  <c r="Q43"/>
  <c r="M43"/>
  <c r="I43"/>
  <c r="AA42"/>
  <c r="Z42"/>
  <c r="Y42"/>
  <c r="U42"/>
  <c r="Q42"/>
  <c r="M42"/>
  <c r="I42"/>
  <c r="H42"/>
  <c r="AB42" s="1"/>
  <c r="AC42" s="1"/>
  <c r="AB41"/>
  <c r="AA41"/>
  <c r="Z41"/>
  <c r="AC41" s="1"/>
  <c r="Y41"/>
  <c r="U41"/>
  <c r="Q41"/>
  <c r="M41"/>
  <c r="I41"/>
  <c r="AB40"/>
  <c r="AA40"/>
  <c r="Z40"/>
  <c r="Y40"/>
  <c r="U40"/>
  <c r="Q40"/>
  <c r="M40"/>
  <c r="I40"/>
  <c r="AA39"/>
  <c r="Z39"/>
  <c r="Y39"/>
  <c r="U39"/>
  <c r="Q39"/>
  <c r="M39"/>
  <c r="I39"/>
  <c r="AB39"/>
  <c r="AA38"/>
  <c r="Z38"/>
  <c r="Y38"/>
  <c r="AB38"/>
  <c r="Q38"/>
  <c r="M38"/>
  <c r="I38"/>
  <c r="AB37"/>
  <c r="AC37" s="1"/>
  <c r="AA37"/>
  <c r="Z37"/>
  <c r="Y37"/>
  <c r="U37"/>
  <c r="Q37"/>
  <c r="M37"/>
  <c r="I37"/>
  <c r="AA36"/>
  <c r="Z36"/>
  <c r="Y36"/>
  <c r="Q36"/>
  <c r="M36"/>
  <c r="I36"/>
  <c r="AA35"/>
  <c r="Z35"/>
  <c r="Y35"/>
  <c r="U35"/>
  <c r="Q35"/>
  <c r="M35"/>
  <c r="H35"/>
  <c r="I35" s="1"/>
  <c r="AB34"/>
  <c r="AA34"/>
  <c r="Z34"/>
  <c r="AC34" s="1"/>
  <c r="Y34"/>
  <c r="Y46" s="1"/>
  <c r="U34"/>
  <c r="Q34"/>
  <c r="Q46" s="1"/>
  <c r="M34"/>
  <c r="M46" s="1"/>
  <c r="I34"/>
  <c r="X33"/>
  <c r="W33"/>
  <c r="V33"/>
  <c r="R33"/>
  <c r="P33"/>
  <c r="O33"/>
  <c r="N33"/>
  <c r="L33"/>
  <c r="K33"/>
  <c r="J33"/>
  <c r="G33"/>
  <c r="F33"/>
  <c r="AB32"/>
  <c r="AA32"/>
  <c r="Z32"/>
  <c r="AC32" s="1"/>
  <c r="Y32"/>
  <c r="U32"/>
  <c r="Q32"/>
  <c r="M32"/>
  <c r="I32"/>
  <c r="AB31"/>
  <c r="AA31"/>
  <c r="Z31"/>
  <c r="Y31"/>
  <c r="U31"/>
  <c r="Q31"/>
  <c r="M31"/>
  <c r="I31"/>
  <c r="AA30"/>
  <c r="Z30"/>
  <c r="Y30"/>
  <c r="U30"/>
  <c r="Q30"/>
  <c r="M30"/>
  <c r="I30"/>
  <c r="H30"/>
  <c r="H33" s="1"/>
  <c r="AB29"/>
  <c r="AA29"/>
  <c r="Z29"/>
  <c r="AC29" s="1"/>
  <c r="Y29"/>
  <c r="Y33" s="1"/>
  <c r="U29"/>
  <c r="Q29"/>
  <c r="Q33" s="1"/>
  <c r="M29"/>
  <c r="M33" s="1"/>
  <c r="I29"/>
  <c r="I33" s="1"/>
  <c r="X28"/>
  <c r="W28"/>
  <c r="V28"/>
  <c r="R28"/>
  <c r="P28"/>
  <c r="O28"/>
  <c r="N28"/>
  <c r="L28"/>
  <c r="K28"/>
  <c r="J28"/>
  <c r="H28"/>
  <c r="G28"/>
  <c r="F28"/>
  <c r="AB27"/>
  <c r="AA27"/>
  <c r="Z27"/>
  <c r="Y27"/>
  <c r="U27"/>
  <c r="Q27"/>
  <c r="Q28" s="1"/>
  <c r="M27"/>
  <c r="I27"/>
  <c r="AB26"/>
  <c r="AA26"/>
  <c r="AC26" s="1"/>
  <c r="Z26"/>
  <c r="Z28" s="1"/>
  <c r="Y26"/>
  <c r="Y28" s="1"/>
  <c r="U26"/>
  <c r="Q26"/>
  <c r="M26"/>
  <c r="M28" s="1"/>
  <c r="I26"/>
  <c r="I28" s="1"/>
  <c r="X25"/>
  <c r="W25"/>
  <c r="V25"/>
  <c r="R25"/>
  <c r="P25"/>
  <c r="O25"/>
  <c r="N25"/>
  <c r="L25"/>
  <c r="K25"/>
  <c r="J25"/>
  <c r="G25"/>
  <c r="F25"/>
  <c r="AB24"/>
  <c r="AA24"/>
  <c r="Z24"/>
  <c r="Y24"/>
  <c r="U24"/>
  <c r="Q24"/>
  <c r="M24"/>
  <c r="I24"/>
  <c r="AB23"/>
  <c r="AA23"/>
  <c r="Z23"/>
  <c r="Y23"/>
  <c r="U23"/>
  <c r="Q23"/>
  <c r="M23"/>
  <c r="I23"/>
  <c r="AA22"/>
  <c r="Z22"/>
  <c r="Y22"/>
  <c r="U22"/>
  <c r="Q22"/>
  <c r="M22"/>
  <c r="I22"/>
  <c r="AA21"/>
  <c r="Z21"/>
  <c r="Y21"/>
  <c r="Q21"/>
  <c r="M21"/>
  <c r="I21"/>
  <c r="AB20"/>
  <c r="AA20"/>
  <c r="Z20"/>
  <c r="Z25" s="1"/>
  <c r="Y20"/>
  <c r="Y25" s="1"/>
  <c r="U20"/>
  <c r="Q20"/>
  <c r="Q25" s="1"/>
  <c r="M20"/>
  <c r="M25" s="1"/>
  <c r="I20"/>
  <c r="X19"/>
  <c r="W19"/>
  <c r="V19"/>
  <c r="R19"/>
  <c r="P19"/>
  <c r="O19"/>
  <c r="N19"/>
  <c r="L19"/>
  <c r="K19"/>
  <c r="J19"/>
  <c r="G19"/>
  <c r="F19"/>
  <c r="AA18"/>
  <c r="Z18"/>
  <c r="Y18"/>
  <c r="Y19" s="1"/>
  <c r="U18"/>
  <c r="Q18"/>
  <c r="M18"/>
  <c r="I18"/>
  <c r="I19" s="1"/>
  <c r="H18"/>
  <c r="H19" s="1"/>
  <c r="AB17"/>
  <c r="AA17"/>
  <c r="Z17"/>
  <c r="Z19" s="1"/>
  <c r="Y17"/>
  <c r="U17"/>
  <c r="Q17"/>
  <c r="Q19" s="1"/>
  <c r="M17"/>
  <c r="M19" s="1"/>
  <c r="I17"/>
  <c r="X16"/>
  <c r="W16"/>
  <c r="V16"/>
  <c r="V227" s="1"/>
  <c r="V229" s="1"/>
  <c r="R16"/>
  <c r="R227" s="1"/>
  <c r="R229" s="1"/>
  <c r="P16"/>
  <c r="P227" s="1"/>
  <c r="P229" s="1"/>
  <c r="O16"/>
  <c r="O227" s="1"/>
  <c r="O229" s="1"/>
  <c r="N16"/>
  <c r="N227" s="1"/>
  <c r="N229" s="1"/>
  <c r="L16"/>
  <c r="L227" s="1"/>
  <c r="L229" s="1"/>
  <c r="K16"/>
  <c r="J16"/>
  <c r="J227" s="1"/>
  <c r="J229" s="1"/>
  <c r="G16"/>
  <c r="F16"/>
  <c r="F227" s="1"/>
  <c r="F229" s="1"/>
  <c r="AA15"/>
  <c r="Z15"/>
  <c r="Y15"/>
  <c r="U15"/>
  <c r="Q15"/>
  <c r="M15"/>
  <c r="I15"/>
  <c r="AA14"/>
  <c r="Z14"/>
  <c r="Y14"/>
  <c r="U14"/>
  <c r="Q14"/>
  <c r="M14"/>
  <c r="I14"/>
  <c r="AB14"/>
  <c r="AB13"/>
  <c r="AA13"/>
  <c r="Z13"/>
  <c r="Y13"/>
  <c r="U13"/>
  <c r="Q13"/>
  <c r="M13"/>
  <c r="I13"/>
  <c r="AA12"/>
  <c r="Z12"/>
  <c r="Y12"/>
  <c r="AB12"/>
  <c r="Q12"/>
  <c r="M12"/>
  <c r="I12"/>
  <c r="AB11"/>
  <c r="AA11"/>
  <c r="Z11"/>
  <c r="Y11"/>
  <c r="U11"/>
  <c r="Q11"/>
  <c r="M11"/>
  <c r="I11"/>
  <c r="AA10"/>
  <c r="Z10"/>
  <c r="Y10"/>
  <c r="U10"/>
  <c r="AB10"/>
  <c r="AC10" s="1"/>
  <c r="Q10"/>
  <c r="M10"/>
  <c r="I10"/>
  <c r="AB9"/>
  <c r="AA9"/>
  <c r="Z9"/>
  <c r="Y9"/>
  <c r="U9"/>
  <c r="Q9"/>
  <c r="M9"/>
  <c r="I9"/>
  <c r="AB8"/>
  <c r="AA8"/>
  <c r="Z8"/>
  <c r="Y8"/>
  <c r="U8"/>
  <c r="Q8"/>
  <c r="M8"/>
  <c r="I8"/>
  <c r="AA7"/>
  <c r="Z7"/>
  <c r="Y7"/>
  <c r="AB7"/>
  <c r="Q7"/>
  <c r="M7"/>
  <c r="I7"/>
  <c r="AB6"/>
  <c r="AA6"/>
  <c r="Z6"/>
  <c r="Y6"/>
  <c r="U6"/>
  <c r="Q6"/>
  <c r="M6"/>
  <c r="I6"/>
  <c r="AA5"/>
  <c r="Z5"/>
  <c r="Z16" s="1"/>
  <c r="Y5"/>
  <c r="Y16" s="1"/>
  <c r="U5"/>
  <c r="Q5"/>
  <c r="Q16" s="1"/>
  <c r="M5"/>
  <c r="M16" s="1"/>
  <c r="AB5"/>
  <c r="F224" i="15"/>
  <c r="AK223"/>
  <c r="AJ223"/>
  <c r="AI223"/>
  <c r="AJ222"/>
  <c r="AI222"/>
  <c r="W222"/>
  <c r="Y222" s="1"/>
  <c r="AJ221"/>
  <c r="AI221"/>
  <c r="J221"/>
  <c r="AK220"/>
  <c r="AJ220"/>
  <c r="AI220"/>
  <c r="AJ219"/>
  <c r="AI219"/>
  <c r="AF219"/>
  <c r="AK218"/>
  <c r="AJ218"/>
  <c r="AI218"/>
  <c r="AJ217"/>
  <c r="AI217"/>
  <c r="J217"/>
  <c r="AJ216"/>
  <c r="AI216"/>
  <c r="J216"/>
  <c r="AK215"/>
  <c r="AJ215"/>
  <c r="AI215"/>
  <c r="AJ214"/>
  <c r="AI214"/>
  <c r="J214"/>
  <c r="AK213"/>
  <c r="AJ213"/>
  <c r="AI213"/>
  <c r="AK212"/>
  <c r="AJ212"/>
  <c r="AI212"/>
  <c r="AJ211"/>
  <c r="AI211"/>
  <c r="J211"/>
  <c r="AK210"/>
  <c r="AJ210"/>
  <c r="AI210"/>
  <c r="F209"/>
  <c r="AK208"/>
  <c r="AK209" s="1"/>
  <c r="AJ208"/>
  <c r="AJ209" s="1"/>
  <c r="AI208"/>
  <c r="F207"/>
  <c r="AK206"/>
  <c r="AJ206"/>
  <c r="AI206"/>
  <c r="AK205"/>
  <c r="AJ205"/>
  <c r="AI205"/>
  <c r="AK204"/>
  <c r="AJ204"/>
  <c r="AI204"/>
  <c r="AJ203"/>
  <c r="AI203"/>
  <c r="J203"/>
  <c r="AK202"/>
  <c r="AJ202"/>
  <c r="AI202"/>
  <c r="AK201"/>
  <c r="AJ201"/>
  <c r="AI201"/>
  <c r="AK200"/>
  <c r="AJ200"/>
  <c r="AI200"/>
  <c r="AK199"/>
  <c r="AJ199"/>
  <c r="AI199"/>
  <c r="AM199" s="1"/>
  <c r="AK198"/>
  <c r="AJ198"/>
  <c r="AI198"/>
  <c r="AK197"/>
  <c r="AJ197"/>
  <c r="AI197"/>
  <c r="AK196"/>
  <c r="AJ196"/>
  <c r="AI196"/>
  <c r="AK195"/>
  <c r="AJ195"/>
  <c r="AI195"/>
  <c r="AM195" s="1"/>
  <c r="AJ194"/>
  <c r="AI194"/>
  <c r="J194"/>
  <c r="AK193"/>
  <c r="AJ193"/>
  <c r="AI193"/>
  <c r="AJ192"/>
  <c r="AI192"/>
  <c r="J192"/>
  <c r="AJ191"/>
  <c r="AI191"/>
  <c r="J191"/>
  <c r="AJ190"/>
  <c r="AI190"/>
  <c r="J190"/>
  <c r="AJ189"/>
  <c r="AI189"/>
  <c r="AA189"/>
  <c r="J189"/>
  <c r="AK188"/>
  <c r="AJ188"/>
  <c r="AI188"/>
  <c r="AJ187"/>
  <c r="AI187"/>
  <c r="J187"/>
  <c r="AK186"/>
  <c r="AJ186"/>
  <c r="AI186"/>
  <c r="AM186" s="1"/>
  <c r="AJ185"/>
  <c r="AI185"/>
  <c r="J185"/>
  <c r="AK184"/>
  <c r="AJ184"/>
  <c r="AI184"/>
  <c r="AI183"/>
  <c r="AE183"/>
  <c r="AH183" s="1"/>
  <c r="J183"/>
  <c r="AJ182"/>
  <c r="AI182"/>
  <c r="J182"/>
  <c r="AK181"/>
  <c r="AJ181"/>
  <c r="AI181"/>
  <c r="AK180"/>
  <c r="AJ180"/>
  <c r="AI180"/>
  <c r="AJ179"/>
  <c r="AI179"/>
  <c r="J179"/>
  <c r="AJ178"/>
  <c r="AI178"/>
  <c r="AA178"/>
  <c r="J178"/>
  <c r="AK177"/>
  <c r="AJ177"/>
  <c r="AI177"/>
  <c r="AM177" s="1"/>
  <c r="AK176"/>
  <c r="AJ176"/>
  <c r="AI176"/>
  <c r="AK175"/>
  <c r="AJ175"/>
  <c r="AI175"/>
  <c r="AA175"/>
  <c r="AJ174"/>
  <c r="AI174"/>
  <c r="AA174"/>
  <c r="J174"/>
  <c r="AK173"/>
  <c r="AJ173"/>
  <c r="AI173"/>
  <c r="AJ172"/>
  <c r="AI172"/>
  <c r="AF172"/>
  <c r="J172"/>
  <c r="AK171"/>
  <c r="AJ171"/>
  <c r="AI171"/>
  <c r="F170"/>
  <c r="AK169"/>
  <c r="AJ169"/>
  <c r="AI169"/>
  <c r="AK168"/>
  <c r="AJ168"/>
  <c r="AI168"/>
  <c r="AM168" s="1"/>
  <c r="AK167"/>
  <c r="AJ167"/>
  <c r="AI167"/>
  <c r="AK166"/>
  <c r="AJ166"/>
  <c r="AI166"/>
  <c r="AK165"/>
  <c r="AJ165"/>
  <c r="AI165"/>
  <c r="F164"/>
  <c r="AK163"/>
  <c r="AJ163"/>
  <c r="AI163"/>
  <c r="AJ162"/>
  <c r="AI162"/>
  <c r="W162"/>
  <c r="Y162" s="1"/>
  <c r="AK161"/>
  <c r="AJ161"/>
  <c r="AI161"/>
  <c r="AK160"/>
  <c r="AJ160"/>
  <c r="AI160"/>
  <c r="AK159"/>
  <c r="AJ159"/>
  <c r="AI159"/>
  <c r="AJ158"/>
  <c r="AI158"/>
  <c r="AK157"/>
  <c r="AJ157"/>
  <c r="AI157"/>
  <c r="AK156"/>
  <c r="AJ156"/>
  <c r="AI156"/>
  <c r="AJ155"/>
  <c r="AI155"/>
  <c r="J155"/>
  <c r="F154"/>
  <c r="AK153"/>
  <c r="AJ153"/>
  <c r="AI153"/>
  <c r="AM153" s="1"/>
  <c r="AJ152"/>
  <c r="AI152"/>
  <c r="J152"/>
  <c r="AK151"/>
  <c r="AJ151"/>
  <c r="AI151"/>
  <c r="AK150"/>
  <c r="AI150"/>
  <c r="AK149"/>
  <c r="AJ149"/>
  <c r="AI149"/>
  <c r="AJ148"/>
  <c r="AI148"/>
  <c r="J148"/>
  <c r="F147"/>
  <c r="AK146"/>
  <c r="AK147" s="1"/>
  <c r="AJ146"/>
  <c r="AJ147" s="1"/>
  <c r="AI146"/>
  <c r="F145"/>
  <c r="AJ144"/>
  <c r="AI144"/>
  <c r="Z144"/>
  <c r="J144"/>
  <c r="AK143"/>
  <c r="AJ143"/>
  <c r="AI143"/>
  <c r="AJ141"/>
  <c r="AI141"/>
  <c r="N141"/>
  <c r="J141"/>
  <c r="AK140"/>
  <c r="AJ140"/>
  <c r="AI140"/>
  <c r="AK139"/>
  <c r="AJ139"/>
  <c r="AI139"/>
  <c r="AM139" s="1"/>
  <c r="AK138"/>
  <c r="AJ138"/>
  <c r="AI138"/>
  <c r="AJ137"/>
  <c r="AI137"/>
  <c r="J137"/>
  <c r="AJ136"/>
  <c r="AI136"/>
  <c r="J136"/>
  <c r="AK135"/>
  <c r="AJ135"/>
  <c r="AI135"/>
  <c r="AM135" s="1"/>
  <c r="AK134"/>
  <c r="AJ134"/>
  <c r="AI134"/>
  <c r="AK132"/>
  <c r="AJ132"/>
  <c r="AI132"/>
  <c r="AJ131"/>
  <c r="AI131"/>
  <c r="J131"/>
  <c r="AK130"/>
  <c r="AJ130"/>
  <c r="AI130"/>
  <c r="AM130" s="1"/>
  <c r="AK129"/>
  <c r="AJ129"/>
  <c r="AI129"/>
  <c r="AK128"/>
  <c r="AJ128"/>
  <c r="AI128"/>
  <c r="AK127"/>
  <c r="AJ127"/>
  <c r="AI127"/>
  <c r="AK126"/>
  <c r="AI126"/>
  <c r="AE126"/>
  <c r="AH126" s="1"/>
  <c r="F125"/>
  <c r="AK124"/>
  <c r="AK125" s="1"/>
  <c r="AJ124"/>
  <c r="AJ125" s="1"/>
  <c r="AI124"/>
  <c r="F123"/>
  <c r="AJ122"/>
  <c r="AI122"/>
  <c r="J122"/>
  <c r="AK121"/>
  <c r="AJ121"/>
  <c r="AI121"/>
  <c r="F120"/>
  <c r="AK119"/>
  <c r="AJ119"/>
  <c r="AI119"/>
  <c r="AJ118"/>
  <c r="AI118"/>
  <c r="W118"/>
  <c r="Y118" s="1"/>
  <c r="AK117"/>
  <c r="AJ117"/>
  <c r="AI117"/>
  <c r="AK116"/>
  <c r="AJ116"/>
  <c r="AI116"/>
  <c r="AM116" s="1"/>
  <c r="F115"/>
  <c r="AK114"/>
  <c r="AJ114"/>
  <c r="AI114"/>
  <c r="AM114" s="1"/>
  <c r="AK113"/>
  <c r="AJ113"/>
  <c r="AI113"/>
  <c r="AK112"/>
  <c r="AJ112"/>
  <c r="AI112"/>
  <c r="AK111"/>
  <c r="AJ111"/>
  <c r="AI111"/>
  <c r="AK110"/>
  <c r="AJ110"/>
  <c r="AI110"/>
  <c r="AM110" s="1"/>
  <c r="AJ109"/>
  <c r="AI109"/>
  <c r="J109"/>
  <c r="AK108"/>
  <c r="AJ108"/>
  <c r="AI108"/>
  <c r="AJ107"/>
  <c r="AI107"/>
  <c r="J107"/>
  <c r="AK106"/>
  <c r="AJ106"/>
  <c r="AI106"/>
  <c r="AJ105"/>
  <c r="AI105"/>
  <c r="AA105"/>
  <c r="J105"/>
  <c r="AK104"/>
  <c r="AJ104"/>
  <c r="AI104"/>
  <c r="AK103"/>
  <c r="AJ103"/>
  <c r="AI103"/>
  <c r="AJ102"/>
  <c r="AI102"/>
  <c r="J102"/>
  <c r="AJ101"/>
  <c r="AI101"/>
  <c r="AF101"/>
  <c r="AA101"/>
  <c r="J101"/>
  <c r="AK100"/>
  <c r="AJ100"/>
  <c r="AI100"/>
  <c r="AM100" s="1"/>
  <c r="AJ99"/>
  <c r="AI99"/>
  <c r="J99"/>
  <c r="AJ98"/>
  <c r="AI98"/>
  <c r="J98"/>
  <c r="AK97"/>
  <c r="AJ97"/>
  <c r="AI97"/>
  <c r="AK96"/>
  <c r="AJ96"/>
  <c r="AI96"/>
  <c r="AJ95"/>
  <c r="AI95"/>
  <c r="J95"/>
  <c r="AK94"/>
  <c r="AJ94"/>
  <c r="AI94"/>
  <c r="AK93"/>
  <c r="AJ93"/>
  <c r="AI93"/>
  <c r="AJ92"/>
  <c r="AI92"/>
  <c r="J92"/>
  <c r="AJ91"/>
  <c r="AI91"/>
  <c r="J91"/>
  <c r="AJ90"/>
  <c r="AI90"/>
  <c r="J90"/>
  <c r="AK89"/>
  <c r="AJ89"/>
  <c r="AI89"/>
  <c r="AK88"/>
  <c r="AJ88"/>
  <c r="AI88"/>
  <c r="AM88" s="1"/>
  <c r="AJ87"/>
  <c r="AI87"/>
  <c r="J87"/>
  <c r="AK86"/>
  <c r="AJ86"/>
  <c r="AI86"/>
  <c r="AJ85"/>
  <c r="AI85"/>
  <c r="W85"/>
  <c r="Y85" s="1"/>
  <c r="AI84"/>
  <c r="AE84"/>
  <c r="AH84" s="1"/>
  <c r="W84"/>
  <c r="Y84" s="1"/>
  <c r="J84"/>
  <c r="F83"/>
  <c r="AJ82"/>
  <c r="AJ83" s="1"/>
  <c r="AI82"/>
  <c r="F81"/>
  <c r="AK80"/>
  <c r="AJ80"/>
  <c r="AI80"/>
  <c r="AK79"/>
  <c r="AJ79"/>
  <c r="AI79"/>
  <c r="AK78"/>
  <c r="AJ78"/>
  <c r="AI78"/>
  <c r="AK77"/>
  <c r="AJ77"/>
  <c r="AI77"/>
  <c r="AK76"/>
  <c r="AJ76"/>
  <c r="AI76"/>
  <c r="AJ75"/>
  <c r="AI75"/>
  <c r="J75"/>
  <c r="AJ74"/>
  <c r="AI74"/>
  <c r="AJ73"/>
  <c r="AI73"/>
  <c r="J73"/>
  <c r="AK72"/>
  <c r="AJ72"/>
  <c r="AI72"/>
  <c r="F71"/>
  <c r="AK70"/>
  <c r="AK71" s="1"/>
  <c r="AJ70"/>
  <c r="AJ71" s="1"/>
  <c r="AI70"/>
  <c r="F69"/>
  <c r="AK68"/>
  <c r="AJ68"/>
  <c r="AI68"/>
  <c r="AK67"/>
  <c r="AJ67"/>
  <c r="AI67"/>
  <c r="AJ66"/>
  <c r="AI66"/>
  <c r="J66"/>
  <c r="AK65"/>
  <c r="AJ65"/>
  <c r="AI65"/>
  <c r="AM65" s="1"/>
  <c r="AK63"/>
  <c r="AJ63"/>
  <c r="AI63"/>
  <c r="AK62"/>
  <c r="AJ62"/>
  <c r="AI62"/>
  <c r="AK61"/>
  <c r="AJ61"/>
  <c r="AI61"/>
  <c r="AJ60"/>
  <c r="AI60"/>
  <c r="J60"/>
  <c r="AJ59"/>
  <c r="AI59"/>
  <c r="AK58"/>
  <c r="AJ58"/>
  <c r="AI58"/>
  <c r="AK57"/>
  <c r="AJ57"/>
  <c r="AI57"/>
  <c r="AJ56"/>
  <c r="AI56"/>
  <c r="W56"/>
  <c r="Y56" s="1"/>
  <c r="AJ54"/>
  <c r="AI54"/>
  <c r="AA54"/>
  <c r="J54"/>
  <c r="AJ53"/>
  <c r="AI53"/>
  <c r="J53"/>
  <c r="AJ52"/>
  <c r="AI52"/>
  <c r="J52"/>
  <c r="AJ51"/>
  <c r="AI51"/>
  <c r="J51"/>
  <c r="AK50"/>
  <c r="AJ50"/>
  <c r="AI50"/>
  <c r="AK49"/>
  <c r="AJ49"/>
  <c r="AI49"/>
  <c r="AJ48"/>
  <c r="AI48"/>
  <c r="J48"/>
  <c r="AI47"/>
  <c r="W47"/>
  <c r="Y47" s="1"/>
  <c r="AJ47"/>
  <c r="F46"/>
  <c r="AK45"/>
  <c r="AJ45"/>
  <c r="AI45"/>
  <c r="AK44"/>
  <c r="AJ44"/>
  <c r="AI44"/>
  <c r="AK43"/>
  <c r="AJ43"/>
  <c r="AI43"/>
  <c r="AJ42"/>
  <c r="AI42"/>
  <c r="J42"/>
  <c r="AK41"/>
  <c r="AJ41"/>
  <c r="AI41"/>
  <c r="AK40"/>
  <c r="AJ40"/>
  <c r="AI40"/>
  <c r="AJ39"/>
  <c r="AI39"/>
  <c r="J39"/>
  <c r="AJ38"/>
  <c r="AI38"/>
  <c r="W38"/>
  <c r="Y38" s="1"/>
  <c r="AK37"/>
  <c r="AJ37"/>
  <c r="AI37"/>
  <c r="AJ36"/>
  <c r="AI36"/>
  <c r="W36"/>
  <c r="Y36" s="1"/>
  <c r="AJ35"/>
  <c r="AI35"/>
  <c r="J35"/>
  <c r="AK34"/>
  <c r="AJ34"/>
  <c r="AI34"/>
  <c r="F33"/>
  <c r="AK32"/>
  <c r="AJ32"/>
  <c r="AI32"/>
  <c r="AK31"/>
  <c r="AJ31"/>
  <c r="AI31"/>
  <c r="AJ30"/>
  <c r="AI30"/>
  <c r="J30"/>
  <c r="AK29"/>
  <c r="AJ29"/>
  <c r="AI29"/>
  <c r="F28"/>
  <c r="AK27"/>
  <c r="AJ27"/>
  <c r="AI27"/>
  <c r="AK26"/>
  <c r="AJ26"/>
  <c r="AI26"/>
  <c r="AK24"/>
  <c r="AJ24"/>
  <c r="AI24"/>
  <c r="AK23"/>
  <c r="AJ23"/>
  <c r="AI23"/>
  <c r="AM23" s="1"/>
  <c r="AJ22"/>
  <c r="AI22"/>
  <c r="J22"/>
  <c r="AJ21"/>
  <c r="AI21"/>
  <c r="AA21"/>
  <c r="W21"/>
  <c r="Y21" s="1"/>
  <c r="AK20"/>
  <c r="AJ20"/>
  <c r="AI20"/>
  <c r="F19"/>
  <c r="AJ18"/>
  <c r="AI18"/>
  <c r="J18"/>
  <c r="AK17"/>
  <c r="AJ17"/>
  <c r="AI17"/>
  <c r="AJ15"/>
  <c r="AI15"/>
  <c r="J15"/>
  <c r="AJ14"/>
  <c r="AI14"/>
  <c r="W14"/>
  <c r="Y14" s="1"/>
  <c r="J14"/>
  <c r="AK13"/>
  <c r="AJ13"/>
  <c r="AI13"/>
  <c r="AJ12"/>
  <c r="AI12"/>
  <c r="W12"/>
  <c r="Y12" s="1"/>
  <c r="AK11"/>
  <c r="AJ11"/>
  <c r="AI11"/>
  <c r="AJ10"/>
  <c r="AI10"/>
  <c r="W10"/>
  <c r="Y10" s="1"/>
  <c r="AK9"/>
  <c r="AJ9"/>
  <c r="AI9"/>
  <c r="AJ8"/>
  <c r="AI8"/>
  <c r="AA8"/>
  <c r="W8"/>
  <c r="Y8" s="1"/>
  <c r="J8"/>
  <c r="AJ7"/>
  <c r="AI7"/>
  <c r="AA7"/>
  <c r="W7"/>
  <c r="Y7" s="1"/>
  <c r="AK6"/>
  <c r="AJ6"/>
  <c r="AI6"/>
  <c r="AA6"/>
  <c r="AJ5"/>
  <c r="AI5"/>
  <c r="W5"/>
  <c r="Y5" s="1"/>
  <c r="AC109" i="12" l="1"/>
  <c r="AC140"/>
  <c r="AC158"/>
  <c r="AC13"/>
  <c r="AA33"/>
  <c r="AC50"/>
  <c r="AC85"/>
  <c r="AC112"/>
  <c r="AC113"/>
  <c r="U155"/>
  <c r="AC186"/>
  <c r="AC211"/>
  <c r="AC213"/>
  <c r="AC214"/>
  <c r="AC139"/>
  <c r="AC99"/>
  <c r="AC111"/>
  <c r="AC115"/>
  <c r="AC197"/>
  <c r="AC199"/>
  <c r="U225"/>
  <c r="AC61"/>
  <c r="AC62"/>
  <c r="U69"/>
  <c r="AA81"/>
  <c r="AC74"/>
  <c r="AC77"/>
  <c r="AC80"/>
  <c r="AC86"/>
  <c r="AC93"/>
  <c r="AC94"/>
  <c r="AC103"/>
  <c r="AC104"/>
  <c r="AC108"/>
  <c r="AC122"/>
  <c r="AC128"/>
  <c r="AC162"/>
  <c r="AC166"/>
  <c r="AC171" s="1"/>
  <c r="U171"/>
  <c r="AC170"/>
  <c r="AC174"/>
  <c r="AC177"/>
  <c r="AC178"/>
  <c r="AC181"/>
  <c r="AC185"/>
  <c r="AC187"/>
  <c r="AC194"/>
  <c r="AC205"/>
  <c r="AC206"/>
  <c r="AC88"/>
  <c r="AC89"/>
  <c r="AC96"/>
  <c r="AC97"/>
  <c r="AC106"/>
  <c r="AC179"/>
  <c r="AC65"/>
  <c r="AC79"/>
  <c r="AC144"/>
  <c r="AC167"/>
  <c r="AC168"/>
  <c r="AC169"/>
  <c r="AC207"/>
  <c r="AC212"/>
  <c r="AC215"/>
  <c r="AC219"/>
  <c r="AA16"/>
  <c r="AC6"/>
  <c r="AA19"/>
  <c r="AA25"/>
  <c r="AC23"/>
  <c r="AC24"/>
  <c r="U33"/>
  <c r="AC53"/>
  <c r="AA64"/>
  <c r="AC68"/>
  <c r="AC118"/>
  <c r="AA143"/>
  <c r="AC130"/>
  <c r="AC133"/>
  <c r="AC136"/>
  <c r="AA165"/>
  <c r="AC164"/>
  <c r="AC198"/>
  <c r="AC8"/>
  <c r="AC9"/>
  <c r="AC11"/>
  <c r="M227"/>
  <c r="AA225"/>
  <c r="K227"/>
  <c r="K229" s="1"/>
  <c r="AC220"/>
  <c r="AM40" i="15"/>
  <c r="AM44"/>
  <c r="AM50"/>
  <c r="AM215"/>
  <c r="AM223"/>
  <c r="AM96"/>
  <c r="AA155" i="12"/>
  <c r="I155"/>
  <c r="AC63"/>
  <c r="AC190"/>
  <c r="AC192"/>
  <c r="AC195"/>
  <c r="AB225"/>
  <c r="AC222"/>
  <c r="U19"/>
  <c r="U28"/>
  <c r="AB28"/>
  <c r="AC27"/>
  <c r="AC28" s="1"/>
  <c r="AC31"/>
  <c r="AC40"/>
  <c r="AC43"/>
  <c r="U55"/>
  <c r="AC49"/>
  <c r="AC54"/>
  <c r="AC57"/>
  <c r="AC60"/>
  <c r="AC70"/>
  <c r="AC71" s="1"/>
  <c r="U81"/>
  <c r="AC78"/>
  <c r="AC84"/>
  <c r="AC87"/>
  <c r="AC90"/>
  <c r="AC102"/>
  <c r="AC105"/>
  <c r="AC117"/>
  <c r="U121"/>
  <c r="U143"/>
  <c r="AC147"/>
  <c r="AC148" s="1"/>
  <c r="AB171"/>
  <c r="U208"/>
  <c r="AC175"/>
  <c r="AC204"/>
  <c r="AC217"/>
  <c r="AC218"/>
  <c r="AC223"/>
  <c r="AC131"/>
  <c r="AC134"/>
  <c r="AC138"/>
  <c r="AC141"/>
  <c r="AC67"/>
  <c r="I25"/>
  <c r="AC14"/>
  <c r="Q155"/>
  <c r="Q227" s="1"/>
  <c r="I46"/>
  <c r="AA46"/>
  <c r="G227"/>
  <c r="G229" s="1"/>
  <c r="AC39"/>
  <c r="AM106" i="15"/>
  <c r="AM119"/>
  <c r="AM121"/>
  <c r="AM129"/>
  <c r="AM198"/>
  <c r="AM202"/>
  <c r="AM206"/>
  <c r="AM208"/>
  <c r="AM210"/>
  <c r="AM11"/>
  <c r="AM24"/>
  <c r="AM31"/>
  <c r="AM37"/>
  <c r="AM41"/>
  <c r="AM45"/>
  <c r="AM57"/>
  <c r="AM61"/>
  <c r="AM77"/>
  <c r="AM89"/>
  <c r="AM93"/>
  <c r="AM97"/>
  <c r="AM103"/>
  <c r="AM108"/>
  <c r="AM111"/>
  <c r="AM117"/>
  <c r="AM127"/>
  <c r="AM140"/>
  <c r="AM156"/>
  <c r="AM159"/>
  <c r="AM163"/>
  <c r="AM165"/>
  <c r="AM169"/>
  <c r="AM171"/>
  <c r="AM196"/>
  <c r="AM200"/>
  <c r="AM204"/>
  <c r="AM212"/>
  <c r="AM220"/>
  <c r="AI83"/>
  <c r="AI125"/>
  <c r="AI147"/>
  <c r="AM146"/>
  <c r="AM147" s="1"/>
  <c r="AM26"/>
  <c r="AM32"/>
  <c r="AM34"/>
  <c r="AM58"/>
  <c r="AM78"/>
  <c r="AM86"/>
  <c r="AM94"/>
  <c r="AM104"/>
  <c r="AM128"/>
  <c r="AM132"/>
  <c r="AM143"/>
  <c r="AM151"/>
  <c r="AM157"/>
  <c r="AM160"/>
  <c r="AM166"/>
  <c r="AM173"/>
  <c r="AM180"/>
  <c r="AM184"/>
  <c r="AM188"/>
  <c r="AM193"/>
  <c r="AM197"/>
  <c r="AM201"/>
  <c r="AM205"/>
  <c r="AM213"/>
  <c r="AI71"/>
  <c r="AM70"/>
  <c r="AM71" s="1"/>
  <c r="AM9"/>
  <c r="AM13"/>
  <c r="AM27"/>
  <c r="AM29"/>
  <c r="AM43"/>
  <c r="AM49"/>
  <c r="AM63"/>
  <c r="AM68"/>
  <c r="AM72"/>
  <c r="AM79"/>
  <c r="AM134"/>
  <c r="AM149"/>
  <c r="AM161"/>
  <c r="AM167"/>
  <c r="AM176"/>
  <c r="AM181"/>
  <c r="AM218"/>
  <c r="J5"/>
  <c r="J16" s="1"/>
  <c r="J59"/>
  <c r="J64" s="1"/>
  <c r="N142"/>
  <c r="N226" s="1"/>
  <c r="N228" s="1"/>
  <c r="O141"/>
  <c r="AF207"/>
  <c r="AH172"/>
  <c r="AF224"/>
  <c r="AH219"/>
  <c r="AF115"/>
  <c r="AH101"/>
  <c r="J19"/>
  <c r="J25"/>
  <c r="J46"/>
  <c r="AK109"/>
  <c r="AK182"/>
  <c r="J33"/>
  <c r="J69"/>
  <c r="AK75"/>
  <c r="J81"/>
  <c r="AK91"/>
  <c r="J123"/>
  <c r="AK178"/>
  <c r="AK192"/>
  <c r="AM192" s="1"/>
  <c r="AK221"/>
  <c r="J224"/>
  <c r="J154"/>
  <c r="J164"/>
  <c r="J142"/>
  <c r="AK53"/>
  <c r="AM53" s="1"/>
  <c r="J55"/>
  <c r="J145"/>
  <c r="AK190"/>
  <c r="AM190" s="1"/>
  <c r="AI145"/>
  <c r="O19"/>
  <c r="O69"/>
  <c r="O154"/>
  <c r="O207"/>
  <c r="AH33"/>
  <c r="AH46"/>
  <c r="AH55"/>
  <c r="AH164"/>
  <c r="AJ55"/>
  <c r="AI19"/>
  <c r="AJ33"/>
  <c r="AI142"/>
  <c r="AJ145"/>
  <c r="AJ164"/>
  <c r="AK170"/>
  <c r="AJ224"/>
  <c r="AJ25"/>
  <c r="AI224"/>
  <c r="AJ170"/>
  <c r="AI16"/>
  <c r="AJ19"/>
  <c r="AI28"/>
  <c r="AI46"/>
  <c r="AH16"/>
  <c r="W46"/>
  <c r="Y46"/>
  <c r="W81"/>
  <c r="Y81"/>
  <c r="W120"/>
  <c r="Y120"/>
  <c r="AE142"/>
  <c r="AI164"/>
  <c r="W164"/>
  <c r="Y164"/>
  <c r="Z207"/>
  <c r="AA172"/>
  <c r="AA207" s="1"/>
  <c r="AI209"/>
  <c r="AM209"/>
  <c r="W224"/>
  <c r="Y224"/>
  <c r="AI33"/>
  <c r="AJ64"/>
  <c r="AJ69"/>
  <c r="AI115"/>
  <c r="AJ123"/>
  <c r="O33"/>
  <c r="O46"/>
  <c r="O55"/>
  <c r="O81"/>
  <c r="O224"/>
  <c r="AH170"/>
  <c r="W16"/>
  <c r="Y16"/>
  <c r="AI25"/>
  <c r="W25"/>
  <c r="Y25"/>
  <c r="AL66"/>
  <c r="Z69"/>
  <c r="AA66"/>
  <c r="AA69" s="1"/>
  <c r="AE115"/>
  <c r="Z115"/>
  <c r="AA91"/>
  <c r="AA115" s="1"/>
  <c r="V154"/>
  <c r="V226" s="1"/>
  <c r="V228" s="1"/>
  <c r="W154"/>
  <c r="AE207"/>
  <c r="AJ16"/>
  <c r="AK28"/>
  <c r="AK35"/>
  <c r="AM35" s="1"/>
  <c r="AI55"/>
  <c r="AI64"/>
  <c r="AI69"/>
  <c r="AJ81"/>
  <c r="AJ120"/>
  <c r="AI123"/>
  <c r="AI170"/>
  <c r="AI207"/>
  <c r="Z25"/>
  <c r="AA20"/>
  <c r="AA25" s="1"/>
  <c r="W55"/>
  <c r="Y55"/>
  <c r="Z55"/>
  <c r="AA48"/>
  <c r="AA55" s="1"/>
  <c r="W64"/>
  <c r="Y64"/>
  <c r="W115"/>
  <c r="Y115"/>
  <c r="T142"/>
  <c r="T226" s="1"/>
  <c r="S142"/>
  <c r="S226" s="1"/>
  <c r="S228" s="1"/>
  <c r="AJ28"/>
  <c r="AJ46"/>
  <c r="AI81"/>
  <c r="AI120"/>
  <c r="AI154"/>
  <c r="O28"/>
  <c r="O170"/>
  <c r="AH69"/>
  <c r="AH120"/>
  <c r="AH123"/>
  <c r="AA5"/>
  <c r="AA16" s="1"/>
  <c r="Z16"/>
  <c r="Z145"/>
  <c r="AA144"/>
  <c r="AA145" s="1"/>
  <c r="AL214"/>
  <c r="Z224"/>
  <c r="AA214"/>
  <c r="AA224" s="1"/>
  <c r="O25"/>
  <c r="O115"/>
  <c r="O120"/>
  <c r="O164"/>
  <c r="AH25"/>
  <c r="AH154"/>
  <c r="AL138"/>
  <c r="AM138" s="1"/>
  <c r="AL14"/>
  <c r="AL39"/>
  <c r="AL54"/>
  <c r="AL75"/>
  <c r="AL80"/>
  <c r="AM80" s="1"/>
  <c r="AL92"/>
  <c r="AL122"/>
  <c r="AL124"/>
  <c r="AM124" s="1"/>
  <c r="AL137"/>
  <c r="AL152"/>
  <c r="AL182"/>
  <c r="AL183"/>
  <c r="AH145"/>
  <c r="AL8"/>
  <c r="AL21"/>
  <c r="AL48"/>
  <c r="AL62"/>
  <c r="AM62" s="1"/>
  <c r="AL76"/>
  <c r="AM76" s="1"/>
  <c r="AL91"/>
  <c r="AL98"/>
  <c r="AL102"/>
  <c r="AL112"/>
  <c r="AM112" s="1"/>
  <c r="AL113"/>
  <c r="AM113" s="1"/>
  <c r="AL189"/>
  <c r="AL191"/>
  <c r="AL221"/>
  <c r="AH64"/>
  <c r="AL6"/>
  <c r="AM6" s="1"/>
  <c r="AL18"/>
  <c r="AL20"/>
  <c r="AM20" s="1"/>
  <c r="AL42"/>
  <c r="AL67"/>
  <c r="AM67" s="1"/>
  <c r="AL84"/>
  <c r="AL85"/>
  <c r="AL87"/>
  <c r="AL109"/>
  <c r="AL141"/>
  <c r="AL144"/>
  <c r="AL174"/>
  <c r="AL175"/>
  <c r="AM175" s="1"/>
  <c r="AL178"/>
  <c r="AL216"/>
  <c r="AL217"/>
  <c r="AL7"/>
  <c r="AL15"/>
  <c r="AL17"/>
  <c r="AM17" s="1"/>
  <c r="AL22"/>
  <c r="AL52"/>
  <c r="AL101"/>
  <c r="AL105"/>
  <c r="AL155"/>
  <c r="AL172"/>
  <c r="AL194"/>
  <c r="AL203"/>
  <c r="AK122"/>
  <c r="AK123" s="1"/>
  <c r="AK7"/>
  <c r="AM7" s="1"/>
  <c r="AK36"/>
  <c r="AM36" s="1"/>
  <c r="AK59"/>
  <c r="AM59" s="1"/>
  <c r="AK99"/>
  <c r="AM99" s="1"/>
  <c r="AK211"/>
  <c r="AM211" s="1"/>
  <c r="AK216"/>
  <c r="AM216" s="1"/>
  <c r="AK30"/>
  <c r="AM30" s="1"/>
  <c r="AK84"/>
  <c r="AK144"/>
  <c r="AK145" s="1"/>
  <c r="AK187"/>
  <c r="AM187" s="1"/>
  <c r="AK12"/>
  <c r="AM12" s="1"/>
  <c r="AK21"/>
  <c r="AK38"/>
  <c r="AM38" s="1"/>
  <c r="AK47"/>
  <c r="AM47" s="1"/>
  <c r="AJ84"/>
  <c r="AJ115" s="1"/>
  <c r="AK101"/>
  <c r="AM101" s="1"/>
  <c r="AK105"/>
  <c r="AM105" s="1"/>
  <c r="AK183"/>
  <c r="F226"/>
  <c r="F228" s="1"/>
  <c r="AK155"/>
  <c r="O123"/>
  <c r="AH28"/>
  <c r="AH224"/>
  <c r="G226"/>
  <c r="G228" s="1"/>
  <c r="O64"/>
  <c r="O83"/>
  <c r="O145"/>
  <c r="AH19"/>
  <c r="AH81"/>
  <c r="O16"/>
  <c r="AK52"/>
  <c r="AM52" s="1"/>
  <c r="AK85"/>
  <c r="AK90"/>
  <c r="AM90" s="1"/>
  <c r="AK131"/>
  <c r="AM131" s="1"/>
  <c r="AK22"/>
  <c r="AK10"/>
  <c r="AM10" s="1"/>
  <c r="AK73"/>
  <c r="AM73" s="1"/>
  <c r="AK92"/>
  <c r="AK152"/>
  <c r="AJ183"/>
  <c r="AJ207" s="1"/>
  <c r="AK194"/>
  <c r="AK5"/>
  <c r="AM5" s="1"/>
  <c r="AK141"/>
  <c r="AK185"/>
  <c r="AM185" s="1"/>
  <c r="AK8"/>
  <c r="AM8" s="1"/>
  <c r="AK39"/>
  <c r="AK137"/>
  <c r="AK82"/>
  <c r="AK83" s="1"/>
  <c r="AK98"/>
  <c r="AK162"/>
  <c r="AM162" s="1"/>
  <c r="AK203"/>
  <c r="AC38" i="12"/>
  <c r="AB81"/>
  <c r="AC119"/>
  <c r="AC137"/>
  <c r="AC151"/>
  <c r="AC161"/>
  <c r="AC163"/>
  <c r="AC180"/>
  <c r="Y116"/>
  <c r="I146"/>
  <c r="AC12"/>
  <c r="AC73"/>
  <c r="AC75"/>
  <c r="AC7"/>
  <c r="AC52"/>
  <c r="AB64"/>
  <c r="AC92"/>
  <c r="AC95"/>
  <c r="AC98"/>
  <c r="AC183"/>
  <c r="AC188"/>
  <c r="I225"/>
  <c r="AB15"/>
  <c r="AC15" s="1"/>
  <c r="H16"/>
  <c r="T227"/>
  <c r="T229" s="1"/>
  <c r="AB22"/>
  <c r="AC22" s="1"/>
  <c r="AB35"/>
  <c r="Z46"/>
  <c r="AA47"/>
  <c r="AA55" s="1"/>
  <c r="I48"/>
  <c r="I55" s="1"/>
  <c r="I51"/>
  <c r="I53"/>
  <c r="S227"/>
  <c r="S229" s="1"/>
  <c r="AC56"/>
  <c r="I59"/>
  <c r="H64"/>
  <c r="I66"/>
  <c r="I69" s="1"/>
  <c r="AC72"/>
  <c r="AB82"/>
  <c r="AB83" s="1"/>
  <c r="H83"/>
  <c r="I91"/>
  <c r="I99"/>
  <c r="Y101"/>
  <c r="AB107"/>
  <c r="AC107" s="1"/>
  <c r="AB110"/>
  <c r="AC110" s="1"/>
  <c r="W116"/>
  <c r="W227" s="1"/>
  <c r="W229" s="1"/>
  <c r="AA116"/>
  <c r="I137"/>
  <c r="AB149"/>
  <c r="AB155" s="1"/>
  <c r="H155"/>
  <c r="U163"/>
  <c r="AC172"/>
  <c r="Y184"/>
  <c r="Y208" s="1"/>
  <c r="I204"/>
  <c r="I208" s="1"/>
  <c r="AC209"/>
  <c r="AC210" s="1"/>
  <c r="I218"/>
  <c r="H225"/>
  <c r="X225"/>
  <c r="X227" s="1"/>
  <c r="X229" s="1"/>
  <c r="AC5"/>
  <c r="AB18"/>
  <c r="AC18" s="1"/>
  <c r="AA28"/>
  <c r="AB30"/>
  <c r="AC30" s="1"/>
  <c r="AC33" s="1"/>
  <c r="Z33"/>
  <c r="Z227" s="1"/>
  <c r="AB48"/>
  <c r="AC48" s="1"/>
  <c r="Z55"/>
  <c r="AB66"/>
  <c r="AC66" s="1"/>
  <c r="AC69" s="1"/>
  <c r="Z69"/>
  <c r="AA83"/>
  <c r="AB101"/>
  <c r="AC101" s="1"/>
  <c r="Z124"/>
  <c r="Z146"/>
  <c r="Z165"/>
  <c r="I5"/>
  <c r="I16" s="1"/>
  <c r="U12"/>
  <c r="AC17"/>
  <c r="U21"/>
  <c r="U25" s="1"/>
  <c r="AB21"/>
  <c r="H25"/>
  <c r="U36"/>
  <c r="AB36"/>
  <c r="AC36" s="1"/>
  <c r="H46"/>
  <c r="I52"/>
  <c r="I54"/>
  <c r="I60"/>
  <c r="I64" s="1"/>
  <c r="I73"/>
  <c r="I81" s="1"/>
  <c r="I75"/>
  <c r="H81"/>
  <c r="U85"/>
  <c r="U116" s="1"/>
  <c r="I87"/>
  <c r="I116" s="1"/>
  <c r="I90"/>
  <c r="I92"/>
  <c r="I95"/>
  <c r="I98"/>
  <c r="I102"/>
  <c r="I105"/>
  <c r="I123"/>
  <c r="I124" s="1"/>
  <c r="AB132"/>
  <c r="AC132" s="1"/>
  <c r="I138"/>
  <c r="I145"/>
  <c r="Z155"/>
  <c r="AB156"/>
  <c r="AB173"/>
  <c r="AC173" s="1"/>
  <c r="AA184"/>
  <c r="AC184" s="1"/>
  <c r="Z225"/>
  <c r="U7"/>
  <c r="AC20"/>
  <c r="U38"/>
  <c r="U46" s="1"/>
  <c r="AB47"/>
  <c r="AB55" s="1"/>
  <c r="AB123"/>
  <c r="AC123" s="1"/>
  <c r="AC124" s="1"/>
  <c r="Y127"/>
  <c r="Y143" s="1"/>
  <c r="AC127"/>
  <c r="AB145"/>
  <c r="AC145" s="1"/>
  <c r="AC146" s="1"/>
  <c r="U161"/>
  <c r="U165" s="1"/>
  <c r="AK56" i="15"/>
  <c r="AM56" s="1"/>
  <c r="AK18"/>
  <c r="AK19" s="1"/>
  <c r="AK51"/>
  <c r="AM51" s="1"/>
  <c r="AK14"/>
  <c r="AM14" s="1"/>
  <c r="AK54"/>
  <c r="AK174"/>
  <c r="AK189"/>
  <c r="AK219"/>
  <c r="AM219" s="1"/>
  <c r="AK15"/>
  <c r="AM15" s="1"/>
  <c r="AK42"/>
  <c r="AK66"/>
  <c r="AK69" s="1"/>
  <c r="AK87"/>
  <c r="AK102"/>
  <c r="AM102" s="1"/>
  <c r="AK107"/>
  <c r="AM107" s="1"/>
  <c r="AJ126"/>
  <c r="AJ142" s="1"/>
  <c r="AK136"/>
  <c r="AM136" s="1"/>
  <c r="AK158"/>
  <c r="AM158" s="1"/>
  <c r="AK191"/>
  <c r="AM191" s="1"/>
  <c r="AK214"/>
  <c r="AK217"/>
  <c r="AK222"/>
  <c r="AM222" s="1"/>
  <c r="AK48"/>
  <c r="AK60"/>
  <c r="AM60" s="1"/>
  <c r="AK74"/>
  <c r="AM74" s="1"/>
  <c r="AK95"/>
  <c r="AM95" s="1"/>
  <c r="AK118"/>
  <c r="AK120" s="1"/>
  <c r="AK148"/>
  <c r="AM148" s="1"/>
  <c r="AJ150"/>
  <c r="AM150" s="1"/>
  <c r="AK179"/>
  <c r="AM179" s="1"/>
  <c r="AK172"/>
  <c r="AC64" i="12" l="1"/>
  <c r="U16"/>
  <c r="AC121"/>
  <c r="AA208"/>
  <c r="AA227" s="1"/>
  <c r="AC225"/>
  <c r="Y227"/>
  <c r="AB46"/>
  <c r="AC82"/>
  <c r="AC83" s="1"/>
  <c r="I143"/>
  <c r="I227" s="1"/>
  <c r="AB143"/>
  <c r="AB25"/>
  <c r="AM75" i="15"/>
  <c r="AM214"/>
  <c r="AM39"/>
  <c r="AM92"/>
  <c r="AM203"/>
  <c r="AM152"/>
  <c r="AM109"/>
  <c r="AM85"/>
  <c r="AM98"/>
  <c r="AM172"/>
  <c r="AM48"/>
  <c r="AM189"/>
  <c r="AM22"/>
  <c r="AM87"/>
  <c r="AM217"/>
  <c r="AM137"/>
  <c r="AM141"/>
  <c r="AM221"/>
  <c r="AM182"/>
  <c r="AM54"/>
  <c r="AM155"/>
  <c r="AM21"/>
  <c r="AM91"/>
  <c r="AM42"/>
  <c r="AM174"/>
  <c r="AM194"/>
  <c r="AM178"/>
  <c r="AM122"/>
  <c r="AM126"/>
  <c r="AM82"/>
  <c r="AM83" s="1"/>
  <c r="AM183"/>
  <c r="AM84"/>
  <c r="AM66"/>
  <c r="AM18"/>
  <c r="AM144"/>
  <c r="AM118"/>
  <c r="AM120" s="1"/>
  <c r="AF226"/>
  <c r="AF228" s="1"/>
  <c r="J207"/>
  <c r="J115"/>
  <c r="AH142"/>
  <c r="AH115"/>
  <c r="AH207"/>
  <c r="AK154"/>
  <c r="AK207"/>
  <c r="AK224"/>
  <c r="AI226"/>
  <c r="Y154"/>
  <c r="Y226" s="1"/>
  <c r="AM170"/>
  <c r="AK142"/>
  <c r="AE226"/>
  <c r="AE228" s="1"/>
  <c r="Z226"/>
  <c r="Z228" s="1"/>
  <c r="AK46"/>
  <c r="AL207"/>
  <c r="AL19"/>
  <c r="AL145"/>
  <c r="AL25"/>
  <c r="AL16"/>
  <c r="AL154"/>
  <c r="AL125"/>
  <c r="AL81"/>
  <c r="AL46"/>
  <c r="AK64"/>
  <c r="AK164"/>
  <c r="AA226"/>
  <c r="AJ154"/>
  <c r="AJ226" s="1"/>
  <c r="AM33"/>
  <c r="AM28"/>
  <c r="O142"/>
  <c r="O226" s="1"/>
  <c r="AL64"/>
  <c r="AK55"/>
  <c r="AK115"/>
  <c r="AK25"/>
  <c r="AK81"/>
  <c r="AL164"/>
  <c r="AL115"/>
  <c r="AL142"/>
  <c r="AL123"/>
  <c r="AL224"/>
  <c r="AK16"/>
  <c r="AK33"/>
  <c r="AL55"/>
  <c r="AL69"/>
  <c r="W226"/>
  <c r="W228" s="1"/>
  <c r="H228"/>
  <c r="AC116" i="12"/>
  <c r="U227"/>
  <c r="AC143"/>
  <c r="AC208"/>
  <c r="H227"/>
  <c r="H229" s="1"/>
  <c r="AB124"/>
  <c r="AB69"/>
  <c r="AC47"/>
  <c r="AC55" s="1"/>
  <c r="AB146"/>
  <c r="AC21"/>
  <c r="AB16"/>
  <c r="AB116"/>
  <c r="AB165"/>
  <c r="AC156"/>
  <c r="AC165" s="1"/>
  <c r="AC81"/>
  <c r="AB33"/>
  <c r="AB208"/>
  <c r="AC25"/>
  <c r="AC19"/>
  <c r="AC16"/>
  <c r="AC35"/>
  <c r="AC46" s="1"/>
  <c r="AC149"/>
  <c r="AC155" s="1"/>
  <c r="AB19"/>
  <c r="J226" i="15" l="1"/>
  <c r="AH226"/>
  <c r="AK226"/>
  <c r="AM164"/>
  <c r="AM55"/>
  <c r="AM224"/>
  <c r="AM25"/>
  <c r="AM46"/>
  <c r="AM145"/>
  <c r="AM207"/>
  <c r="AL226"/>
  <c r="AM69"/>
  <c r="AM123"/>
  <c r="AM125"/>
  <c r="AM16"/>
  <c r="AM115"/>
  <c r="AM64"/>
  <c r="AM81"/>
  <c r="AM154"/>
  <c r="AM19"/>
  <c r="AC227" i="12"/>
  <c r="AB227"/>
  <c r="AM142" i="15" l="1"/>
  <c r="AM226" s="1"/>
</calcChain>
</file>

<file path=xl/sharedStrings.xml><?xml version="1.0" encoding="utf-8"?>
<sst xmlns="http://schemas.openxmlformats.org/spreadsheetml/2006/main" count="8795" uniqueCount="527">
  <si>
    <t>Asha Bhavan Centre</t>
  </si>
  <si>
    <t>Confederation for Challenged</t>
  </si>
  <si>
    <t>Institute of Health Sciences, a unit of Margdarsi</t>
  </si>
  <si>
    <t>Jeevan</t>
  </si>
  <si>
    <t>Manochetna</t>
  </si>
  <si>
    <t>Nagda Zenith Social welfare Society</t>
  </si>
  <si>
    <t>Navchetna Society</t>
  </si>
  <si>
    <t>Prerona Pratibandhi Sishu Bikash Kendra</t>
  </si>
  <si>
    <t>Raphael Ryder Cheshire International Centre</t>
  </si>
  <si>
    <t>Shama Vikas Samiti</t>
  </si>
  <si>
    <t>Spastics Society Of Mizoram</t>
  </si>
  <si>
    <t>Sri Dakshinya Bhava Samithi</t>
  </si>
  <si>
    <t>UNNAYAK SEVA SAMITI</t>
  </si>
  <si>
    <t>Registered Organisation</t>
  </si>
  <si>
    <t>Viklang Samakalan Sansthan</t>
  </si>
  <si>
    <t>RUCODE INDIA SOCIAL WELFARE TRAINING CENTRE</t>
  </si>
  <si>
    <t>State</t>
  </si>
  <si>
    <t>Madhya Pradesh</t>
  </si>
  <si>
    <t>Bihar</t>
  </si>
  <si>
    <t>Haryana</t>
  </si>
  <si>
    <t>Gujarat</t>
  </si>
  <si>
    <t>Tamil Nadu</t>
  </si>
  <si>
    <t>Howrah</t>
  </si>
  <si>
    <t>West Bengal</t>
  </si>
  <si>
    <t>Uttar Pradesh</t>
  </si>
  <si>
    <t>Odissa</t>
  </si>
  <si>
    <t>Varanasi</t>
  </si>
  <si>
    <t>Sirsa</t>
  </si>
  <si>
    <t>Jharkhand</t>
  </si>
  <si>
    <t>Andhra Pradesh</t>
  </si>
  <si>
    <t>Mehsana</t>
  </si>
  <si>
    <t>Chattisgarh</t>
  </si>
  <si>
    <t>Telangana</t>
  </si>
  <si>
    <t>Kollam</t>
  </si>
  <si>
    <t>Kerala</t>
  </si>
  <si>
    <t>Assam</t>
  </si>
  <si>
    <t>Ujjain</t>
  </si>
  <si>
    <t>Hoshiarpur</t>
  </si>
  <si>
    <t>Punjab</t>
  </si>
  <si>
    <t>Guntur</t>
  </si>
  <si>
    <t>Jorhat</t>
  </si>
  <si>
    <t>Kanyakumari</t>
  </si>
  <si>
    <t>Nalanda</t>
  </si>
  <si>
    <t>Aizwal</t>
  </si>
  <si>
    <t>Mizoram</t>
  </si>
  <si>
    <t>Raigarh</t>
  </si>
  <si>
    <t>District</t>
  </si>
  <si>
    <t>Sl. No.</t>
  </si>
  <si>
    <t>2015-16</t>
  </si>
  <si>
    <t>2016-17</t>
  </si>
  <si>
    <t>2017-18</t>
  </si>
  <si>
    <t>Total</t>
  </si>
  <si>
    <t>KHODIYAR EDUCATION TRUST, MEHSANA</t>
  </si>
  <si>
    <t>States</t>
  </si>
  <si>
    <t>GHARAUNDA SCHEME</t>
  </si>
  <si>
    <t>SAMARTH SCHEME</t>
  </si>
  <si>
    <t>VIKAAS SCHEME</t>
  </si>
  <si>
    <t>GRAND TOTAL</t>
  </si>
  <si>
    <t>Chhatisgarh</t>
  </si>
  <si>
    <t>Disha Sirsa</t>
  </si>
  <si>
    <t>Manovikas School for Mentally Handicapped</t>
  </si>
  <si>
    <t>Odisha</t>
  </si>
  <si>
    <t>Uttarakhand</t>
  </si>
  <si>
    <t>Grand Total of all ROs &amp; Schemes</t>
  </si>
  <si>
    <t>2018-19</t>
  </si>
  <si>
    <t>Year wise Total</t>
  </si>
  <si>
    <t>Kasinadhuni Durgamba Butchaiah Trust</t>
  </si>
  <si>
    <t>Krishna</t>
  </si>
  <si>
    <t>Prabhata Sindhuri Educational Society</t>
  </si>
  <si>
    <t>Sirisha Rehabilitation Centre</t>
  </si>
  <si>
    <t>Sreya Foundation</t>
  </si>
  <si>
    <t>Visakhapatnam</t>
  </si>
  <si>
    <t>Sunlight Educational Society</t>
  </si>
  <si>
    <t>Srikakulam</t>
  </si>
  <si>
    <t>Tadepallis Satya Sai Cheyutha Society</t>
  </si>
  <si>
    <t>Vijayawada</t>
  </si>
  <si>
    <t>Assisi Health Care Society</t>
  </si>
  <si>
    <t>Uma Educational and Technical Society</t>
  </si>
  <si>
    <t>Chittoor</t>
  </si>
  <si>
    <t>Vasantha Lakshmi Charitable Trust and Research Center</t>
  </si>
  <si>
    <t>Nellore</t>
  </si>
  <si>
    <t>Velugu</t>
  </si>
  <si>
    <t>Chittor</t>
  </si>
  <si>
    <t>Total of Andhra Pradesh</t>
  </si>
  <si>
    <t>Mrinaljyoti Rehabilitation Centre</t>
  </si>
  <si>
    <t>Dibrugarh</t>
  </si>
  <si>
    <t>Total of Assam</t>
  </si>
  <si>
    <t>Aarogyaa Foundation for Health Promotion and Community Based Rehabilitation</t>
  </si>
  <si>
    <t>Sitamarhi</t>
  </si>
  <si>
    <t>Aastha Charitable and Welfare Society</t>
  </si>
  <si>
    <t>Patna</t>
  </si>
  <si>
    <t>Koshi Kshetriya Biklang Bidhwa Bridh Kalyan Samiti</t>
  </si>
  <si>
    <t xml:space="preserve">Saharsa </t>
  </si>
  <si>
    <t>Tapovan Bahuviklang Punarvas Sansthan</t>
  </si>
  <si>
    <t>West Champaran</t>
  </si>
  <si>
    <t>Total of Bihar</t>
  </si>
  <si>
    <t>Chandigarh</t>
  </si>
  <si>
    <t>Indian National Portage Association</t>
  </si>
  <si>
    <t>ChandIgarh</t>
  </si>
  <si>
    <t>National Association for the Blind Chandigarh and Punjab branch</t>
  </si>
  <si>
    <t>Total of Chandigarh</t>
  </si>
  <si>
    <t>Kopal Vani Child Welfare Organization</t>
  </si>
  <si>
    <t>Raipur</t>
  </si>
  <si>
    <t>SHANTI MAITRI GRAMIN VIKAS SANSTHAN</t>
  </si>
  <si>
    <t>Dhamatipur</t>
  </si>
  <si>
    <t>SNEH SAMPADA VIDYALAYA</t>
  </si>
  <si>
    <t>Durg</t>
  </si>
  <si>
    <t>Total of Chattisgarh</t>
  </si>
  <si>
    <t>Delhi</t>
  </si>
  <si>
    <t>Action for Autism</t>
  </si>
  <si>
    <t>Akshya Pratisthan</t>
  </si>
  <si>
    <t>Association for Advancement and Rehabilitation of Handicapped</t>
  </si>
  <si>
    <t>Cheshire Homes India Delhi Unit</t>
  </si>
  <si>
    <t>Family Of Shiridi Sai Baba</t>
  </si>
  <si>
    <t>South Delhi</t>
  </si>
  <si>
    <t>Manovikas Charitable Society</t>
  </si>
  <si>
    <t>East Delhi</t>
  </si>
  <si>
    <t>Parents Association for the Welfare of Children with Mental Handicap/ Muskaan</t>
  </si>
  <si>
    <t>Samadhan</t>
  </si>
  <si>
    <t>Shristi Parents Support Group</t>
  </si>
  <si>
    <t>Udaan - FSMHP</t>
  </si>
  <si>
    <t>Viklang Sahara Samiti Delhi</t>
  </si>
  <si>
    <t>Total of Delhi</t>
  </si>
  <si>
    <t>Ankur Special School For Mentally Retarded Children</t>
  </si>
  <si>
    <t>Bhavnagar</t>
  </si>
  <si>
    <t>Ashirwad Trust for Disabled OR Ashirwad Viklang Trust</t>
  </si>
  <si>
    <t>Surendranagar</t>
  </si>
  <si>
    <t>Blind Peoples Association (India)</t>
  </si>
  <si>
    <t>Vastrapur</t>
  </si>
  <si>
    <t>Blind Welfare Council</t>
  </si>
  <si>
    <t>Dahod</t>
  </si>
  <si>
    <t>JEEVANDEEP HEALTH EDUCATION AND CHARITABLE TRUST KODINAR</t>
  </si>
  <si>
    <t>Kodinar</t>
  </si>
  <si>
    <t>Samprat Education and Charitable Trust-Junagarh</t>
  </si>
  <si>
    <t xml:space="preserve">Junagadh </t>
  </si>
  <si>
    <t>Smt. Parsanben Narandas Ramji Shah(Talajawala) Society for Relief &amp; Rehabilitation of the Disabled</t>
  </si>
  <si>
    <t>Total of Gujarat</t>
  </si>
  <si>
    <t>Adarsh Para Medical Welfare Association</t>
  </si>
  <si>
    <t>Modern Education Society</t>
  </si>
  <si>
    <t>Sonipat</t>
  </si>
  <si>
    <t>Nav Disha Education &amp; Welfare Society</t>
  </si>
  <si>
    <t>Gurgaon</t>
  </si>
  <si>
    <t>Nav Prerna</t>
  </si>
  <si>
    <t>Tapan Rehabilitation Society</t>
  </si>
  <si>
    <t>Karnal</t>
  </si>
  <si>
    <t>Umeed Society Rehabilitation Institute for the Intellectual and Developmental Disability</t>
  </si>
  <si>
    <t>Ambala</t>
  </si>
  <si>
    <t>Total of Haryana</t>
  </si>
  <si>
    <t>Himachal Pradesh</t>
  </si>
  <si>
    <t>CHETNA BILASPUR HIMACHAL PRADESH</t>
  </si>
  <si>
    <t>Bilaspur</t>
  </si>
  <si>
    <t>Ganpati Educational Society</t>
  </si>
  <si>
    <t>Solan</t>
  </si>
  <si>
    <t>Himachal Praeesh</t>
  </si>
  <si>
    <t>Sakar Society For Differently Abled Persons</t>
  </si>
  <si>
    <t>Mandi</t>
  </si>
  <si>
    <t>Udaan Parents and Guardians Society of Mentally Challenged Children</t>
  </si>
  <si>
    <t>Total of Himachal Pradesh</t>
  </si>
  <si>
    <t>Total of Jharkhand</t>
  </si>
  <si>
    <t>Karnataka</t>
  </si>
  <si>
    <t>Ashadeepa Angavikalara Sarva Abhiwruddhi Seva Samsthe</t>
  </si>
  <si>
    <t>Bagalkot</t>
  </si>
  <si>
    <t>Dharithree Trust</t>
  </si>
  <si>
    <t>Bangalore</t>
  </si>
  <si>
    <t>Manju Education Society</t>
  </si>
  <si>
    <t>Gadag</t>
  </si>
  <si>
    <t>Pragna Trust</t>
  </si>
  <si>
    <t>Chikkaballapur</t>
  </si>
  <si>
    <t>Samuha</t>
  </si>
  <si>
    <t>Kopal</t>
  </si>
  <si>
    <t>Seva-In-Action Association</t>
  </si>
  <si>
    <t>Banglore</t>
  </si>
  <si>
    <t>Shri B. D. Tatti Memorial Charitable Trust</t>
  </si>
  <si>
    <t>SPOORTHY ORGANIZATION FOR EDUCATION AND SOCIAL DEVELOPMENT</t>
  </si>
  <si>
    <t>Devangere</t>
  </si>
  <si>
    <t>The Association Of People With Disability</t>
  </si>
  <si>
    <t>Total of Karnataka</t>
  </si>
  <si>
    <t>Total of Kerala</t>
  </si>
  <si>
    <t>Aadhar Foundation</t>
  </si>
  <si>
    <t>Chhindwara</t>
  </si>
  <si>
    <t>Aastha Welfare Society</t>
  </si>
  <si>
    <t>Khandwa</t>
  </si>
  <si>
    <t>ADARSH VIKLANG SEVA SANGH</t>
  </si>
  <si>
    <t>Singrauli</t>
  </si>
  <si>
    <t>Aadhar Gyan Dhatri Samiti</t>
  </si>
  <si>
    <t>Bhopal</t>
  </si>
  <si>
    <t>Anjani Jan Kalyan Sansthan Samiti Bina</t>
  </si>
  <si>
    <t>Sagar</t>
  </si>
  <si>
    <t>Bargarh Mahavir Yuvak Mandal Samiti</t>
  </si>
  <si>
    <t>BRAMHARSHI VASHISHTH SIKSHAN PRASIKSHAN AVAM SEWA SAMITI NARSINGHPUR</t>
  </si>
  <si>
    <t>Narsinghpur</t>
  </si>
  <si>
    <t>Digdarshika Institute Of Rehabilitation &amp; Research</t>
  </si>
  <si>
    <t>Jainarayan Sarvodaya Vidyalaya Samiti</t>
  </si>
  <si>
    <t>Betul</t>
  </si>
  <si>
    <t xml:space="preserve">Jan Jagran Educational and Health Welfare Society </t>
  </si>
  <si>
    <t>Jigyasa Samaj Kalyan Sewa Samiti</t>
  </si>
  <si>
    <t>BHOPAL</t>
  </si>
  <si>
    <t>Life Line Service Society</t>
  </si>
  <si>
    <t>Maa Savasan Mahila Mandal</t>
  </si>
  <si>
    <t>Madhuri Aayaam Education and Welfare Society</t>
  </si>
  <si>
    <t>Madhya Pradesh Viklang Sahayata Samiti</t>
  </si>
  <si>
    <t>Chandessara Po</t>
  </si>
  <si>
    <t>Mahila Bal Vikas Samiti</t>
  </si>
  <si>
    <t>Bhind</t>
  </si>
  <si>
    <t>Moulana Azad Education Foundation</t>
  </si>
  <si>
    <t>Jabalpur</t>
  </si>
  <si>
    <t>Navodit Gram Utthan Mahila Evam Bal Vikas Samiti</t>
  </si>
  <si>
    <t>NIRMAL JYOTI EDUCATIONAL AND CHARITABLE SOCIETY</t>
  </si>
  <si>
    <t>NISHAKT JAN AADHAR WELFARE SOCIETY</t>
  </si>
  <si>
    <t>Indore</t>
  </si>
  <si>
    <t>Raj Rani Sewa Evam Shikshan Prashikshan Sansthan And Social Welfare Society</t>
  </si>
  <si>
    <t>Rewa</t>
  </si>
  <si>
    <t>RAJEEV KUMAR SAMAJ KALYAN GRAM VIKESH SHOD SANTHAN</t>
  </si>
  <si>
    <t>Katni</t>
  </si>
  <si>
    <t>Sarv Shri Maa Narmada Shiksha Avm Jan Kalyan Seva Samiti</t>
  </si>
  <si>
    <t>Shri Shri Utkarsh Samity</t>
  </si>
  <si>
    <t>Seva Shikshan Prashikshan Punarvas Avam Anusandhan Samiti</t>
  </si>
  <si>
    <t>sneh mand buddhi avam mook badhir school unit of sneh shikshan avam manav seva sansthan</t>
  </si>
  <si>
    <t>Society for Community Welfare</t>
  </si>
  <si>
    <t>Tarun Jan Kalyan Samiti</t>
  </si>
  <si>
    <t>The Sun Founcation Samiti</t>
  </si>
  <si>
    <t>Ummeed Shikshan Samiti</t>
  </si>
  <si>
    <t>Vidisha</t>
  </si>
  <si>
    <t>Usha Komal Sanskrit Jan Kalyan Sewa Samiti Raisen</t>
  </si>
  <si>
    <t>Raisen</t>
  </si>
  <si>
    <t>Total of Madhya Pradesh</t>
  </si>
  <si>
    <t>Maharashtra</t>
  </si>
  <si>
    <t>Jivhala Society For The Mentally Handicapped</t>
  </si>
  <si>
    <t>Solapur</t>
  </si>
  <si>
    <t xml:space="preserve">R.S.S.JANAKALYAN SAMITI MAHARASHTRA PRANT (Sanvedana Cerebral Palsy Vikasan Kendra) </t>
  </si>
  <si>
    <t>Latur</t>
  </si>
  <si>
    <t>Smt.P.C. Alwani School for M.R. Children A Unit Of Rivka Sahil Akshar Institute</t>
  </si>
  <si>
    <t>SOPAN(Society of Parents of Children with Autistic Disorders)</t>
  </si>
  <si>
    <t>Mumbai</t>
  </si>
  <si>
    <t>Total of Maharashtra</t>
  </si>
  <si>
    <t>Manipur</t>
  </si>
  <si>
    <t>People Advance In Social Services (PASS)</t>
  </si>
  <si>
    <t xml:space="preserve"> Churachandpur</t>
  </si>
  <si>
    <t>The Handicapped Development Foundation</t>
  </si>
  <si>
    <t>Imphal West</t>
  </si>
  <si>
    <t>Total of Manipur</t>
  </si>
  <si>
    <t>Total of Mizoram</t>
  </si>
  <si>
    <t>Adarsha Association for Developmental Actions on Rural Societies Harijans and Adibasies</t>
  </si>
  <si>
    <t>Khordha</t>
  </si>
  <si>
    <t>odisha</t>
  </si>
  <si>
    <t>Association for Social Help in Rural Area</t>
  </si>
  <si>
    <t>Balangir</t>
  </si>
  <si>
    <t>Bharat Jyoti</t>
  </si>
  <si>
    <t>Centre For Rehabilitation Services &amp; Research CRSR</t>
  </si>
  <si>
    <t>Bhadrak</t>
  </si>
  <si>
    <t>DR. BRAJA VIHARI MOHANTY MEMORIAL MENTALLY RETARDED BENEFIT TRUST</t>
  </si>
  <si>
    <t>Cuttack</t>
  </si>
  <si>
    <t>District Red Cross Society, Biju Patnaik Special School for Mentally Challenged, Nuapada, ORISSA</t>
  </si>
  <si>
    <t>Nuapada</t>
  </si>
  <si>
    <t>NILACHAL SEVA PRATISTHAN</t>
  </si>
  <si>
    <t>Puri</t>
  </si>
  <si>
    <t>Regional Rehabilitation and Research Center</t>
  </si>
  <si>
    <t>Rourkela</t>
  </si>
  <si>
    <t>Orissa</t>
  </si>
  <si>
    <t>Research Academy For Rural Enrichment (RARE)</t>
  </si>
  <si>
    <t>Sonepur</t>
  </si>
  <si>
    <t>Rural Organisation for Social Elevation</t>
  </si>
  <si>
    <t>Mayurbhanj</t>
  </si>
  <si>
    <t>SADBHABANA</t>
  </si>
  <si>
    <t>Kendujhar</t>
  </si>
  <si>
    <t>Sri Sri Jadimahal Youth Club</t>
  </si>
  <si>
    <t>Balasore</t>
  </si>
  <si>
    <t>Veer surendra Sai Institute for Mentally Handicapped</t>
  </si>
  <si>
    <t>Sambalpur</t>
  </si>
  <si>
    <t>Total of Odissa</t>
  </si>
  <si>
    <t>Total of Punjab</t>
  </si>
  <si>
    <t>Puducherry</t>
  </si>
  <si>
    <t>Integrated Rehabilitation and Development Centre</t>
  </si>
  <si>
    <t>Puducherry (Union Territory)</t>
  </si>
  <si>
    <t>Total of Puducherry</t>
  </si>
  <si>
    <t>Rajasthan</t>
  </si>
  <si>
    <t>Deep Vidhya Mandir Samiti</t>
  </si>
  <si>
    <t>Dausa</t>
  </si>
  <si>
    <t>MAHILA BAL VIKAS GRAMOUDHYOG SHIKSHA SAMITI BHARATPUR</t>
  </si>
  <si>
    <t>Bharatpur</t>
  </si>
  <si>
    <t>Message Sansthan</t>
  </si>
  <si>
    <t>Rajasthan Mahila Kalyan Mandal, Ajmer</t>
  </si>
  <si>
    <t>Ajmer</t>
  </si>
  <si>
    <t>Shikhar Society For The Welfare Of Mentallty Handicapped</t>
  </si>
  <si>
    <t>Kota</t>
  </si>
  <si>
    <t>Umang</t>
  </si>
  <si>
    <t>Jaipur</t>
  </si>
  <si>
    <t>Total of Rajasthan</t>
  </si>
  <si>
    <t>Arvi Special School A unit of Association for Rehabilitation of Village Impairment</t>
  </si>
  <si>
    <t>Dindigul</t>
  </si>
  <si>
    <t>Asha School for the Mentally Retarded Children A unit of Asha Trust</t>
  </si>
  <si>
    <t>Global Special School for the Mentally Challenged, A unit of Global Trust for the Differently Abled</t>
  </si>
  <si>
    <t>Cuddalore</t>
  </si>
  <si>
    <t>Peoples Craft Training Center</t>
  </si>
  <si>
    <t>Sristi Special School a unit of Sristi Foundation</t>
  </si>
  <si>
    <t>St Judes School For Mentally challenged A Unit of Ecomwel Orthopaedic Centre</t>
  </si>
  <si>
    <t>Salem</t>
  </si>
  <si>
    <t>St. Xaviers Educational Development Society</t>
  </si>
  <si>
    <t>Vidya Vikasini Opportunity School a unit of Vidya Vikasini Society</t>
  </si>
  <si>
    <t>Coimbatore</t>
  </si>
  <si>
    <t>Total of Tamil Nadu</t>
  </si>
  <si>
    <t>PARENTS ASSOCIATION FOR THE MENTALLY HANDICAPPED PERSONS</t>
  </si>
  <si>
    <t>Karimnagar</t>
  </si>
  <si>
    <t xml:space="preserve">Shanthi Niketan Residential Institution For Mentally Handicapped </t>
  </si>
  <si>
    <t>Hyderabad</t>
  </si>
  <si>
    <t>Special Friends</t>
  </si>
  <si>
    <t>Swayamkrushi</t>
  </si>
  <si>
    <t>Total of Telangana</t>
  </si>
  <si>
    <t>BHAGIRATH SEWA SANSTHAN</t>
  </si>
  <si>
    <t>Ghaziabad</t>
  </si>
  <si>
    <t>Bhawna Society For Disabled</t>
  </si>
  <si>
    <t>Kanput Nagar</t>
  </si>
  <si>
    <t>Chetna - Society For The Welfare Of The Handicapped</t>
  </si>
  <si>
    <t>Lucknow</t>
  </si>
  <si>
    <t>Deva International Society for Child Care</t>
  </si>
  <si>
    <t>Gautam Buddh Shikshan Sansthan</t>
  </si>
  <si>
    <t>Gonda</t>
  </si>
  <si>
    <t>Gramin Pragati Sansthan</t>
  </si>
  <si>
    <t>Amethi(Chatrapati Sahuji Maharaj)</t>
  </si>
  <si>
    <t>Gramodaya Vikas Sansthan</t>
  </si>
  <si>
    <t>Barabanki</t>
  </si>
  <si>
    <t>I Support Foundation</t>
  </si>
  <si>
    <t>Integrated Institute of Rehabilitation for the Disabled (Viklang Samekit Punarvas Sansthan)</t>
  </si>
  <si>
    <t>Agra</t>
  </si>
  <si>
    <t>Integrated Institute For The Disabled</t>
  </si>
  <si>
    <t>Jan Chetna Sansthan</t>
  </si>
  <si>
    <t>Allahabad</t>
  </si>
  <si>
    <t>Jeevan Jyoti Samaj Sewa Sasnthan</t>
  </si>
  <si>
    <t>lucknow</t>
  </si>
  <si>
    <t>Kailashi Mahila Vikas SAmiti</t>
  </si>
  <si>
    <t>Azamgarh</t>
  </si>
  <si>
    <t>Lok Jagriti Sansthan</t>
  </si>
  <si>
    <t>MANAV UTTHAN SAMITI</t>
  </si>
  <si>
    <t>Mau</t>
  </si>
  <si>
    <t>Mansoori Academy</t>
  </si>
  <si>
    <t>Amroha</t>
  </si>
  <si>
    <t>Nai Subah</t>
  </si>
  <si>
    <t>Navada Gramudhyog Vikas Samiti</t>
  </si>
  <si>
    <t>Pt. Rajpati Pathak Vaidhy Balika Sikshan Sansthan</t>
  </si>
  <si>
    <t>Raj Social Welfare Society</t>
  </si>
  <si>
    <t>Rajeshwari seva sansthan</t>
  </si>
  <si>
    <t>Auraiya</t>
  </si>
  <si>
    <t>Rural Informative &amp; Social Harmony Academy</t>
  </si>
  <si>
    <t>Sultanpur</t>
  </si>
  <si>
    <t>Sampata Parents and Guardians Association of Mentally Challenged persons</t>
  </si>
  <si>
    <t>Rae Bareli</t>
  </si>
  <si>
    <t>Sanchit Vikas Sansthan</t>
  </si>
  <si>
    <t>Basti</t>
  </si>
  <si>
    <t>Saraswati Educational Society</t>
  </si>
  <si>
    <t>Saraswati Gyan Mandir Shiksha Samiti</t>
  </si>
  <si>
    <t>Shiksht Yuva Sewa Samiti</t>
  </si>
  <si>
    <t>SHRI RAM AASARE SINGH GRAM VIKAS SHIKSHA SAMITI</t>
  </si>
  <si>
    <t>Shri Sai Educational and Welfare Association</t>
  </si>
  <si>
    <t>Shubhasheesh Shiksha Evam Vikas Sewa Sansthan</t>
  </si>
  <si>
    <t>Rae Baareli</t>
  </si>
  <si>
    <t>Society For Institute Of Psychological Research &amp; Health</t>
  </si>
  <si>
    <t>SPARC India</t>
  </si>
  <si>
    <t>Swami Vivekanand Shiksha and Samaj Kalyan Samiti</t>
  </si>
  <si>
    <t>Sant Kabir Nagar</t>
  </si>
  <si>
    <t>Viklang Kalyan Seva Sansthan</t>
  </si>
  <si>
    <t>Siddharthnagar</t>
  </si>
  <si>
    <t>YADUVANSHI JANTA SHIKSHAN SANSTHAN</t>
  </si>
  <si>
    <t>Total of Uttar Pradesh</t>
  </si>
  <si>
    <t>Total of Uttarakhand</t>
  </si>
  <si>
    <t>Dantan Manav Kalyan Kendra</t>
  </si>
  <si>
    <t>Paschim Medinipur</t>
  </si>
  <si>
    <t>Indian Institute Of Cerebral Palsy</t>
  </si>
  <si>
    <t>Kolkata</t>
  </si>
  <si>
    <t>Jhanjha Unnyan Samiti</t>
  </si>
  <si>
    <t>Murshidabad</t>
  </si>
  <si>
    <t>Kalyani Life Institute</t>
  </si>
  <si>
    <t>Nadia</t>
  </si>
  <si>
    <t>Karimpur Social Welfare Society</t>
  </si>
  <si>
    <t>Kenduadihi Bikash Society</t>
  </si>
  <si>
    <t>Bankura</t>
  </si>
  <si>
    <t>Malda Krishnapally Janajagoran Society</t>
  </si>
  <si>
    <t>Malda</t>
  </si>
  <si>
    <t>Pratibandhi Sahayak Samity</t>
  </si>
  <si>
    <t>Purba Medinipur</t>
  </si>
  <si>
    <t>Rampurhat Spastics &amp; Handicapped Society.</t>
  </si>
  <si>
    <t>Birbhum</t>
  </si>
  <si>
    <t>Sabuj Sangha</t>
  </si>
  <si>
    <t>Arambagh</t>
  </si>
  <si>
    <t>Santiniketan Ratanpally Vivekananda Adibasi Kalyan Samity</t>
  </si>
  <si>
    <t>Uttarapara Ashraya - Parents Organization</t>
  </si>
  <si>
    <t>Vivekananda Loksiksha Niketan</t>
  </si>
  <si>
    <t>Medinipur</t>
  </si>
  <si>
    <t>Total of West Bengal</t>
  </si>
  <si>
    <t xml:space="preserve">DISHA SCHEME </t>
  </si>
  <si>
    <t>SAHYOGI SCHEME</t>
  </si>
  <si>
    <t>REMARKS (IF ANY)</t>
  </si>
  <si>
    <t>SAMARTH-CUM-GHARAUNDA SCHEME</t>
  </si>
  <si>
    <t>Detail as per Account Division</t>
  </si>
  <si>
    <t>Difference from Accounts Div.</t>
  </si>
  <si>
    <t>Asha Kiran Special School</t>
  </si>
  <si>
    <t>Jharjhar</t>
  </si>
  <si>
    <t>The amount of Rs.200000/- has been fefunded by Open Learning, Odisha of Old Gharaunda Scheme. After revised, RO was not taken any scheme from  2015-16.</t>
  </si>
  <si>
    <t>Rs.4000/- has been released to Manochetna, Kerala. Accounts Devision worngly enterted for the fund released.</t>
  </si>
  <si>
    <t>An amount retruned Rs.155000 by RO- Message under Samarth Scheme out of 290000, which is wrongly entered in Disha Scheme in Accounts</t>
  </si>
  <si>
    <t>Fund Released Detail as Scheme, Dist., State, Year &amp; RO wise from 2015-16 to 31.12.2018</t>
  </si>
  <si>
    <t xml:space="preserve">2018-19 </t>
  </si>
  <si>
    <t>Disha Total</t>
  </si>
  <si>
    <t>Total 2018-19</t>
  </si>
  <si>
    <t>Gharaunda Total</t>
  </si>
  <si>
    <t>Samarth Total</t>
  </si>
  <si>
    <t>Vikaas Total</t>
  </si>
  <si>
    <t>Sahyogi Total</t>
  </si>
  <si>
    <t>Grand Total</t>
  </si>
  <si>
    <t>Fund Released Till</t>
  </si>
  <si>
    <t>Bhiwani</t>
  </si>
  <si>
    <t>Rewari</t>
  </si>
  <si>
    <t>Shimla</t>
  </si>
  <si>
    <t>Dhanbad</t>
  </si>
  <si>
    <t>Ratlam</t>
  </si>
  <si>
    <t>Satara</t>
  </si>
  <si>
    <t>Fatehgarh Sahib</t>
  </si>
  <si>
    <t>Alwar</t>
  </si>
  <si>
    <t>Thiruvallur</t>
  </si>
  <si>
    <t>Tiruvannamalai</t>
  </si>
  <si>
    <t>Viluppuram</t>
  </si>
  <si>
    <t>Warangal (Rural)</t>
  </si>
  <si>
    <t>Ambedkar Nagar</t>
  </si>
  <si>
    <t>Moradabad</t>
  </si>
  <si>
    <t>Shahjahanpur</t>
  </si>
  <si>
    <t>Fatehpur</t>
  </si>
  <si>
    <t>Ghazipur</t>
  </si>
  <si>
    <t>Dehradun</t>
  </si>
  <si>
    <t>Hooghly</t>
  </si>
  <si>
    <t>The Sun Foundation Samiti</t>
  </si>
  <si>
    <t xml:space="preserve">DISHA-CUM-VIKAAS SCHEME </t>
  </si>
  <si>
    <t>2019-20</t>
  </si>
  <si>
    <t>Till 12.04.2019</t>
  </si>
  <si>
    <t>Fund Relesed Detail as Scheme, Dist., State, Year &amp; RO wise from 2015-16 to 2018-19 (till 12.04.2019)</t>
  </si>
  <si>
    <t>Registered Organisations (Dist. &amp; State wise)</t>
  </si>
  <si>
    <t>Schemes &amp; Years</t>
  </si>
  <si>
    <t>Rs.3000000/- returned from the State Govt. of Chhatisgarh for old Gharaunda Scheme in the m/o April'2019</t>
  </si>
  <si>
    <t>Updated Records with Accounts Division til :</t>
  </si>
  <si>
    <t>The amount of Rs.200000/- has been refunded by Open Learning, Odisha of Old Gharaunda Scheme. After revised, RO was not taken any scheme from  2015-16.</t>
  </si>
  <si>
    <t>Disha</t>
  </si>
  <si>
    <t>Samarth</t>
  </si>
  <si>
    <t>Vikaas</t>
  </si>
  <si>
    <t>Sahyogi</t>
  </si>
  <si>
    <t>Meghalaya</t>
  </si>
  <si>
    <t>Total of Meghalaya</t>
  </si>
  <si>
    <t>Bethany Society</t>
  </si>
  <si>
    <t>Shilong</t>
  </si>
  <si>
    <t>Sahayika Sishu Niradeshan Kendra</t>
  </si>
  <si>
    <t>Guwahati</t>
  </si>
  <si>
    <t>Kanpur Nagar</t>
  </si>
  <si>
    <t>Fund Relesed Detail as Scheme, Dist., State, Year &amp; RO wise from 2015-16 to 2019-20 (till 31.03.2020)</t>
  </si>
  <si>
    <t>Till 31.03.2020</t>
  </si>
  <si>
    <t>31.03.2020</t>
  </si>
  <si>
    <t>Gharaunda</t>
  </si>
  <si>
    <t>Disha-cum-Vikaas</t>
  </si>
  <si>
    <t>Samarth-cum-Gharaunda</t>
  </si>
  <si>
    <t>Name of ROs, Dist and State</t>
  </si>
  <si>
    <t>2020-21</t>
  </si>
  <si>
    <t>Deshbandhu Club</t>
  </si>
  <si>
    <t>Cachar</t>
  </si>
  <si>
    <t>The Malsawm Initiative Run By Centre For Community Initiative</t>
  </si>
  <si>
    <t>Churachandpur</t>
  </si>
  <si>
    <t>Till 31.03.2021</t>
  </si>
  <si>
    <t>607 TLM KITS for Rs.5475198</t>
  </si>
  <si>
    <t>872 TLM KITS for Rs.8231288</t>
  </si>
  <si>
    <t>1490 TLM KITS for Rs.13759935</t>
  </si>
  <si>
    <t>Fund Relesed Detail as Scheme, Dist., State, Year &amp; RO wise from 2015-16 to 2020-21 (till 31.03.2021)</t>
  </si>
  <si>
    <t>74 TLM KITS for Rs.702778</t>
  </si>
  <si>
    <t>63 TLM KITS for Rs.593847</t>
  </si>
  <si>
    <t>71 TLM KITS for Rs.671559</t>
  </si>
  <si>
    <t>2021-22</t>
  </si>
  <si>
    <t>Handicapped Development Foundation</t>
  </si>
  <si>
    <t>Pt Rajpati Pathak Vaidhy Balika Sikshan Sansthan</t>
  </si>
  <si>
    <t>Pratibandhi Sahayak Samiti</t>
  </si>
  <si>
    <t>Indian Institute Of Cerebral Palsy (IICP)</t>
  </si>
  <si>
    <t>Open Learning</t>
  </si>
  <si>
    <t>Open Learning (Old Gharunda)</t>
  </si>
  <si>
    <t>Opening Learning (Old Gharaunda)</t>
  </si>
  <si>
    <t>State Gove. Of Chhatisgarh</t>
  </si>
  <si>
    <t>State Govt. Of Chhatisgarh</t>
  </si>
  <si>
    <t>TLM KITS For 2020-21</t>
  </si>
  <si>
    <t>Rs.3753 should be entered in Stationary in Accounts Records, but amt. has been added to Dantan Manav, W.B.</t>
  </si>
  <si>
    <t>State Govt. of Chhatisgarh</t>
  </si>
  <si>
    <t>Open Learning (Old Gharaunda)</t>
  </si>
  <si>
    <t xml:space="preserve">Fund Relesed Detail as Scheme, Dist., State, Year &amp; RO wise for the year 2015-16 </t>
  </si>
  <si>
    <t>Schemes &amp; Release of Fund</t>
  </si>
  <si>
    <t xml:space="preserve">Fund Relesed Detail as Scheme, Dist., State, Year &amp; RO wise for the year 2016-17 </t>
  </si>
  <si>
    <t>Fund Relesed Detail as Scheme, Dist., State, Year &amp; RO wise for the year 2018-19</t>
  </si>
  <si>
    <t xml:space="preserve">Fund Relesed Detail as Scheme, Dist., State, Year &amp; RO wise for the year 2017-18 </t>
  </si>
  <si>
    <t>Fund Relesed Detail as Scheme, Dist., State, Year &amp; RO wise for the year 2019-20</t>
  </si>
  <si>
    <t>Fund Relesed Detail as Scheme, Dist., State, Year &amp; RO wise for the year 2020-21</t>
  </si>
  <si>
    <t>Manochaitanya Spl School and Vocational Centre for Mentally Handicapped run by PAMENCAP</t>
  </si>
  <si>
    <t>Peddapalli</t>
  </si>
  <si>
    <t>Divyang Kalyan Seva Sansthan / Viklang Kalyan Seva Sansthan</t>
  </si>
  <si>
    <t>Jammu &amp; Kashmir</t>
  </si>
  <si>
    <t>Muskan Fiundation</t>
  </si>
  <si>
    <t>Total of Jammu &amp; Kashmir</t>
  </si>
  <si>
    <t>Till 31.03.2022</t>
  </si>
  <si>
    <t>Fund Relesed Detail as Scheme, Dist., State, Year &amp; RO wise from 2015-16 to 2021-22 (till31.03.2022)</t>
  </si>
  <si>
    <t>Samarthe</t>
  </si>
  <si>
    <t>D-cum-V</t>
  </si>
  <si>
    <t>S-cum-G</t>
  </si>
  <si>
    <t>Total (Rs.)</t>
  </si>
  <si>
    <t>Fund Relesed Detail as Scheme, Dist., State, Year &amp; RO wise for the year 2021-22 (till 31.03.2022)</t>
  </si>
  <si>
    <t xml:space="preserve">Total </t>
  </si>
  <si>
    <t>2022-23</t>
  </si>
  <si>
    <t>Updated Records with Accounts Division till :</t>
  </si>
  <si>
    <t>KARNATAKA PARENTS ASSOCIATION FOR MENTALLY RETARDED CITIZENS (KPMR)</t>
  </si>
  <si>
    <t>Bangalore Urban</t>
  </si>
  <si>
    <t xml:space="preserve">Disha </t>
  </si>
  <si>
    <t>Voluntary Medicare Society</t>
  </si>
  <si>
    <t>Samba, Vijaypur</t>
  </si>
  <si>
    <t>Sringaar</t>
  </si>
  <si>
    <t>Indian National Portage Association (INPA)</t>
  </si>
  <si>
    <t>Association for Advancement and Rehabilitation of Handicapped (AAROH)</t>
  </si>
  <si>
    <t>Fund Relesed Detail as Scheme, Dist., State, Year &amp; RO wise from 2015-16 to 2022-23 (till 31.03.2023  )</t>
  </si>
  <si>
    <t>Till 31.03.2023</t>
  </si>
  <si>
    <t>Fund Relesed Detail as Scheme, Dist., State, Year &amp; RO wise for the year 2022-23 (upto 31.03.2023)</t>
  </si>
  <si>
    <t>2023-24</t>
  </si>
  <si>
    <t>Parents Association For The Mentally Handicapped Perosns (PAMENCAP)</t>
  </si>
  <si>
    <t>Smt. Parsanben Narandas Ramji Shah (Talajawala) Society for Relief &amp; Rehabilitation of the Disabled</t>
  </si>
  <si>
    <t>16.10.2023</t>
  </si>
  <si>
    <t>Fund Relesed Detail as Scheme, Dist., State, Year &amp; RO wise for the year 2023-24 (upto 16.10.2023)</t>
  </si>
  <si>
    <t>Fund Relesed Detail as Scheme, Dist., State, Year &amp; RO wise from 2015-16 to 2023-24 (till 31.10.2023)</t>
  </si>
  <si>
    <t>Swamy Vivekanand Educational Trust</t>
  </si>
  <si>
    <t>Samba</t>
  </si>
  <si>
    <t>Vijaypur</t>
  </si>
  <si>
    <t>02.12.2023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</si>
</sst>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1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 wrapText="1"/>
    </xf>
    <xf numFmtId="1" fontId="3" fillId="2" borderId="0" xfId="0" applyNumberFormat="1" applyFont="1" applyFill="1" applyAlignment="1">
      <alignment wrapText="1"/>
    </xf>
    <xf numFmtId="1" fontId="1" fillId="2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5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13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17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H12" sqref="H12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2.5703125" style="3" customWidth="1"/>
    <col min="6" max="6" width="13.140625" style="3" customWidth="1"/>
    <col min="7" max="7" width="13" style="3" customWidth="1"/>
    <col min="8" max="9" width="10.7109375" style="3" customWidth="1"/>
    <col min="10" max="10" width="18" style="3" bestFit="1" customWidth="1"/>
    <col min="11" max="11" width="9.140625" style="3" customWidth="1"/>
    <col min="12" max="16384" width="9.140625" style="3"/>
  </cols>
  <sheetData>
    <row r="1" spans="1:38" s="6" customFormat="1" ht="23.25" customHeight="1">
      <c r="A1" s="179" t="s">
        <v>483</v>
      </c>
      <c r="B1" s="179"/>
      <c r="C1" s="179"/>
      <c r="D1" s="179"/>
      <c r="E1" s="179"/>
      <c r="F1" s="179"/>
      <c r="G1" s="179"/>
      <c r="H1" s="179"/>
      <c r="I1" s="179"/>
      <c r="J1" s="179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 customHeight="1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</row>
    <row r="3" spans="1:38" s="7" customFormat="1" ht="18.75" customHeight="1">
      <c r="A3" s="128" t="s">
        <v>47</v>
      </c>
      <c r="B3" s="128" t="s">
        <v>13</v>
      </c>
      <c r="C3" s="128" t="s">
        <v>46</v>
      </c>
      <c r="D3" s="128" t="s">
        <v>16</v>
      </c>
      <c r="E3" s="128" t="s">
        <v>388</v>
      </c>
      <c r="F3" s="128" t="s">
        <v>54</v>
      </c>
      <c r="G3" s="128" t="s">
        <v>55</v>
      </c>
      <c r="H3" s="128" t="s">
        <v>56</v>
      </c>
      <c r="I3" s="128" t="s">
        <v>389</v>
      </c>
      <c r="J3" s="131" t="s">
        <v>57</v>
      </c>
    </row>
    <row r="4" spans="1:38">
      <c r="A4" s="8">
        <v>1</v>
      </c>
      <c r="B4" s="1" t="s">
        <v>68</v>
      </c>
      <c r="C4" s="4" t="s">
        <v>39</v>
      </c>
      <c r="D4" s="4" t="s">
        <v>29</v>
      </c>
      <c r="E4" s="4">
        <v>155000</v>
      </c>
      <c r="F4" s="4">
        <v>0</v>
      </c>
      <c r="G4" s="4">
        <v>0</v>
      </c>
      <c r="H4" s="4">
        <v>195000</v>
      </c>
      <c r="I4" s="10">
        <v>0</v>
      </c>
      <c r="J4" s="9">
        <f t="shared" ref="J4:J35" si="0">E4+F4+G4+H4+I4</f>
        <v>350000</v>
      </c>
    </row>
    <row r="5" spans="1:38">
      <c r="A5" s="8">
        <v>2</v>
      </c>
      <c r="B5" s="1" t="s">
        <v>69</v>
      </c>
      <c r="C5" s="4" t="s">
        <v>67</v>
      </c>
      <c r="D5" s="4" t="s">
        <v>29</v>
      </c>
      <c r="E5" s="4">
        <v>155000</v>
      </c>
      <c r="F5" s="4">
        <v>0</v>
      </c>
      <c r="G5" s="4">
        <v>0</v>
      </c>
      <c r="H5" s="4">
        <v>195000</v>
      </c>
      <c r="I5" s="10">
        <v>0</v>
      </c>
      <c r="J5" s="9">
        <f t="shared" si="0"/>
        <v>350000</v>
      </c>
    </row>
    <row r="6" spans="1:38">
      <c r="A6" s="8">
        <v>3</v>
      </c>
      <c r="B6" s="1" t="s">
        <v>11</v>
      </c>
      <c r="C6" s="4" t="s">
        <v>39</v>
      </c>
      <c r="D6" s="4" t="s">
        <v>29</v>
      </c>
      <c r="E6" s="4">
        <v>0</v>
      </c>
      <c r="F6" s="76">
        <v>290000</v>
      </c>
      <c r="G6" s="4">
        <v>0</v>
      </c>
      <c r="H6" s="4">
        <v>0</v>
      </c>
      <c r="I6" s="10">
        <v>0</v>
      </c>
      <c r="J6" s="9">
        <f t="shared" si="0"/>
        <v>290000</v>
      </c>
    </row>
    <row r="7" spans="1:38">
      <c r="A7" s="8">
        <v>4</v>
      </c>
      <c r="B7" s="1" t="s">
        <v>74</v>
      </c>
      <c r="C7" s="4" t="s">
        <v>75</v>
      </c>
      <c r="D7" s="4" t="s">
        <v>29</v>
      </c>
      <c r="E7" s="4">
        <v>155000</v>
      </c>
      <c r="F7" s="4">
        <v>0</v>
      </c>
      <c r="G7" s="4">
        <v>0</v>
      </c>
      <c r="H7" s="4">
        <v>0</v>
      </c>
      <c r="I7" s="10">
        <v>0</v>
      </c>
      <c r="J7" s="9">
        <f t="shared" si="0"/>
        <v>155000</v>
      </c>
    </row>
    <row r="8" spans="1:38">
      <c r="A8" s="8">
        <v>5</v>
      </c>
      <c r="B8" s="1" t="s">
        <v>7</v>
      </c>
      <c r="C8" s="4" t="s">
        <v>40</v>
      </c>
      <c r="D8" s="4" t="s">
        <v>35</v>
      </c>
      <c r="E8" s="4">
        <v>155000</v>
      </c>
      <c r="F8" s="4">
        <v>0</v>
      </c>
      <c r="G8" s="4">
        <v>290000</v>
      </c>
      <c r="H8" s="4">
        <v>0</v>
      </c>
      <c r="I8" s="10">
        <v>0</v>
      </c>
      <c r="J8" s="9">
        <f t="shared" si="0"/>
        <v>445000</v>
      </c>
    </row>
    <row r="9" spans="1:38">
      <c r="A9" s="8">
        <v>6</v>
      </c>
      <c r="B9" s="1" t="s">
        <v>9</v>
      </c>
      <c r="C9" s="4" t="s">
        <v>42</v>
      </c>
      <c r="D9" s="4" t="s">
        <v>18</v>
      </c>
      <c r="E9" s="4">
        <v>0</v>
      </c>
      <c r="F9" s="4">
        <v>0</v>
      </c>
      <c r="G9" s="4">
        <v>290000</v>
      </c>
      <c r="H9" s="4">
        <v>195000</v>
      </c>
      <c r="I9" s="10">
        <v>0</v>
      </c>
      <c r="J9" s="9">
        <f t="shared" si="0"/>
        <v>485000</v>
      </c>
    </row>
    <row r="10" spans="1:38" ht="31.5">
      <c r="A10" s="8">
        <v>7</v>
      </c>
      <c r="B10" s="1" t="s">
        <v>93</v>
      </c>
      <c r="C10" s="4" t="s">
        <v>94</v>
      </c>
      <c r="D10" s="4" t="s">
        <v>18</v>
      </c>
      <c r="E10" s="4">
        <v>155000</v>
      </c>
      <c r="F10" s="4">
        <v>0</v>
      </c>
      <c r="G10" s="4">
        <v>0</v>
      </c>
      <c r="H10" s="4">
        <v>0</v>
      </c>
      <c r="I10" s="10">
        <v>0</v>
      </c>
      <c r="J10" s="9">
        <f t="shared" si="0"/>
        <v>155000</v>
      </c>
    </row>
    <row r="11" spans="1:38">
      <c r="A11" s="8">
        <v>8</v>
      </c>
      <c r="B11" s="1" t="s">
        <v>110</v>
      </c>
      <c r="C11" s="4" t="s">
        <v>108</v>
      </c>
      <c r="D11" s="4" t="s">
        <v>108</v>
      </c>
      <c r="E11" s="4">
        <v>155000</v>
      </c>
      <c r="F11" s="4">
        <v>0</v>
      </c>
      <c r="G11" s="20">
        <v>0</v>
      </c>
      <c r="H11" s="20">
        <v>0</v>
      </c>
      <c r="I11" s="25">
        <v>0</v>
      </c>
      <c r="J11" s="9">
        <f t="shared" si="0"/>
        <v>155000</v>
      </c>
    </row>
    <row r="12" spans="1:38">
      <c r="A12" s="8">
        <v>9</v>
      </c>
      <c r="B12" s="40" t="s">
        <v>112</v>
      </c>
      <c r="C12" s="4" t="s">
        <v>108</v>
      </c>
      <c r="D12" s="4" t="s">
        <v>108</v>
      </c>
      <c r="E12" s="4">
        <v>0</v>
      </c>
      <c r="F12" s="76">
        <v>290000</v>
      </c>
      <c r="G12" s="20">
        <v>0</v>
      </c>
      <c r="H12" s="20">
        <v>0</v>
      </c>
      <c r="I12" s="25">
        <v>0</v>
      </c>
      <c r="J12" s="9">
        <f t="shared" si="0"/>
        <v>290000</v>
      </c>
    </row>
    <row r="13" spans="1:38">
      <c r="A13" s="8">
        <v>10</v>
      </c>
      <c r="B13" s="1" t="s">
        <v>115</v>
      </c>
      <c r="C13" s="4" t="s">
        <v>116</v>
      </c>
      <c r="D13" s="4" t="s">
        <v>108</v>
      </c>
      <c r="E13" s="4">
        <v>155000</v>
      </c>
      <c r="F13" s="4">
        <v>0</v>
      </c>
      <c r="G13" s="20">
        <v>290000</v>
      </c>
      <c r="H13" s="20">
        <v>195000</v>
      </c>
      <c r="I13" s="25">
        <v>0</v>
      </c>
      <c r="J13" s="9">
        <f t="shared" si="0"/>
        <v>640000</v>
      </c>
    </row>
    <row r="14" spans="1:38" ht="31.5">
      <c r="A14" s="8">
        <v>11</v>
      </c>
      <c r="B14" s="1" t="s">
        <v>125</v>
      </c>
      <c r="C14" s="4" t="s">
        <v>126</v>
      </c>
      <c r="D14" s="4" t="s">
        <v>20</v>
      </c>
      <c r="E14" s="4">
        <v>155000</v>
      </c>
      <c r="F14" s="4">
        <v>0</v>
      </c>
      <c r="G14" s="20">
        <v>0</v>
      </c>
      <c r="H14" s="20">
        <v>195000</v>
      </c>
      <c r="I14" s="25">
        <v>0</v>
      </c>
      <c r="J14" s="9">
        <f t="shared" si="0"/>
        <v>350000</v>
      </c>
    </row>
    <row r="15" spans="1:38" ht="31.5">
      <c r="A15" s="8">
        <v>12</v>
      </c>
      <c r="B15" s="1" t="s">
        <v>131</v>
      </c>
      <c r="C15" s="4" t="s">
        <v>132</v>
      </c>
      <c r="D15" s="4" t="s">
        <v>20</v>
      </c>
      <c r="E15" s="4">
        <v>155000</v>
      </c>
      <c r="F15" s="4">
        <v>0</v>
      </c>
      <c r="G15" s="20">
        <v>0</v>
      </c>
      <c r="H15" s="20">
        <v>0</v>
      </c>
      <c r="I15" s="25">
        <v>0</v>
      </c>
      <c r="J15" s="9">
        <f t="shared" si="0"/>
        <v>155000</v>
      </c>
    </row>
    <row r="16" spans="1:38">
      <c r="A16" s="8">
        <v>13</v>
      </c>
      <c r="B16" s="1" t="s">
        <v>52</v>
      </c>
      <c r="C16" s="4" t="s">
        <v>30</v>
      </c>
      <c r="D16" s="4" t="s">
        <v>20</v>
      </c>
      <c r="E16" s="4">
        <v>155000</v>
      </c>
      <c r="F16" s="4">
        <v>0</v>
      </c>
      <c r="G16" s="20">
        <v>0</v>
      </c>
      <c r="H16" s="20">
        <v>0</v>
      </c>
      <c r="I16" s="25">
        <v>0</v>
      </c>
      <c r="J16" s="9">
        <f t="shared" si="0"/>
        <v>155000</v>
      </c>
    </row>
    <row r="17" spans="1:10" ht="31.5">
      <c r="A17" s="8">
        <v>14</v>
      </c>
      <c r="B17" s="1" t="s">
        <v>133</v>
      </c>
      <c r="C17" s="4" t="s">
        <v>134</v>
      </c>
      <c r="D17" s="4" t="s">
        <v>20</v>
      </c>
      <c r="E17" s="4">
        <v>155000</v>
      </c>
      <c r="F17" s="4">
        <v>0</v>
      </c>
      <c r="G17" s="20">
        <v>290000</v>
      </c>
      <c r="H17" s="20">
        <v>195000</v>
      </c>
      <c r="I17" s="25">
        <v>0</v>
      </c>
      <c r="J17" s="9">
        <f t="shared" si="0"/>
        <v>640000</v>
      </c>
    </row>
    <row r="18" spans="1:10" ht="47.25">
      <c r="A18" s="8">
        <v>15</v>
      </c>
      <c r="B18" s="1" t="s">
        <v>135</v>
      </c>
      <c r="C18" s="4" t="s">
        <v>124</v>
      </c>
      <c r="D18" s="4" t="s">
        <v>20</v>
      </c>
      <c r="E18" s="4">
        <v>0</v>
      </c>
      <c r="F18" s="4">
        <v>0</v>
      </c>
      <c r="G18" s="20">
        <v>0</v>
      </c>
      <c r="H18" s="20">
        <v>195000</v>
      </c>
      <c r="I18" s="25">
        <v>0</v>
      </c>
      <c r="J18" s="9">
        <f t="shared" si="0"/>
        <v>195000</v>
      </c>
    </row>
    <row r="19" spans="1:10">
      <c r="A19" s="8">
        <v>16</v>
      </c>
      <c r="B19" s="1" t="s">
        <v>138</v>
      </c>
      <c r="C19" s="12" t="s">
        <v>139</v>
      </c>
      <c r="D19" s="4" t="s">
        <v>19</v>
      </c>
      <c r="E19" s="4">
        <v>155000</v>
      </c>
      <c r="F19" s="76">
        <v>290000</v>
      </c>
      <c r="G19" s="20">
        <v>290000</v>
      </c>
      <c r="H19" s="20">
        <v>195000</v>
      </c>
      <c r="I19" s="25">
        <v>0</v>
      </c>
      <c r="J19" s="9">
        <f t="shared" si="0"/>
        <v>930000</v>
      </c>
    </row>
    <row r="20" spans="1:10">
      <c r="A20" s="8">
        <v>17</v>
      </c>
      <c r="B20" s="1" t="s">
        <v>151</v>
      </c>
      <c r="C20" s="4" t="s">
        <v>152</v>
      </c>
      <c r="D20" s="4" t="s">
        <v>153</v>
      </c>
      <c r="E20" s="4">
        <v>155000</v>
      </c>
      <c r="F20" s="4">
        <v>0</v>
      </c>
      <c r="G20" s="20">
        <v>0</v>
      </c>
      <c r="H20" s="20">
        <v>195000</v>
      </c>
      <c r="I20" s="25">
        <v>0</v>
      </c>
      <c r="J20" s="9">
        <f t="shared" si="0"/>
        <v>350000</v>
      </c>
    </row>
    <row r="21" spans="1:10" ht="31.5">
      <c r="A21" s="8">
        <v>18</v>
      </c>
      <c r="B21" s="1" t="s">
        <v>154</v>
      </c>
      <c r="C21" s="4" t="s">
        <v>155</v>
      </c>
      <c r="D21" s="4" t="s">
        <v>153</v>
      </c>
      <c r="E21" s="4">
        <v>155000</v>
      </c>
      <c r="F21" s="4">
        <v>0</v>
      </c>
      <c r="G21" s="20">
        <v>0</v>
      </c>
      <c r="H21" s="20">
        <v>195000</v>
      </c>
      <c r="I21" s="25">
        <v>0</v>
      </c>
      <c r="J21" s="9">
        <f t="shared" si="0"/>
        <v>350000</v>
      </c>
    </row>
    <row r="22" spans="1:10">
      <c r="A22" s="8">
        <v>19</v>
      </c>
      <c r="B22" s="1" t="s">
        <v>178</v>
      </c>
      <c r="C22" s="4" t="s">
        <v>179</v>
      </c>
      <c r="D22" s="4" t="s">
        <v>17</v>
      </c>
      <c r="E22" s="4">
        <v>155000</v>
      </c>
      <c r="F22" s="77">
        <v>290000</v>
      </c>
      <c r="G22" s="20">
        <v>0</v>
      </c>
      <c r="H22" s="20">
        <v>195000</v>
      </c>
      <c r="I22" s="25">
        <v>0</v>
      </c>
      <c r="J22" s="9">
        <f t="shared" si="0"/>
        <v>640000</v>
      </c>
    </row>
    <row r="23" spans="1:10" ht="31.5">
      <c r="A23" s="8">
        <v>20</v>
      </c>
      <c r="B23" s="1" t="s">
        <v>191</v>
      </c>
      <c r="C23" s="4" t="s">
        <v>185</v>
      </c>
      <c r="D23" s="4" t="s">
        <v>17</v>
      </c>
      <c r="E23" s="4">
        <v>155000</v>
      </c>
      <c r="F23" s="4">
        <v>0</v>
      </c>
      <c r="G23" s="20">
        <v>0</v>
      </c>
      <c r="H23" s="20">
        <v>195000</v>
      </c>
      <c r="I23" s="25">
        <v>0</v>
      </c>
      <c r="J23" s="9">
        <f t="shared" si="0"/>
        <v>350000</v>
      </c>
    </row>
    <row r="24" spans="1:10">
      <c r="A24" s="8">
        <v>21</v>
      </c>
      <c r="B24" s="1" t="s">
        <v>202</v>
      </c>
      <c r="C24" s="4" t="s">
        <v>203</v>
      </c>
      <c r="D24" s="4" t="s">
        <v>17</v>
      </c>
      <c r="E24" s="4">
        <v>155000</v>
      </c>
      <c r="F24" s="76">
        <v>0</v>
      </c>
      <c r="G24" s="20">
        <v>0</v>
      </c>
      <c r="H24" s="20">
        <v>0</v>
      </c>
      <c r="I24" s="25">
        <v>0</v>
      </c>
      <c r="J24" s="9">
        <f t="shared" si="0"/>
        <v>155000</v>
      </c>
    </row>
    <row r="25" spans="1:10">
      <c r="A25" s="8">
        <v>22</v>
      </c>
      <c r="B25" s="1" t="s">
        <v>5</v>
      </c>
      <c r="C25" s="4" t="s">
        <v>36</v>
      </c>
      <c r="D25" s="4" t="s">
        <v>17</v>
      </c>
      <c r="E25" s="4">
        <v>155000</v>
      </c>
      <c r="F25" s="4">
        <v>0</v>
      </c>
      <c r="G25" s="20">
        <v>0</v>
      </c>
      <c r="H25" s="20">
        <v>195000</v>
      </c>
      <c r="I25" s="25">
        <v>0</v>
      </c>
      <c r="J25" s="9">
        <f t="shared" si="0"/>
        <v>350000</v>
      </c>
    </row>
    <row r="26" spans="1:10" ht="31.5">
      <c r="A26" s="8">
        <v>23</v>
      </c>
      <c r="B26" s="1" t="s">
        <v>210</v>
      </c>
      <c r="C26" s="4" t="s">
        <v>211</v>
      </c>
      <c r="D26" s="4" t="s">
        <v>17</v>
      </c>
      <c r="E26" s="4">
        <v>155000</v>
      </c>
      <c r="F26" s="76">
        <v>0</v>
      </c>
      <c r="G26" s="20">
        <v>0</v>
      </c>
      <c r="H26" s="20">
        <v>0</v>
      </c>
      <c r="I26" s="25">
        <v>0</v>
      </c>
      <c r="J26" s="9">
        <f t="shared" si="0"/>
        <v>155000</v>
      </c>
    </row>
    <row r="27" spans="1:10" ht="31.5">
      <c r="A27" s="8">
        <v>24</v>
      </c>
      <c r="B27" s="1" t="s">
        <v>227</v>
      </c>
      <c r="C27" s="5" t="s">
        <v>228</v>
      </c>
      <c r="D27" s="4" t="s">
        <v>226</v>
      </c>
      <c r="E27" s="4">
        <v>0</v>
      </c>
      <c r="F27" s="4">
        <v>0</v>
      </c>
      <c r="G27" s="20">
        <v>290000</v>
      </c>
      <c r="H27" s="20">
        <v>0</v>
      </c>
      <c r="I27" s="25">
        <v>0</v>
      </c>
      <c r="J27" s="9">
        <f t="shared" si="0"/>
        <v>290000</v>
      </c>
    </row>
    <row r="28" spans="1:10" ht="31.5">
      <c r="A28" s="8">
        <v>25</v>
      </c>
      <c r="B28" s="1" t="s">
        <v>232</v>
      </c>
      <c r="C28" s="4" t="s">
        <v>233</v>
      </c>
      <c r="D28" s="4" t="s">
        <v>226</v>
      </c>
      <c r="E28" s="4">
        <v>155000</v>
      </c>
      <c r="F28" s="4">
        <v>0</v>
      </c>
      <c r="G28" s="20">
        <v>0</v>
      </c>
      <c r="H28" s="20">
        <v>195000</v>
      </c>
      <c r="I28" s="25">
        <v>0</v>
      </c>
      <c r="J28" s="9">
        <f t="shared" si="0"/>
        <v>350000</v>
      </c>
    </row>
    <row r="29" spans="1:10" ht="31.5">
      <c r="A29" s="8">
        <v>26</v>
      </c>
      <c r="B29" s="1" t="s">
        <v>248</v>
      </c>
      <c r="C29" s="46" t="s">
        <v>249</v>
      </c>
      <c r="D29" s="4" t="s">
        <v>244</v>
      </c>
      <c r="E29" s="4">
        <v>0</v>
      </c>
      <c r="F29" s="76">
        <v>290000</v>
      </c>
      <c r="G29" s="20">
        <v>290000</v>
      </c>
      <c r="H29" s="20">
        <v>195000</v>
      </c>
      <c r="I29" s="25">
        <v>0</v>
      </c>
      <c r="J29" s="9">
        <f t="shared" si="0"/>
        <v>775000</v>
      </c>
    </row>
    <row r="30" spans="1:10" ht="47.25">
      <c r="A30" s="8">
        <v>27</v>
      </c>
      <c r="B30" s="1" t="s">
        <v>252</v>
      </c>
      <c r="C30" s="4" t="s">
        <v>253</v>
      </c>
      <c r="D30" s="4" t="s">
        <v>25</v>
      </c>
      <c r="E30" s="4">
        <v>155000</v>
      </c>
      <c r="F30" s="76">
        <v>290000</v>
      </c>
      <c r="G30" s="20">
        <v>0</v>
      </c>
      <c r="H30" s="20">
        <v>0</v>
      </c>
      <c r="I30" s="25">
        <v>0</v>
      </c>
      <c r="J30" s="9">
        <f t="shared" si="0"/>
        <v>445000</v>
      </c>
    </row>
    <row r="31" spans="1:10">
      <c r="A31" s="8">
        <v>28</v>
      </c>
      <c r="B31" s="1" t="s">
        <v>254</v>
      </c>
      <c r="C31" s="41" t="s">
        <v>255</v>
      </c>
      <c r="D31" s="4" t="s">
        <v>25</v>
      </c>
      <c r="E31" s="4">
        <v>0</v>
      </c>
      <c r="F31" s="76">
        <v>290000</v>
      </c>
      <c r="G31" s="20">
        <v>0</v>
      </c>
      <c r="H31" s="20">
        <v>0</v>
      </c>
      <c r="I31" s="25">
        <v>0</v>
      </c>
      <c r="J31" s="9">
        <f t="shared" si="0"/>
        <v>290000</v>
      </c>
    </row>
    <row r="32" spans="1:10" ht="31.5">
      <c r="A32" s="8">
        <v>29</v>
      </c>
      <c r="B32" s="1" t="s">
        <v>259</v>
      </c>
      <c r="C32" s="4" t="s">
        <v>260</v>
      </c>
      <c r="D32" s="4" t="s">
        <v>258</v>
      </c>
      <c r="E32" s="4">
        <v>155000</v>
      </c>
      <c r="F32" s="4">
        <v>0</v>
      </c>
      <c r="G32" s="20">
        <v>0</v>
      </c>
      <c r="H32" s="20">
        <v>0</v>
      </c>
      <c r="I32" s="25">
        <v>0</v>
      </c>
      <c r="J32" s="9">
        <f t="shared" si="0"/>
        <v>155000</v>
      </c>
    </row>
    <row r="33" spans="1:10" ht="31.5">
      <c r="A33" s="8">
        <v>30</v>
      </c>
      <c r="B33" s="1" t="s">
        <v>283</v>
      </c>
      <c r="C33" s="4" t="s">
        <v>284</v>
      </c>
      <c r="D33" s="4" t="s">
        <v>275</v>
      </c>
      <c r="E33" s="4">
        <v>155000</v>
      </c>
      <c r="F33" s="4">
        <v>0</v>
      </c>
      <c r="G33" s="20">
        <v>0</v>
      </c>
      <c r="H33" s="20">
        <v>0</v>
      </c>
      <c r="I33" s="25">
        <v>0</v>
      </c>
      <c r="J33" s="9">
        <f t="shared" si="0"/>
        <v>155000</v>
      </c>
    </row>
    <row r="34" spans="1:10" ht="31.5">
      <c r="A34" s="8">
        <v>31</v>
      </c>
      <c r="B34" s="40" t="s">
        <v>295</v>
      </c>
      <c r="C34" s="41" t="s">
        <v>296</v>
      </c>
      <c r="D34" s="4" t="s">
        <v>21</v>
      </c>
      <c r="E34" s="4">
        <v>0</v>
      </c>
      <c r="F34" s="76">
        <v>290000</v>
      </c>
      <c r="G34" s="20">
        <v>290000</v>
      </c>
      <c r="H34" s="20">
        <v>0</v>
      </c>
      <c r="I34" s="25">
        <v>0</v>
      </c>
      <c r="J34" s="9">
        <f t="shared" si="0"/>
        <v>580000</v>
      </c>
    </row>
    <row r="35" spans="1:10" ht="31.5">
      <c r="A35" s="8">
        <v>32</v>
      </c>
      <c r="B35" s="1" t="s">
        <v>301</v>
      </c>
      <c r="C35" s="46" t="s">
        <v>302</v>
      </c>
      <c r="D35" s="4" t="s">
        <v>32</v>
      </c>
      <c r="E35" s="4">
        <v>0</v>
      </c>
      <c r="F35" s="76">
        <v>0</v>
      </c>
      <c r="G35" s="20">
        <v>0</v>
      </c>
      <c r="H35" s="20">
        <v>195000</v>
      </c>
      <c r="I35" s="25">
        <v>0</v>
      </c>
      <c r="J35" s="9">
        <f t="shared" si="0"/>
        <v>195000</v>
      </c>
    </row>
    <row r="36" spans="1:10" ht="18.75">
      <c r="A36" s="8">
        <v>33</v>
      </c>
      <c r="B36" s="1" t="s">
        <v>306</v>
      </c>
      <c r="C36" s="91" t="s">
        <v>304</v>
      </c>
      <c r="D36" s="4" t="s">
        <v>32</v>
      </c>
      <c r="E36" s="4">
        <v>0</v>
      </c>
      <c r="F36" s="76">
        <v>290000</v>
      </c>
      <c r="G36" s="20">
        <v>0</v>
      </c>
      <c r="H36" s="20">
        <v>0</v>
      </c>
      <c r="I36" s="25">
        <v>0</v>
      </c>
      <c r="J36" s="9">
        <f t="shared" ref="J36:J52" si="1">E36+F36+G36+H36+I36</f>
        <v>290000</v>
      </c>
    </row>
    <row r="37" spans="1:10">
      <c r="A37" s="8">
        <v>34</v>
      </c>
      <c r="B37" s="1" t="s">
        <v>308</v>
      </c>
      <c r="C37" s="61" t="s">
        <v>309</v>
      </c>
      <c r="D37" s="4" t="s">
        <v>24</v>
      </c>
      <c r="E37" s="4">
        <v>0</v>
      </c>
      <c r="F37" s="4">
        <v>0</v>
      </c>
      <c r="G37" s="20">
        <v>0</v>
      </c>
      <c r="H37" s="20">
        <v>195000</v>
      </c>
      <c r="I37" s="25">
        <v>0</v>
      </c>
      <c r="J37" s="9">
        <f t="shared" si="1"/>
        <v>195000</v>
      </c>
    </row>
    <row r="38" spans="1:10">
      <c r="A38" s="8">
        <v>35</v>
      </c>
      <c r="B38" s="1" t="s">
        <v>310</v>
      </c>
      <c r="C38" s="12" t="s">
        <v>448</v>
      </c>
      <c r="D38" s="4" t="s">
        <v>24</v>
      </c>
      <c r="E38" s="4">
        <v>155000</v>
      </c>
      <c r="F38" s="4">
        <v>0</v>
      </c>
      <c r="G38" s="20">
        <v>0</v>
      </c>
      <c r="H38" s="20">
        <v>0</v>
      </c>
      <c r="I38" s="25">
        <v>0</v>
      </c>
      <c r="J38" s="9">
        <f t="shared" si="1"/>
        <v>155000</v>
      </c>
    </row>
    <row r="39" spans="1:10" ht="47.25">
      <c r="A39" s="8">
        <v>36</v>
      </c>
      <c r="B39" s="1" t="s">
        <v>322</v>
      </c>
      <c r="C39" s="12" t="s">
        <v>323</v>
      </c>
      <c r="D39" s="4" t="s">
        <v>24</v>
      </c>
      <c r="E39" s="4">
        <v>155000</v>
      </c>
      <c r="F39" s="4">
        <v>0</v>
      </c>
      <c r="G39" s="20">
        <v>290000</v>
      </c>
      <c r="H39" s="20">
        <v>195000</v>
      </c>
      <c r="I39" s="25">
        <v>0</v>
      </c>
      <c r="J39" s="9">
        <f t="shared" si="1"/>
        <v>640000</v>
      </c>
    </row>
    <row r="40" spans="1:10">
      <c r="A40" s="8">
        <v>37</v>
      </c>
      <c r="B40" s="1" t="s">
        <v>324</v>
      </c>
      <c r="C40" s="12" t="s">
        <v>26</v>
      </c>
      <c r="D40" s="4" t="s">
        <v>24</v>
      </c>
      <c r="E40" s="4">
        <v>0</v>
      </c>
      <c r="F40" s="4">
        <v>0</v>
      </c>
      <c r="G40" s="20">
        <v>290000</v>
      </c>
      <c r="H40" s="20">
        <v>0</v>
      </c>
      <c r="I40" s="25">
        <v>0</v>
      </c>
      <c r="J40" s="9">
        <f t="shared" si="1"/>
        <v>290000</v>
      </c>
    </row>
    <row r="41" spans="1:10">
      <c r="A41" s="8">
        <v>38</v>
      </c>
      <c r="B41" s="1" t="s">
        <v>325</v>
      </c>
      <c r="C41" s="61" t="s">
        <v>326</v>
      </c>
      <c r="D41" s="4" t="s">
        <v>24</v>
      </c>
      <c r="E41" s="4">
        <v>0</v>
      </c>
      <c r="F41" s="4">
        <v>0</v>
      </c>
      <c r="G41" s="20">
        <v>290000</v>
      </c>
      <c r="H41" s="20">
        <v>195000</v>
      </c>
      <c r="I41" s="25">
        <v>0</v>
      </c>
      <c r="J41" s="9">
        <f t="shared" si="1"/>
        <v>485000</v>
      </c>
    </row>
    <row r="42" spans="1:10">
      <c r="A42" s="8">
        <v>39</v>
      </c>
      <c r="B42" s="1" t="s">
        <v>329</v>
      </c>
      <c r="C42" s="12" t="s">
        <v>330</v>
      </c>
      <c r="D42" s="4" t="s">
        <v>24</v>
      </c>
      <c r="E42" s="4">
        <v>155000</v>
      </c>
      <c r="F42" s="76">
        <v>0</v>
      </c>
      <c r="G42" s="20">
        <v>0</v>
      </c>
      <c r="H42" s="20">
        <v>195000</v>
      </c>
      <c r="I42" s="25">
        <v>0</v>
      </c>
      <c r="J42" s="9">
        <f t="shared" si="1"/>
        <v>350000</v>
      </c>
    </row>
    <row r="43" spans="1:10">
      <c r="A43" s="8">
        <v>40</v>
      </c>
      <c r="B43" s="1" t="s">
        <v>336</v>
      </c>
      <c r="C43" s="4" t="s">
        <v>26</v>
      </c>
      <c r="D43" s="4" t="s">
        <v>24</v>
      </c>
      <c r="E43" s="4">
        <v>155000</v>
      </c>
      <c r="F43" s="4">
        <v>0</v>
      </c>
      <c r="G43" s="20">
        <v>0</v>
      </c>
      <c r="H43" s="20">
        <v>195000</v>
      </c>
      <c r="I43" s="25">
        <v>0</v>
      </c>
      <c r="J43" s="9">
        <f t="shared" si="1"/>
        <v>350000</v>
      </c>
    </row>
    <row r="44" spans="1:10" ht="31.5">
      <c r="A44" s="8">
        <v>41</v>
      </c>
      <c r="B44" s="1" t="s">
        <v>471</v>
      </c>
      <c r="C44" s="4" t="s">
        <v>26</v>
      </c>
      <c r="D44" s="4" t="s">
        <v>24</v>
      </c>
      <c r="E44" s="4">
        <v>155000</v>
      </c>
      <c r="F44" s="4">
        <v>0</v>
      </c>
      <c r="G44" s="20">
        <v>0</v>
      </c>
      <c r="H44" s="20">
        <v>195000</v>
      </c>
      <c r="I44" s="25">
        <v>0</v>
      </c>
      <c r="J44" s="9">
        <f t="shared" si="1"/>
        <v>350000</v>
      </c>
    </row>
    <row r="45" spans="1:10">
      <c r="A45" s="8">
        <v>42</v>
      </c>
      <c r="B45" s="1" t="s">
        <v>340</v>
      </c>
      <c r="C45" s="4" t="s">
        <v>341</v>
      </c>
      <c r="D45" s="4" t="s">
        <v>24</v>
      </c>
      <c r="E45" s="4">
        <v>155000</v>
      </c>
      <c r="F45" s="76">
        <v>0</v>
      </c>
      <c r="G45" s="20">
        <v>0</v>
      </c>
      <c r="H45" s="20">
        <v>195000</v>
      </c>
      <c r="I45" s="25">
        <v>0</v>
      </c>
      <c r="J45" s="9">
        <f t="shared" si="1"/>
        <v>350000</v>
      </c>
    </row>
    <row r="46" spans="1:10">
      <c r="A46" s="8">
        <v>43</v>
      </c>
      <c r="B46" s="1" t="s">
        <v>346</v>
      </c>
      <c r="C46" s="4" t="s">
        <v>347</v>
      </c>
      <c r="D46" s="4" t="s">
        <v>24</v>
      </c>
      <c r="E46" s="4">
        <v>155000</v>
      </c>
      <c r="F46" s="76">
        <v>0</v>
      </c>
      <c r="G46" s="20">
        <v>290000</v>
      </c>
      <c r="H46" s="20">
        <v>0</v>
      </c>
      <c r="I46" s="25">
        <v>0</v>
      </c>
      <c r="J46" s="9">
        <f t="shared" si="1"/>
        <v>445000</v>
      </c>
    </row>
    <row r="47" spans="1:10" ht="31.5">
      <c r="A47" s="8">
        <v>44</v>
      </c>
      <c r="B47" s="1" t="s">
        <v>353</v>
      </c>
      <c r="C47" s="46" t="s">
        <v>354</v>
      </c>
      <c r="D47" s="4" t="s">
        <v>24</v>
      </c>
      <c r="E47" s="4">
        <v>0</v>
      </c>
      <c r="F47" s="4">
        <v>0</v>
      </c>
      <c r="G47" s="20">
        <v>290000</v>
      </c>
      <c r="H47" s="20">
        <v>195000</v>
      </c>
      <c r="I47" s="25">
        <v>0</v>
      </c>
      <c r="J47" s="9">
        <f t="shared" si="1"/>
        <v>485000</v>
      </c>
    </row>
    <row r="48" spans="1:10" ht="31.5">
      <c r="A48" s="8">
        <v>45</v>
      </c>
      <c r="B48" s="1" t="s">
        <v>355</v>
      </c>
      <c r="C48" s="4" t="s">
        <v>335</v>
      </c>
      <c r="D48" s="4" t="s">
        <v>24</v>
      </c>
      <c r="E48" s="4">
        <v>155000</v>
      </c>
      <c r="F48" s="76">
        <v>290000</v>
      </c>
      <c r="G48" s="20">
        <v>290000</v>
      </c>
      <c r="H48" s="20">
        <v>195000</v>
      </c>
      <c r="I48" s="25">
        <v>0</v>
      </c>
      <c r="J48" s="9">
        <f t="shared" si="1"/>
        <v>930000</v>
      </c>
    </row>
    <row r="49" spans="1:10" ht="31.5">
      <c r="A49" s="8">
        <v>46</v>
      </c>
      <c r="B49" s="1" t="s">
        <v>357</v>
      </c>
      <c r="C49" s="12" t="s">
        <v>358</v>
      </c>
      <c r="D49" s="4" t="s">
        <v>24</v>
      </c>
      <c r="E49" s="4">
        <v>155000</v>
      </c>
      <c r="F49" s="76">
        <v>290000</v>
      </c>
      <c r="G49" s="20">
        <v>0</v>
      </c>
      <c r="H49" s="20">
        <v>195000</v>
      </c>
      <c r="I49" s="25">
        <v>0</v>
      </c>
      <c r="J49" s="9">
        <f t="shared" si="1"/>
        <v>640000</v>
      </c>
    </row>
    <row r="50" spans="1:10" ht="31.5">
      <c r="A50" s="8">
        <v>47</v>
      </c>
      <c r="B50" s="1" t="s">
        <v>364</v>
      </c>
      <c r="C50" s="4" t="s">
        <v>365</v>
      </c>
      <c r="D50" s="4" t="s">
        <v>23</v>
      </c>
      <c r="E50" s="4">
        <v>0</v>
      </c>
      <c r="F50" s="4">
        <v>0</v>
      </c>
      <c r="G50" s="20">
        <v>0</v>
      </c>
      <c r="H50" s="20">
        <v>195000</v>
      </c>
      <c r="I50" s="25">
        <v>0</v>
      </c>
      <c r="J50" s="9">
        <f t="shared" si="1"/>
        <v>195000</v>
      </c>
    </row>
    <row r="51" spans="1:10">
      <c r="A51" s="8">
        <v>48</v>
      </c>
      <c r="B51" s="40" t="s">
        <v>379</v>
      </c>
      <c r="C51" s="41" t="s">
        <v>380</v>
      </c>
      <c r="D51" s="4" t="s">
        <v>23</v>
      </c>
      <c r="E51" s="4">
        <v>0</v>
      </c>
      <c r="F51" s="76">
        <v>290000</v>
      </c>
      <c r="G51" s="20">
        <v>0</v>
      </c>
      <c r="H51" s="20">
        <v>0</v>
      </c>
      <c r="I51" s="25">
        <v>0</v>
      </c>
      <c r="J51" s="9">
        <f t="shared" si="1"/>
        <v>290000</v>
      </c>
    </row>
    <row r="52" spans="1:10" ht="31.5">
      <c r="A52" s="8">
        <v>49</v>
      </c>
      <c r="B52" s="1" t="s">
        <v>383</v>
      </c>
      <c r="C52" s="4" t="s">
        <v>380</v>
      </c>
      <c r="D52" s="4" t="s">
        <v>23</v>
      </c>
      <c r="E52" s="4">
        <v>155000</v>
      </c>
      <c r="F52" s="4">
        <v>0</v>
      </c>
      <c r="G52" s="20">
        <v>0</v>
      </c>
      <c r="H52" s="20">
        <v>0</v>
      </c>
      <c r="I52" s="25">
        <v>0</v>
      </c>
      <c r="J52" s="9">
        <f t="shared" si="1"/>
        <v>155000</v>
      </c>
    </row>
    <row r="53" spans="1:10" s="127" customFormat="1" ht="16.5" thickBot="1">
      <c r="A53" s="112"/>
      <c r="B53" s="113" t="s">
        <v>63</v>
      </c>
      <c r="C53" s="114"/>
      <c r="D53" s="114"/>
      <c r="E53" s="114">
        <f t="shared" ref="E53:J53" si="2">SUM(E4:E52)</f>
        <v>5115000</v>
      </c>
      <c r="F53" s="114">
        <f t="shared" si="2"/>
        <v>3480000</v>
      </c>
      <c r="G53" s="114">
        <f t="shared" si="2"/>
        <v>4060000</v>
      </c>
      <c r="H53" s="114">
        <f t="shared" si="2"/>
        <v>5265000</v>
      </c>
      <c r="I53" s="114">
        <f t="shared" si="2"/>
        <v>0</v>
      </c>
      <c r="J53" s="114">
        <f t="shared" si="2"/>
        <v>17920000</v>
      </c>
    </row>
    <row r="54" spans="1:10" ht="16.5" thickTop="1">
      <c r="A54" s="3"/>
      <c r="G54" s="75"/>
    </row>
    <row r="56" spans="1:10">
      <c r="A56" s="3"/>
    </row>
  </sheetData>
  <autoFilter ref="A3:BM53"/>
  <mergeCells count="3">
    <mergeCell ref="A1:J1"/>
    <mergeCell ref="E2:J2"/>
    <mergeCell ref="A2:D2"/>
  </mergeCells>
  <conditionalFormatting sqref="A3">
    <cfRule type="duplicateValues" dxfId="169" priority="34"/>
  </conditionalFormatting>
  <conditionalFormatting sqref="B54:D1048576 C53:D53 B33:B53 B3:D3 B4:B12 B14:B31">
    <cfRule type="duplicateValues" dxfId="168" priority="36"/>
  </conditionalFormatting>
  <conditionalFormatting sqref="B53:D1048576">
    <cfRule type="duplicateValues" dxfId="167" priority="55"/>
  </conditionalFormatting>
  <conditionalFormatting sqref="C53:D53">
    <cfRule type="duplicateValues" dxfId="166" priority="58"/>
  </conditionalFormatting>
  <conditionalFormatting sqref="B53:D53">
    <cfRule type="duplicateValues" dxfId="165" priority="59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RowHeight="15.75"/>
  <cols>
    <col min="1" max="1" width="6.140625" style="74" customWidth="1"/>
    <col min="2" max="2" width="21.140625" style="74" customWidth="1"/>
    <col min="3" max="3" width="41.42578125" style="17" customWidth="1"/>
    <col min="4" max="4" width="15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14" customWidth="1"/>
    <col min="10" max="12" width="13.140625" style="3" customWidth="1"/>
    <col min="13" max="13" width="10.5703125" style="14" customWidth="1"/>
    <col min="14" max="14" width="13" style="3" customWidth="1"/>
    <col min="15" max="16" width="10.7109375" style="3" customWidth="1"/>
    <col min="17" max="17" width="13.5703125" style="14" customWidth="1"/>
    <col min="18" max="18" width="10.7109375" style="3" customWidth="1"/>
    <col min="19" max="19" width="11" style="3" customWidth="1"/>
    <col min="20" max="20" width="10.7109375" style="3" customWidth="1"/>
    <col min="21" max="21" width="12.5703125" style="14" customWidth="1"/>
    <col min="22" max="24" width="10.7109375" style="3" customWidth="1"/>
    <col min="25" max="25" width="12.5703125" style="14" customWidth="1"/>
    <col min="26" max="26" width="10.7109375" style="3" customWidth="1"/>
    <col min="27" max="28" width="14.140625" style="3" customWidth="1"/>
    <col min="29" max="29" width="11.28515625" style="14" bestFit="1" customWidth="1"/>
    <col min="30" max="16384" width="9.140625" style="3"/>
  </cols>
  <sheetData>
    <row r="1" spans="1:29" s="6" customFormat="1" ht="23.25" customHeight="1">
      <c r="A1" s="181" t="s">
        <v>399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s="6" customFormat="1" ht="18.75">
      <c r="A2" s="28"/>
      <c r="B2" s="28"/>
      <c r="C2" s="18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92" t="s">
        <v>65</v>
      </c>
      <c r="AA2" s="192"/>
      <c r="AB2" s="192"/>
      <c r="AC2" s="192"/>
    </row>
    <row r="3" spans="1:29" s="7" customFormat="1" ht="50.25" customHeight="1">
      <c r="A3" s="184" t="s">
        <v>47</v>
      </c>
      <c r="B3" s="185" t="s">
        <v>53</v>
      </c>
      <c r="C3" s="188" t="s">
        <v>13</v>
      </c>
      <c r="D3" s="184" t="s">
        <v>46</v>
      </c>
      <c r="E3" s="184" t="s">
        <v>16</v>
      </c>
      <c r="F3" s="184" t="s">
        <v>388</v>
      </c>
      <c r="G3" s="184"/>
      <c r="H3" s="184"/>
      <c r="I3" s="184"/>
      <c r="J3" s="184" t="s">
        <v>54</v>
      </c>
      <c r="K3" s="184"/>
      <c r="L3" s="184"/>
      <c r="M3" s="184"/>
      <c r="N3" s="184" t="s">
        <v>55</v>
      </c>
      <c r="O3" s="184"/>
      <c r="P3" s="184"/>
      <c r="Q3" s="184"/>
      <c r="R3" s="184" t="s">
        <v>56</v>
      </c>
      <c r="S3" s="184"/>
      <c r="T3" s="184"/>
      <c r="U3" s="184"/>
      <c r="V3" s="184" t="s">
        <v>389</v>
      </c>
      <c r="W3" s="184"/>
      <c r="X3" s="184"/>
      <c r="Y3" s="184"/>
      <c r="Z3" s="184" t="s">
        <v>57</v>
      </c>
      <c r="AA3" s="184"/>
      <c r="AB3" s="184"/>
      <c r="AC3" s="184"/>
    </row>
    <row r="4" spans="1:29" s="7" customFormat="1" ht="34.5" customHeight="1">
      <c r="A4" s="184"/>
      <c r="B4" s="187"/>
      <c r="C4" s="188"/>
      <c r="D4" s="184"/>
      <c r="E4" s="184"/>
      <c r="F4" s="82" t="s">
        <v>48</v>
      </c>
      <c r="G4" s="82" t="s">
        <v>49</v>
      </c>
      <c r="H4" s="30" t="s">
        <v>50</v>
      </c>
      <c r="I4" s="82" t="s">
        <v>51</v>
      </c>
      <c r="J4" s="82" t="s">
        <v>48</v>
      </c>
      <c r="K4" s="82" t="s">
        <v>49</v>
      </c>
      <c r="L4" s="82" t="s">
        <v>50</v>
      </c>
      <c r="M4" s="82" t="s">
        <v>51</v>
      </c>
      <c r="N4" s="82" t="s">
        <v>48</v>
      </c>
      <c r="O4" s="82" t="s">
        <v>49</v>
      </c>
      <c r="P4" s="82" t="s">
        <v>50</v>
      </c>
      <c r="Q4" s="82" t="s">
        <v>51</v>
      </c>
      <c r="R4" s="82" t="s">
        <v>48</v>
      </c>
      <c r="S4" s="82" t="s">
        <v>49</v>
      </c>
      <c r="T4" s="82" t="s">
        <v>50</v>
      </c>
      <c r="U4" s="82" t="s">
        <v>51</v>
      </c>
      <c r="V4" s="82" t="s">
        <v>48</v>
      </c>
      <c r="W4" s="82" t="s">
        <v>49</v>
      </c>
      <c r="X4" s="82" t="s">
        <v>50</v>
      </c>
      <c r="Y4" s="82" t="s">
        <v>51</v>
      </c>
      <c r="Z4" s="82" t="s">
        <v>48</v>
      </c>
      <c r="AA4" s="82" t="s">
        <v>49</v>
      </c>
      <c r="AB4" s="82" t="s">
        <v>50</v>
      </c>
      <c r="AC4" s="82" t="s">
        <v>51</v>
      </c>
    </row>
    <row r="5" spans="1:29">
      <c r="A5" s="8">
        <v>1</v>
      </c>
      <c r="B5" s="185" t="s">
        <v>29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9">
        <f t="shared" ref="I5:I15" si="0">SUM(F5:H5)</f>
        <v>1045500</v>
      </c>
      <c r="J5" s="4"/>
      <c r="K5" s="4"/>
      <c r="L5" s="4"/>
      <c r="M5" s="9">
        <f t="shared" ref="M5:M15" si="1">SUM(J5:L5)</f>
        <v>0</v>
      </c>
      <c r="N5" s="4"/>
      <c r="O5" s="4"/>
      <c r="P5" s="4"/>
      <c r="Q5" s="9">
        <f t="shared" ref="Q5:Q15" si="2">SUM(N5:P5)</f>
        <v>0</v>
      </c>
      <c r="R5" s="4"/>
      <c r="S5" s="4">
        <v>383150</v>
      </c>
      <c r="T5" s="10">
        <f>805550+120000</f>
        <v>925550</v>
      </c>
      <c r="U5" s="21">
        <f t="shared" ref="U5:U15" si="3">SUM(R5:T5)</f>
        <v>1308700</v>
      </c>
      <c r="V5" s="10"/>
      <c r="W5" s="10"/>
      <c r="X5" s="10"/>
      <c r="Y5" s="21">
        <f t="shared" ref="Y5:Y15" si="4">SUM(V5:X5)</f>
        <v>0</v>
      </c>
      <c r="Z5" s="4">
        <f t="shared" ref="Z5:Z15" si="5">F5+J5+N5+R5+V5</f>
        <v>0</v>
      </c>
      <c r="AA5" s="4">
        <f t="shared" ref="AA5:AA15" si="6">G5+K5+O5+S5+W5</f>
        <v>831650</v>
      </c>
      <c r="AB5" s="4">
        <f t="shared" ref="AB5:AB15" si="7">H5+L5+P5+T5+X5</f>
        <v>1522550</v>
      </c>
      <c r="AC5" s="9">
        <f t="shared" ref="AC5:AC15" si="8">SUM(Z5:AB5)</f>
        <v>2354200</v>
      </c>
    </row>
    <row r="6" spans="1:29">
      <c r="A6" s="8">
        <v>2</v>
      </c>
      <c r="B6" s="186"/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9">
        <f t="shared" si="0"/>
        <v>1356065</v>
      </c>
      <c r="J6" s="4"/>
      <c r="K6" s="4"/>
      <c r="L6" s="4"/>
      <c r="M6" s="9">
        <f t="shared" si="1"/>
        <v>0</v>
      </c>
      <c r="N6" s="4"/>
      <c r="O6" s="4"/>
      <c r="P6" s="4"/>
      <c r="Q6" s="9">
        <f t="shared" si="2"/>
        <v>0</v>
      </c>
      <c r="R6" s="4">
        <v>195000</v>
      </c>
      <c r="S6" s="10">
        <v>1237100</v>
      </c>
      <c r="T6" s="10">
        <v>145500</v>
      </c>
      <c r="U6" s="21">
        <f t="shared" si="3"/>
        <v>1577600</v>
      </c>
      <c r="V6" s="10"/>
      <c r="W6" s="10"/>
      <c r="X6" s="10"/>
      <c r="Y6" s="21">
        <f t="shared" si="4"/>
        <v>0</v>
      </c>
      <c r="Z6" s="4">
        <f t="shared" si="5"/>
        <v>350000</v>
      </c>
      <c r="AA6" s="4">
        <f t="shared" si="6"/>
        <v>2218165</v>
      </c>
      <c r="AB6" s="4">
        <f t="shared" si="7"/>
        <v>365500</v>
      </c>
      <c r="AC6" s="9">
        <f t="shared" si="8"/>
        <v>2933665</v>
      </c>
    </row>
    <row r="7" spans="1:29">
      <c r="A7" s="8">
        <v>3</v>
      </c>
      <c r="B7" s="186"/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9">
        <f t="shared" si="0"/>
        <v>801345</v>
      </c>
      <c r="J7" s="4"/>
      <c r="K7" s="4"/>
      <c r="L7" s="4"/>
      <c r="M7" s="9">
        <f t="shared" si="1"/>
        <v>0</v>
      </c>
      <c r="N7" s="4"/>
      <c r="O7" s="4"/>
      <c r="P7" s="4"/>
      <c r="Q7" s="9">
        <f t="shared" si="2"/>
        <v>0</v>
      </c>
      <c r="R7" s="4">
        <v>195000</v>
      </c>
      <c r="S7" s="10">
        <v>1233000</v>
      </c>
      <c r="T7" s="10">
        <f>669300+90000</f>
        <v>759300</v>
      </c>
      <c r="U7" s="21">
        <f t="shared" si="3"/>
        <v>2187300</v>
      </c>
      <c r="V7" s="10"/>
      <c r="W7" s="10"/>
      <c r="X7" s="10"/>
      <c r="Y7" s="21">
        <f t="shared" si="4"/>
        <v>0</v>
      </c>
      <c r="Z7" s="4">
        <f t="shared" si="5"/>
        <v>350000</v>
      </c>
      <c r="AA7" s="4">
        <f t="shared" si="6"/>
        <v>1549345</v>
      </c>
      <c r="AB7" s="4">
        <f t="shared" si="7"/>
        <v>1089300</v>
      </c>
      <c r="AC7" s="9">
        <f t="shared" si="8"/>
        <v>2988645</v>
      </c>
    </row>
    <row r="8" spans="1:29" ht="31.5">
      <c r="A8" s="8">
        <v>4</v>
      </c>
      <c r="B8" s="186"/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9">
        <f t="shared" si="0"/>
        <v>468500</v>
      </c>
      <c r="J8" s="4"/>
      <c r="K8" s="4"/>
      <c r="L8" s="4"/>
      <c r="M8" s="9">
        <f t="shared" si="1"/>
        <v>0</v>
      </c>
      <c r="N8" s="4"/>
      <c r="O8" s="4">
        <v>290000</v>
      </c>
      <c r="P8" s="4">
        <v>2759000</v>
      </c>
      <c r="Q8" s="9">
        <f t="shared" si="2"/>
        <v>3049000</v>
      </c>
      <c r="R8" s="4"/>
      <c r="S8" s="4">
        <v>195000</v>
      </c>
      <c r="T8" s="10">
        <f>620800+150000</f>
        <v>770800</v>
      </c>
      <c r="U8" s="21">
        <f t="shared" si="3"/>
        <v>965800</v>
      </c>
      <c r="V8" s="10"/>
      <c r="W8" s="10"/>
      <c r="X8" s="10"/>
      <c r="Y8" s="21">
        <f t="shared" si="4"/>
        <v>0</v>
      </c>
      <c r="Z8" s="4">
        <f t="shared" si="5"/>
        <v>0</v>
      </c>
      <c r="AA8" s="4">
        <f t="shared" si="6"/>
        <v>485000</v>
      </c>
      <c r="AB8" s="4">
        <f t="shared" si="7"/>
        <v>3998300</v>
      </c>
      <c r="AC8" s="9">
        <f t="shared" si="8"/>
        <v>4483300</v>
      </c>
    </row>
    <row r="9" spans="1:29">
      <c r="A9" s="8">
        <v>5</v>
      </c>
      <c r="B9" s="186"/>
      <c r="C9" s="1" t="s">
        <v>11</v>
      </c>
      <c r="D9" s="4" t="s">
        <v>39</v>
      </c>
      <c r="E9" s="4" t="s">
        <v>29</v>
      </c>
      <c r="F9" s="4"/>
      <c r="G9" s="4"/>
      <c r="H9" s="4"/>
      <c r="I9" s="9">
        <f t="shared" si="0"/>
        <v>0</v>
      </c>
      <c r="J9" s="76">
        <v>290000</v>
      </c>
      <c r="K9" s="76">
        <v>1260000</v>
      </c>
      <c r="L9" s="76">
        <v>920000</v>
      </c>
      <c r="M9" s="9">
        <f t="shared" si="1"/>
        <v>2470000</v>
      </c>
      <c r="N9" s="4"/>
      <c r="O9" s="4">
        <v>1263000</v>
      </c>
      <c r="P9" s="4">
        <v>840000</v>
      </c>
      <c r="Q9" s="9">
        <f t="shared" si="2"/>
        <v>2103000</v>
      </c>
      <c r="R9" s="4"/>
      <c r="S9" s="10">
        <v>1169850</v>
      </c>
      <c r="T9" s="10">
        <v>1051200</v>
      </c>
      <c r="U9" s="21">
        <f t="shared" si="3"/>
        <v>2221050</v>
      </c>
      <c r="V9" s="10"/>
      <c r="W9" s="10"/>
      <c r="X9" s="10"/>
      <c r="Y9" s="21">
        <f t="shared" si="4"/>
        <v>0</v>
      </c>
      <c r="Z9" s="4">
        <f t="shared" si="5"/>
        <v>290000</v>
      </c>
      <c r="AA9" s="4">
        <f t="shared" si="6"/>
        <v>3692850</v>
      </c>
      <c r="AB9" s="4">
        <f t="shared" si="7"/>
        <v>2811200</v>
      </c>
      <c r="AC9" s="9">
        <f t="shared" si="8"/>
        <v>6794050</v>
      </c>
    </row>
    <row r="10" spans="1:29">
      <c r="A10" s="8">
        <v>6</v>
      </c>
      <c r="B10" s="186"/>
      <c r="C10" s="1" t="s">
        <v>72</v>
      </c>
      <c r="D10" s="33" t="s">
        <v>73</v>
      </c>
      <c r="E10" s="4" t="s">
        <v>29</v>
      </c>
      <c r="F10" s="4"/>
      <c r="G10" s="4"/>
      <c r="H10" s="4"/>
      <c r="I10" s="9">
        <f t="shared" si="0"/>
        <v>0</v>
      </c>
      <c r="J10" s="4"/>
      <c r="K10" s="4"/>
      <c r="L10" s="4"/>
      <c r="M10" s="9">
        <f t="shared" si="1"/>
        <v>0</v>
      </c>
      <c r="N10" s="4"/>
      <c r="O10" s="4"/>
      <c r="P10" s="4"/>
      <c r="Q10" s="9">
        <f t="shared" si="2"/>
        <v>0</v>
      </c>
      <c r="R10" s="4"/>
      <c r="S10" s="10">
        <v>195000</v>
      </c>
      <c r="T10" s="10">
        <f>494700+150000</f>
        <v>644700</v>
      </c>
      <c r="U10" s="21">
        <f t="shared" si="3"/>
        <v>839700</v>
      </c>
      <c r="V10" s="10"/>
      <c r="W10" s="10"/>
      <c r="X10" s="10"/>
      <c r="Y10" s="21">
        <f t="shared" si="4"/>
        <v>0</v>
      </c>
      <c r="Z10" s="4">
        <f t="shared" si="5"/>
        <v>0</v>
      </c>
      <c r="AA10" s="4">
        <f t="shared" si="6"/>
        <v>195000</v>
      </c>
      <c r="AB10" s="4">
        <f t="shared" si="7"/>
        <v>644700</v>
      </c>
      <c r="AC10" s="9">
        <f t="shared" si="8"/>
        <v>839700</v>
      </c>
    </row>
    <row r="11" spans="1:29">
      <c r="A11" s="8">
        <v>7</v>
      </c>
      <c r="B11" s="186"/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9">
        <f t="shared" si="0"/>
        <v>1613552</v>
      </c>
      <c r="J11" s="4"/>
      <c r="K11" s="4"/>
      <c r="L11" s="4"/>
      <c r="M11" s="9">
        <f t="shared" si="1"/>
        <v>0</v>
      </c>
      <c r="N11" s="4"/>
      <c r="O11" s="4"/>
      <c r="P11" s="4"/>
      <c r="Q11" s="9">
        <f t="shared" si="2"/>
        <v>0</v>
      </c>
      <c r="R11" s="4"/>
      <c r="S11" s="10">
        <v>1451150</v>
      </c>
      <c r="T11" s="10">
        <v>523800</v>
      </c>
      <c r="U11" s="21">
        <f t="shared" si="3"/>
        <v>1974950</v>
      </c>
      <c r="V11" s="10"/>
      <c r="W11" s="10"/>
      <c r="X11" s="10"/>
      <c r="Y11" s="21">
        <f t="shared" si="4"/>
        <v>0</v>
      </c>
      <c r="Z11" s="4">
        <f t="shared" si="5"/>
        <v>155000</v>
      </c>
      <c r="AA11" s="4">
        <f t="shared" si="6"/>
        <v>2689702</v>
      </c>
      <c r="AB11" s="4">
        <f t="shared" si="7"/>
        <v>743800</v>
      </c>
      <c r="AC11" s="9">
        <f t="shared" si="8"/>
        <v>3588502</v>
      </c>
    </row>
    <row r="12" spans="1:29">
      <c r="A12" s="8">
        <v>8</v>
      </c>
      <c r="B12" s="186"/>
      <c r="C12" s="1" t="s">
        <v>76</v>
      </c>
      <c r="D12" s="4"/>
      <c r="E12" s="4" t="s">
        <v>29</v>
      </c>
      <c r="F12" s="4"/>
      <c r="G12" s="4"/>
      <c r="H12" s="4"/>
      <c r="I12" s="9">
        <f t="shared" si="0"/>
        <v>0</v>
      </c>
      <c r="J12" s="4"/>
      <c r="K12" s="4"/>
      <c r="L12" s="4"/>
      <c r="M12" s="9">
        <f t="shared" si="1"/>
        <v>0</v>
      </c>
      <c r="N12" s="4"/>
      <c r="O12" s="4"/>
      <c r="P12" s="4"/>
      <c r="Q12" s="9">
        <f t="shared" si="2"/>
        <v>0</v>
      </c>
      <c r="R12" s="4"/>
      <c r="S12" s="4">
        <v>195000</v>
      </c>
      <c r="T12" s="10">
        <f>1004850+120000</f>
        <v>1124850</v>
      </c>
      <c r="U12" s="21">
        <f t="shared" si="3"/>
        <v>1319850</v>
      </c>
      <c r="V12" s="10"/>
      <c r="W12" s="10"/>
      <c r="X12" s="10"/>
      <c r="Y12" s="21">
        <f t="shared" si="4"/>
        <v>0</v>
      </c>
      <c r="Z12" s="4">
        <f t="shared" si="5"/>
        <v>0</v>
      </c>
      <c r="AA12" s="4">
        <f t="shared" si="6"/>
        <v>195000</v>
      </c>
      <c r="AB12" s="4">
        <f t="shared" si="7"/>
        <v>1124850</v>
      </c>
      <c r="AC12" s="9">
        <f t="shared" si="8"/>
        <v>1319850</v>
      </c>
    </row>
    <row r="13" spans="1:29">
      <c r="A13" s="8">
        <v>9</v>
      </c>
      <c r="B13" s="186"/>
      <c r="C13" s="1" t="s">
        <v>77</v>
      </c>
      <c r="D13" s="4" t="s">
        <v>78</v>
      </c>
      <c r="E13" s="4" t="s">
        <v>29</v>
      </c>
      <c r="F13" s="4"/>
      <c r="G13" s="4"/>
      <c r="H13" s="4"/>
      <c r="I13" s="9">
        <f t="shared" si="0"/>
        <v>0</v>
      </c>
      <c r="J13" s="76"/>
      <c r="K13" s="76"/>
      <c r="L13" s="76">
        <v>290000</v>
      </c>
      <c r="M13" s="9">
        <f t="shared" si="1"/>
        <v>290000</v>
      </c>
      <c r="N13" s="4"/>
      <c r="O13" s="4"/>
      <c r="P13" s="4"/>
      <c r="Q13" s="9">
        <f t="shared" si="2"/>
        <v>0</v>
      </c>
      <c r="R13" s="4"/>
      <c r="S13" s="10"/>
      <c r="T13" s="10"/>
      <c r="U13" s="21">
        <f t="shared" si="3"/>
        <v>0</v>
      </c>
      <c r="V13" s="10"/>
      <c r="W13" s="10"/>
      <c r="X13" s="10"/>
      <c r="Y13" s="21">
        <f t="shared" si="4"/>
        <v>0</v>
      </c>
      <c r="Z13" s="4">
        <f t="shared" si="5"/>
        <v>0</v>
      </c>
      <c r="AA13" s="4">
        <f t="shared" si="6"/>
        <v>0</v>
      </c>
      <c r="AB13" s="4">
        <f t="shared" si="7"/>
        <v>290000</v>
      </c>
      <c r="AC13" s="9">
        <f t="shared" si="8"/>
        <v>290000</v>
      </c>
    </row>
    <row r="14" spans="1:29" ht="31.5">
      <c r="A14" s="8">
        <v>10</v>
      </c>
      <c r="B14" s="186"/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9">
        <f t="shared" si="0"/>
        <v>187667</v>
      </c>
      <c r="J14" s="4"/>
      <c r="K14" s="4"/>
      <c r="L14" s="4"/>
      <c r="M14" s="9">
        <f t="shared" si="1"/>
        <v>0</v>
      </c>
      <c r="N14" s="4"/>
      <c r="O14" s="4"/>
      <c r="P14" s="4"/>
      <c r="Q14" s="9">
        <f t="shared" si="2"/>
        <v>0</v>
      </c>
      <c r="R14" s="4"/>
      <c r="S14" s="10">
        <v>641000</v>
      </c>
      <c r="T14" s="10">
        <f>787850+210000</f>
        <v>997850</v>
      </c>
      <c r="U14" s="21">
        <f t="shared" si="3"/>
        <v>1638850</v>
      </c>
      <c r="V14" s="10"/>
      <c r="W14" s="10"/>
      <c r="X14" s="10"/>
      <c r="Y14" s="21">
        <f t="shared" si="4"/>
        <v>0</v>
      </c>
      <c r="Z14" s="4">
        <f t="shared" si="5"/>
        <v>0</v>
      </c>
      <c r="AA14" s="4">
        <f t="shared" si="6"/>
        <v>641000</v>
      </c>
      <c r="AB14" s="4">
        <f t="shared" si="7"/>
        <v>1185517</v>
      </c>
      <c r="AC14" s="9">
        <f t="shared" si="8"/>
        <v>1826517</v>
      </c>
    </row>
    <row r="15" spans="1:29">
      <c r="A15" s="8">
        <v>11</v>
      </c>
      <c r="B15" s="187"/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9">
        <f t="shared" si="0"/>
        <v>365500</v>
      </c>
      <c r="J15" s="76"/>
      <c r="K15" s="76">
        <v>290000</v>
      </c>
      <c r="L15" s="76">
        <v>970000</v>
      </c>
      <c r="M15" s="9">
        <f t="shared" si="1"/>
        <v>1260000</v>
      </c>
      <c r="N15" s="4"/>
      <c r="O15" s="4"/>
      <c r="P15" s="4"/>
      <c r="Q15" s="9">
        <f t="shared" si="2"/>
        <v>0</v>
      </c>
      <c r="R15" s="4"/>
      <c r="S15" s="4"/>
      <c r="T15" s="4"/>
      <c r="U15" s="21">
        <f t="shared" si="3"/>
        <v>0</v>
      </c>
      <c r="V15" s="10"/>
      <c r="W15" s="10"/>
      <c r="X15" s="10"/>
      <c r="Y15" s="21">
        <f t="shared" si="4"/>
        <v>0</v>
      </c>
      <c r="Z15" s="4">
        <f t="shared" si="5"/>
        <v>0</v>
      </c>
      <c r="AA15" s="4">
        <f t="shared" si="6"/>
        <v>290000</v>
      </c>
      <c r="AB15" s="4">
        <f t="shared" si="7"/>
        <v>1335500</v>
      </c>
      <c r="AC15" s="9">
        <f t="shared" si="8"/>
        <v>1625500</v>
      </c>
    </row>
    <row r="16" spans="1:29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AC16" si="9">SUM(G5:G15)</f>
        <v>2984462</v>
      </c>
      <c r="H16" s="37">
        <f t="shared" si="9"/>
        <v>2388667</v>
      </c>
      <c r="I16" s="37">
        <f>SUM(I5:I15)</f>
        <v>5838129</v>
      </c>
      <c r="J16" s="37">
        <f>SUM(J5:J15)</f>
        <v>290000</v>
      </c>
      <c r="K16" s="37">
        <f t="shared" si="9"/>
        <v>1550000</v>
      </c>
      <c r="L16" s="37">
        <f t="shared" si="9"/>
        <v>2180000</v>
      </c>
      <c r="M16" s="37">
        <f t="shared" si="9"/>
        <v>4020000</v>
      </c>
      <c r="N16" s="37">
        <f t="shared" si="9"/>
        <v>0</v>
      </c>
      <c r="O16" s="37">
        <f t="shared" si="9"/>
        <v>1553000</v>
      </c>
      <c r="P16" s="37">
        <f t="shared" si="9"/>
        <v>3599000</v>
      </c>
      <c r="Q16" s="37">
        <f t="shared" si="9"/>
        <v>5152000</v>
      </c>
      <c r="R16" s="37">
        <f t="shared" si="9"/>
        <v>390000</v>
      </c>
      <c r="S16" s="37">
        <f t="shared" si="9"/>
        <v>6700250</v>
      </c>
      <c r="T16" s="37">
        <f t="shared" si="9"/>
        <v>6943550</v>
      </c>
      <c r="U16" s="37">
        <f t="shared" si="9"/>
        <v>14033800</v>
      </c>
      <c r="V16" s="37">
        <f t="shared" si="9"/>
        <v>0</v>
      </c>
      <c r="W16" s="37">
        <f t="shared" si="9"/>
        <v>0</v>
      </c>
      <c r="X16" s="37">
        <f t="shared" si="9"/>
        <v>0</v>
      </c>
      <c r="Y16" s="37">
        <f t="shared" si="9"/>
        <v>0</v>
      </c>
      <c r="Z16" s="37">
        <f t="shared" si="9"/>
        <v>1145000</v>
      </c>
      <c r="AA16" s="37">
        <f t="shared" si="9"/>
        <v>12787712</v>
      </c>
      <c r="AB16" s="37">
        <f t="shared" si="9"/>
        <v>15111217</v>
      </c>
      <c r="AC16" s="37">
        <f t="shared" si="9"/>
        <v>29043929</v>
      </c>
    </row>
    <row r="17" spans="1:29">
      <c r="A17" s="8">
        <v>1</v>
      </c>
      <c r="B17" s="185" t="s">
        <v>35</v>
      </c>
      <c r="C17" s="1" t="s">
        <v>84</v>
      </c>
      <c r="D17" s="4" t="s">
        <v>85</v>
      </c>
      <c r="E17" s="4" t="s">
        <v>35</v>
      </c>
      <c r="F17" s="4"/>
      <c r="G17" s="4"/>
      <c r="H17" s="4">
        <v>155000</v>
      </c>
      <c r="I17" s="9">
        <f>SUM(F17:H17)</f>
        <v>155000</v>
      </c>
      <c r="J17" s="4"/>
      <c r="K17" s="4"/>
      <c r="L17" s="4"/>
      <c r="M17" s="9">
        <f>SUM(J17:L17)</f>
        <v>0</v>
      </c>
      <c r="N17" s="4"/>
      <c r="O17" s="4"/>
      <c r="P17" s="4"/>
      <c r="Q17" s="9">
        <f>SUM(N17:P17)</f>
        <v>0</v>
      </c>
      <c r="R17" s="4"/>
      <c r="S17" s="4"/>
      <c r="T17" s="4"/>
      <c r="U17" s="21">
        <f>SUM(R17:T17)</f>
        <v>0</v>
      </c>
      <c r="V17" s="10"/>
      <c r="W17" s="10"/>
      <c r="X17" s="10"/>
      <c r="Y17" s="21">
        <f>SUM(V17:X17)</f>
        <v>0</v>
      </c>
      <c r="Z17" s="4">
        <f t="shared" ref="Z17:AB18" si="10">F17+J17+N17+R17+V17</f>
        <v>0</v>
      </c>
      <c r="AA17" s="4">
        <f t="shared" si="10"/>
        <v>0</v>
      </c>
      <c r="AB17" s="4">
        <f t="shared" si="10"/>
        <v>155000</v>
      </c>
      <c r="AC17" s="9">
        <f>SUM(Z17:AB17)</f>
        <v>155000</v>
      </c>
    </row>
    <row r="18" spans="1:29">
      <c r="A18" s="8">
        <v>2</v>
      </c>
      <c r="B18" s="187"/>
      <c r="C18" s="1" t="s">
        <v>7</v>
      </c>
      <c r="D18" s="4" t="s">
        <v>40</v>
      </c>
      <c r="E18" s="4" t="s">
        <v>35</v>
      </c>
      <c r="F18" s="4">
        <v>155000</v>
      </c>
      <c r="G18" s="4"/>
      <c r="H18" s="4">
        <f>418500+93000+46500</f>
        <v>558000</v>
      </c>
      <c r="I18" s="9">
        <f>SUM(F18:H18)</f>
        <v>713000</v>
      </c>
      <c r="J18" s="4"/>
      <c r="K18" s="4"/>
      <c r="L18" s="4"/>
      <c r="M18" s="9">
        <f>SUM(J18:L18)</f>
        <v>0</v>
      </c>
      <c r="N18" s="4">
        <v>290000</v>
      </c>
      <c r="O18" s="4"/>
      <c r="P18" s="4"/>
      <c r="Q18" s="9">
        <f>SUM(N18:P18)</f>
        <v>290000</v>
      </c>
      <c r="R18" s="4"/>
      <c r="S18" s="4"/>
      <c r="T18" s="4"/>
      <c r="U18" s="21">
        <f>SUM(R18:T18)</f>
        <v>0</v>
      </c>
      <c r="V18" s="10"/>
      <c r="W18" s="10"/>
      <c r="X18" s="10"/>
      <c r="Y18" s="21">
        <f>SUM(V18:X18)</f>
        <v>0</v>
      </c>
      <c r="Z18" s="4">
        <f t="shared" si="10"/>
        <v>445000</v>
      </c>
      <c r="AA18" s="4">
        <f t="shared" si="10"/>
        <v>0</v>
      </c>
      <c r="AB18" s="4">
        <f t="shared" si="10"/>
        <v>558000</v>
      </c>
      <c r="AC18" s="9">
        <f>SUM(Z18:AB18)</f>
        <v>1003000</v>
      </c>
    </row>
    <row r="19" spans="1:29" s="38" customFormat="1">
      <c r="A19" s="34"/>
      <c r="B19" s="34"/>
      <c r="C19" s="35" t="s">
        <v>86</v>
      </c>
      <c r="D19" s="36"/>
      <c r="E19" s="37"/>
      <c r="F19" s="37">
        <f>SUM(F17:F18)</f>
        <v>155000</v>
      </c>
      <c r="G19" s="37">
        <f t="shared" ref="G19:AC19" si="11">SUM(G17:G18)</f>
        <v>0</v>
      </c>
      <c r="H19" s="37">
        <f t="shared" si="11"/>
        <v>713000</v>
      </c>
      <c r="I19" s="37">
        <f t="shared" si="11"/>
        <v>868000</v>
      </c>
      <c r="J19" s="37">
        <f>SUM(J17:J18)</f>
        <v>0</v>
      </c>
      <c r="K19" s="37">
        <f t="shared" si="11"/>
        <v>0</v>
      </c>
      <c r="L19" s="37">
        <f t="shared" si="11"/>
        <v>0</v>
      </c>
      <c r="M19" s="37">
        <f t="shared" si="11"/>
        <v>0</v>
      </c>
      <c r="N19" s="37">
        <f t="shared" si="11"/>
        <v>290000</v>
      </c>
      <c r="O19" s="37">
        <f t="shared" si="11"/>
        <v>0</v>
      </c>
      <c r="P19" s="37">
        <f t="shared" si="11"/>
        <v>0</v>
      </c>
      <c r="Q19" s="37">
        <f t="shared" si="11"/>
        <v>290000</v>
      </c>
      <c r="R19" s="37">
        <f t="shared" si="11"/>
        <v>0</v>
      </c>
      <c r="S19" s="37">
        <f t="shared" si="11"/>
        <v>0</v>
      </c>
      <c r="T19" s="37">
        <f t="shared" si="11"/>
        <v>0</v>
      </c>
      <c r="U19" s="37">
        <f t="shared" si="11"/>
        <v>0</v>
      </c>
      <c r="V19" s="37">
        <f t="shared" si="11"/>
        <v>0</v>
      </c>
      <c r="W19" s="37">
        <f t="shared" si="11"/>
        <v>0</v>
      </c>
      <c r="X19" s="37">
        <f t="shared" si="11"/>
        <v>0</v>
      </c>
      <c r="Y19" s="37">
        <f t="shared" si="11"/>
        <v>0</v>
      </c>
      <c r="Z19" s="37">
        <f t="shared" si="11"/>
        <v>445000</v>
      </c>
      <c r="AA19" s="37">
        <f t="shared" si="11"/>
        <v>0</v>
      </c>
      <c r="AB19" s="37">
        <f t="shared" si="11"/>
        <v>713000</v>
      </c>
      <c r="AC19" s="37">
        <f t="shared" si="11"/>
        <v>1158000</v>
      </c>
    </row>
    <row r="20" spans="1:29" ht="31.5">
      <c r="A20" s="8">
        <v>1</v>
      </c>
      <c r="B20" s="185" t="s">
        <v>18</v>
      </c>
      <c r="C20" s="1" t="s">
        <v>87</v>
      </c>
      <c r="D20" s="4" t="s">
        <v>88</v>
      </c>
      <c r="E20" s="4" t="s">
        <v>18</v>
      </c>
      <c r="F20" s="4"/>
      <c r="G20" s="4"/>
      <c r="H20" s="4">
        <v>155000</v>
      </c>
      <c r="I20" s="9">
        <f>SUM(F20:H20)</f>
        <v>155000</v>
      </c>
      <c r="J20" s="4"/>
      <c r="K20" s="4"/>
      <c r="L20" s="4"/>
      <c r="M20" s="9">
        <f>SUM(J20:L20)</f>
        <v>0</v>
      </c>
      <c r="N20" s="4"/>
      <c r="O20" s="4"/>
      <c r="P20" s="4"/>
      <c r="Q20" s="9">
        <f>SUM(N20:P20)</f>
        <v>0</v>
      </c>
      <c r="R20" s="4"/>
      <c r="S20" s="4"/>
      <c r="T20" s="10">
        <v>259750</v>
      </c>
      <c r="U20" s="21">
        <f>SUM(R20:T20)</f>
        <v>259750</v>
      </c>
      <c r="V20" s="10"/>
      <c r="W20" s="10"/>
      <c r="X20" s="10">
        <v>376000</v>
      </c>
      <c r="Y20" s="21">
        <f>SUM(V20:X20)</f>
        <v>376000</v>
      </c>
      <c r="Z20" s="4">
        <f t="shared" ref="Z20:AB24" si="12">F20+J20+N20+R20+V20</f>
        <v>0</v>
      </c>
      <c r="AA20" s="4">
        <f t="shared" si="12"/>
        <v>0</v>
      </c>
      <c r="AB20" s="4">
        <f t="shared" si="12"/>
        <v>790750</v>
      </c>
      <c r="AC20" s="9">
        <f>SUM(Z20:AB20)</f>
        <v>790750</v>
      </c>
    </row>
    <row r="21" spans="1:29">
      <c r="A21" s="8">
        <v>2</v>
      </c>
      <c r="B21" s="186"/>
      <c r="C21" s="1" t="s">
        <v>89</v>
      </c>
      <c r="D21" s="4" t="s">
        <v>90</v>
      </c>
      <c r="E21" s="4" t="s">
        <v>18</v>
      </c>
      <c r="F21" s="4"/>
      <c r="G21" s="4"/>
      <c r="H21" s="4">
        <v>155000</v>
      </c>
      <c r="I21" s="9">
        <f>SUM(F21:H21)</f>
        <v>155000</v>
      </c>
      <c r="J21" s="4"/>
      <c r="K21" s="4"/>
      <c r="L21" s="4"/>
      <c r="M21" s="9">
        <f>SUM(J21:L21)</f>
        <v>0</v>
      </c>
      <c r="N21" s="4"/>
      <c r="O21" s="4"/>
      <c r="P21" s="4"/>
      <c r="Q21" s="9">
        <f>SUM(N21:P21)</f>
        <v>0</v>
      </c>
      <c r="R21" s="4"/>
      <c r="S21" s="4"/>
      <c r="T21" s="10">
        <f>258750+140000</f>
        <v>398750</v>
      </c>
      <c r="U21" s="21">
        <f>SUM(R21:T21)</f>
        <v>398750</v>
      </c>
      <c r="V21" s="10"/>
      <c r="W21" s="10"/>
      <c r="X21" s="10">
        <v>376000</v>
      </c>
      <c r="Y21" s="21">
        <f>SUM(V21:X21)</f>
        <v>376000</v>
      </c>
      <c r="Z21" s="4">
        <f t="shared" si="12"/>
        <v>0</v>
      </c>
      <c r="AA21" s="4">
        <f t="shared" si="12"/>
        <v>0</v>
      </c>
      <c r="AB21" s="4">
        <f t="shared" si="12"/>
        <v>929750</v>
      </c>
      <c r="AC21" s="9">
        <f>SUM(Z21:AB21)</f>
        <v>929750</v>
      </c>
    </row>
    <row r="22" spans="1:29" ht="31.5">
      <c r="A22" s="8">
        <v>3</v>
      </c>
      <c r="B22" s="186"/>
      <c r="C22" s="1" t="s">
        <v>91</v>
      </c>
      <c r="D22" s="4" t="s">
        <v>92</v>
      </c>
      <c r="E22" s="4" t="s">
        <v>18</v>
      </c>
      <c r="F22" s="4"/>
      <c r="G22" s="4">
        <v>155000</v>
      </c>
      <c r="H22" s="4">
        <f>462000+77000+286000+330000+110000+40000</f>
        <v>1305000</v>
      </c>
      <c r="I22" s="9">
        <f>SUM(F22:H22)</f>
        <v>1460000</v>
      </c>
      <c r="J22" s="4"/>
      <c r="K22" s="4"/>
      <c r="L22" s="4"/>
      <c r="M22" s="9">
        <f>SUM(J22:L22)</f>
        <v>0</v>
      </c>
      <c r="N22" s="4"/>
      <c r="O22" s="4">
        <v>290000</v>
      </c>
      <c r="P22" s="4">
        <v>1516000</v>
      </c>
      <c r="Q22" s="9">
        <f>SUM(N22:P22)</f>
        <v>1806000</v>
      </c>
      <c r="R22" s="4"/>
      <c r="S22" s="4"/>
      <c r="T22" s="4"/>
      <c r="U22" s="21">
        <f>SUM(R22:T22)</f>
        <v>0</v>
      </c>
      <c r="V22" s="10"/>
      <c r="W22" s="10"/>
      <c r="X22" s="10"/>
      <c r="Y22" s="21">
        <f>SUM(V22:X22)</f>
        <v>0</v>
      </c>
      <c r="Z22" s="4">
        <f t="shared" si="12"/>
        <v>0</v>
      </c>
      <c r="AA22" s="4">
        <f t="shared" si="12"/>
        <v>445000</v>
      </c>
      <c r="AB22" s="4">
        <f t="shared" si="12"/>
        <v>2821000</v>
      </c>
      <c r="AC22" s="9">
        <f>SUM(Z22:AB22)</f>
        <v>3266000</v>
      </c>
    </row>
    <row r="23" spans="1:29">
      <c r="A23" s="8">
        <v>4</v>
      </c>
      <c r="B23" s="186"/>
      <c r="C23" s="1" t="s">
        <v>9</v>
      </c>
      <c r="D23" s="4" t="s">
        <v>42</v>
      </c>
      <c r="E23" s="4" t="s">
        <v>18</v>
      </c>
      <c r="F23" s="4"/>
      <c r="G23" s="4"/>
      <c r="H23" s="4"/>
      <c r="I23" s="9">
        <f>SUM(F23:H23)</f>
        <v>0</v>
      </c>
      <c r="J23" s="4"/>
      <c r="K23" s="4"/>
      <c r="L23" s="4"/>
      <c r="M23" s="9">
        <f>SUM(J23:L23)</f>
        <v>0</v>
      </c>
      <c r="N23" s="4">
        <v>290000</v>
      </c>
      <c r="O23" s="70">
        <v>2093000</v>
      </c>
      <c r="P23" s="4">
        <v>1575000</v>
      </c>
      <c r="Q23" s="9">
        <f>SUM(N23:P23)</f>
        <v>3958000</v>
      </c>
      <c r="R23" s="4">
        <v>195000</v>
      </c>
      <c r="S23" s="10">
        <v>1426450</v>
      </c>
      <c r="T23" s="10">
        <v>1018500</v>
      </c>
      <c r="U23" s="21">
        <f>SUM(R23:T23)</f>
        <v>2639950</v>
      </c>
      <c r="V23" s="10"/>
      <c r="W23" s="10">
        <v>100000</v>
      </c>
      <c r="X23" s="10">
        <v>522000</v>
      </c>
      <c r="Y23" s="21">
        <f>SUM(V23:X23)</f>
        <v>622000</v>
      </c>
      <c r="Z23" s="4">
        <f t="shared" si="12"/>
        <v>485000</v>
      </c>
      <c r="AA23" s="4">
        <f t="shared" si="12"/>
        <v>3619450</v>
      </c>
      <c r="AB23" s="4">
        <f t="shared" si="12"/>
        <v>3115500</v>
      </c>
      <c r="AC23" s="9">
        <f>SUM(Z23:AB23)</f>
        <v>7219950</v>
      </c>
    </row>
    <row r="24" spans="1:29" ht="31.5">
      <c r="A24" s="8">
        <v>5</v>
      </c>
      <c r="B24" s="187"/>
      <c r="C24" s="1" t="s">
        <v>93</v>
      </c>
      <c r="D24" s="4" t="s">
        <v>94</v>
      </c>
      <c r="E24" s="4" t="s">
        <v>18</v>
      </c>
      <c r="F24" s="4">
        <v>155000</v>
      </c>
      <c r="G24" s="4">
        <v>207500</v>
      </c>
      <c r="H24" s="4">
        <v>379500</v>
      </c>
      <c r="I24" s="9">
        <f>SUM(F24:H24)</f>
        <v>742000</v>
      </c>
      <c r="J24" s="4"/>
      <c r="K24" s="4"/>
      <c r="L24" s="4"/>
      <c r="M24" s="9">
        <f>SUM(J24:L24)</f>
        <v>0</v>
      </c>
      <c r="N24" s="4"/>
      <c r="O24" s="4"/>
      <c r="P24" s="4"/>
      <c r="Q24" s="9">
        <f>SUM(N24:P24)</f>
        <v>0</v>
      </c>
      <c r="R24" s="4"/>
      <c r="S24" s="10">
        <v>629500</v>
      </c>
      <c r="T24" s="10">
        <v>436500</v>
      </c>
      <c r="U24" s="21">
        <f>SUM(R24:T24)</f>
        <v>1066000</v>
      </c>
      <c r="V24" s="10"/>
      <c r="W24" s="10"/>
      <c r="X24" s="10"/>
      <c r="Y24" s="21">
        <f>SUM(V24:X24)</f>
        <v>0</v>
      </c>
      <c r="Z24" s="4">
        <f t="shared" si="12"/>
        <v>155000</v>
      </c>
      <c r="AA24" s="4">
        <f t="shared" si="12"/>
        <v>837000</v>
      </c>
      <c r="AB24" s="4">
        <f t="shared" si="12"/>
        <v>816000</v>
      </c>
      <c r="AC24" s="9">
        <f>SUM(Z24:AB24)</f>
        <v>1808000</v>
      </c>
    </row>
    <row r="25" spans="1:29" s="38" customFormat="1">
      <c r="A25" s="34"/>
      <c r="B25" s="34"/>
      <c r="C25" s="35" t="s">
        <v>95</v>
      </c>
      <c r="D25" s="37"/>
      <c r="E25" s="37"/>
      <c r="F25" s="37">
        <f>SUM(F20:F24)</f>
        <v>155000</v>
      </c>
      <c r="G25" s="37">
        <f t="shared" ref="G25:AC25" si="13">SUM(G20:G24)</f>
        <v>362500</v>
      </c>
      <c r="H25" s="37">
        <f t="shared" si="13"/>
        <v>1994500</v>
      </c>
      <c r="I25" s="37">
        <f t="shared" si="13"/>
        <v>2512000</v>
      </c>
      <c r="J25" s="37">
        <f>SUM(J20:J24)</f>
        <v>0</v>
      </c>
      <c r="K25" s="37">
        <f t="shared" si="13"/>
        <v>0</v>
      </c>
      <c r="L25" s="37">
        <f t="shared" si="13"/>
        <v>0</v>
      </c>
      <c r="M25" s="37">
        <f t="shared" si="13"/>
        <v>0</v>
      </c>
      <c r="N25" s="37">
        <f t="shared" si="13"/>
        <v>290000</v>
      </c>
      <c r="O25" s="37">
        <f t="shared" si="13"/>
        <v>2383000</v>
      </c>
      <c r="P25" s="37">
        <f t="shared" si="13"/>
        <v>3091000</v>
      </c>
      <c r="Q25" s="37">
        <f t="shared" si="13"/>
        <v>5764000</v>
      </c>
      <c r="R25" s="37">
        <f t="shared" si="13"/>
        <v>195000</v>
      </c>
      <c r="S25" s="37">
        <f t="shared" si="13"/>
        <v>2055950</v>
      </c>
      <c r="T25" s="37">
        <f t="shared" si="13"/>
        <v>2113500</v>
      </c>
      <c r="U25" s="37">
        <f t="shared" si="13"/>
        <v>4364450</v>
      </c>
      <c r="V25" s="37">
        <f t="shared" si="13"/>
        <v>0</v>
      </c>
      <c r="W25" s="37">
        <f t="shared" si="13"/>
        <v>100000</v>
      </c>
      <c r="X25" s="37">
        <f t="shared" si="13"/>
        <v>1274000</v>
      </c>
      <c r="Y25" s="37">
        <f t="shared" si="13"/>
        <v>1374000</v>
      </c>
      <c r="Z25" s="37">
        <f t="shared" si="13"/>
        <v>640000</v>
      </c>
      <c r="AA25" s="37">
        <f t="shared" si="13"/>
        <v>4901450</v>
      </c>
      <c r="AB25" s="37">
        <f t="shared" si="13"/>
        <v>8473000</v>
      </c>
      <c r="AC25" s="37">
        <f t="shared" si="13"/>
        <v>14014450</v>
      </c>
    </row>
    <row r="26" spans="1:29">
      <c r="A26" s="8">
        <v>1</v>
      </c>
      <c r="B26" s="184" t="s">
        <v>96</v>
      </c>
      <c r="C26" s="1" t="s">
        <v>97</v>
      </c>
      <c r="D26" s="4" t="s">
        <v>96</v>
      </c>
      <c r="E26" s="4" t="s">
        <v>98</v>
      </c>
      <c r="F26" s="4"/>
      <c r="G26" s="4">
        <v>155000</v>
      </c>
      <c r="H26" s="5">
        <v>-155000</v>
      </c>
      <c r="I26" s="9">
        <f>SUM(F26:H26)</f>
        <v>0</v>
      </c>
      <c r="J26" s="4"/>
      <c r="K26" s="4"/>
      <c r="L26" s="4"/>
      <c r="M26" s="9">
        <f>SUM(J26:L26)</f>
        <v>0</v>
      </c>
      <c r="N26" s="4"/>
      <c r="O26" s="4"/>
      <c r="P26" s="4"/>
      <c r="Q26" s="9">
        <f>SUM(N26:P26)</f>
        <v>0</v>
      </c>
      <c r="R26" s="4"/>
      <c r="S26" s="4"/>
      <c r="T26" s="4"/>
      <c r="U26" s="21">
        <f>SUM(R26:T26)</f>
        <v>0</v>
      </c>
      <c r="V26" s="10"/>
      <c r="W26" s="10"/>
      <c r="X26" s="10"/>
      <c r="Y26" s="21">
        <f>SUM(V26:X26)</f>
        <v>0</v>
      </c>
      <c r="Z26" s="4">
        <f t="shared" ref="Z26:AB27" si="14">F26+J26+N26+R26+V26</f>
        <v>0</v>
      </c>
      <c r="AA26" s="4">
        <f t="shared" si="14"/>
        <v>155000</v>
      </c>
      <c r="AB26" s="4">
        <f t="shared" si="14"/>
        <v>-155000</v>
      </c>
      <c r="AC26" s="9">
        <f>SUM(Z26:AB26)</f>
        <v>0</v>
      </c>
    </row>
    <row r="27" spans="1:29" ht="30">
      <c r="A27" s="8">
        <v>2</v>
      </c>
      <c r="B27" s="184"/>
      <c r="C27" s="2" t="s">
        <v>99</v>
      </c>
      <c r="D27" s="4" t="s">
        <v>96</v>
      </c>
      <c r="E27" s="4" t="s">
        <v>98</v>
      </c>
      <c r="F27" s="4"/>
      <c r="G27" s="4"/>
      <c r="H27" s="5"/>
      <c r="I27" s="9">
        <f>SUM(F27:H27)</f>
        <v>0</v>
      </c>
      <c r="J27" s="4"/>
      <c r="K27" s="4"/>
      <c r="L27" s="4"/>
      <c r="M27" s="9">
        <f>SUM(J27:L27)</f>
        <v>0</v>
      </c>
      <c r="N27" s="4"/>
      <c r="O27" s="4"/>
      <c r="P27" s="4"/>
      <c r="Q27" s="9">
        <f>SUM(N27:P27)</f>
        <v>0</v>
      </c>
      <c r="R27" s="4"/>
      <c r="S27" s="4"/>
      <c r="T27" s="4"/>
      <c r="U27" s="21">
        <f>SUM(R27:T27)</f>
        <v>0</v>
      </c>
      <c r="V27" s="10"/>
      <c r="W27" s="10"/>
      <c r="X27" s="10">
        <v>100000</v>
      </c>
      <c r="Y27" s="21">
        <f>SUM(V27:X27)</f>
        <v>100000</v>
      </c>
      <c r="Z27" s="4">
        <f t="shared" si="14"/>
        <v>0</v>
      </c>
      <c r="AA27" s="4">
        <f t="shared" si="14"/>
        <v>0</v>
      </c>
      <c r="AB27" s="4">
        <f t="shared" si="14"/>
        <v>100000</v>
      </c>
      <c r="AC27" s="9">
        <f>SUM(Z27:AB27)</f>
        <v>100000</v>
      </c>
    </row>
    <row r="28" spans="1:29" s="38" customFormat="1">
      <c r="A28" s="34"/>
      <c r="B28" s="34"/>
      <c r="C28" s="35" t="s">
        <v>100</v>
      </c>
      <c r="D28" s="37"/>
      <c r="E28" s="37"/>
      <c r="F28" s="37">
        <f>SUM(F26:F27)</f>
        <v>0</v>
      </c>
      <c r="G28" s="37">
        <f t="shared" ref="G28:AC28" si="15">SUM(G26:G27)</f>
        <v>155000</v>
      </c>
      <c r="H28" s="37">
        <f t="shared" si="15"/>
        <v>-155000</v>
      </c>
      <c r="I28" s="37">
        <f t="shared" si="15"/>
        <v>0</v>
      </c>
      <c r="J28" s="37">
        <f t="shared" si="15"/>
        <v>0</v>
      </c>
      <c r="K28" s="37">
        <f t="shared" si="15"/>
        <v>0</v>
      </c>
      <c r="L28" s="37">
        <f t="shared" si="15"/>
        <v>0</v>
      </c>
      <c r="M28" s="37">
        <f t="shared" si="15"/>
        <v>0</v>
      </c>
      <c r="N28" s="37">
        <f t="shared" si="15"/>
        <v>0</v>
      </c>
      <c r="O28" s="37">
        <f t="shared" si="15"/>
        <v>0</v>
      </c>
      <c r="P28" s="37">
        <f t="shared" si="15"/>
        <v>0</v>
      </c>
      <c r="Q28" s="37">
        <f t="shared" si="15"/>
        <v>0</v>
      </c>
      <c r="R28" s="37">
        <f t="shared" si="15"/>
        <v>0</v>
      </c>
      <c r="S28" s="37">
        <f t="shared" si="15"/>
        <v>0</v>
      </c>
      <c r="T28" s="37">
        <f t="shared" si="15"/>
        <v>0</v>
      </c>
      <c r="U28" s="37">
        <f t="shared" si="15"/>
        <v>0</v>
      </c>
      <c r="V28" s="37">
        <f t="shared" si="15"/>
        <v>0</v>
      </c>
      <c r="W28" s="37">
        <f t="shared" si="15"/>
        <v>0</v>
      </c>
      <c r="X28" s="37">
        <f t="shared" si="15"/>
        <v>100000</v>
      </c>
      <c r="Y28" s="37">
        <f t="shared" si="15"/>
        <v>100000</v>
      </c>
      <c r="Z28" s="37">
        <f t="shared" si="15"/>
        <v>0</v>
      </c>
      <c r="AA28" s="37">
        <f t="shared" si="15"/>
        <v>155000</v>
      </c>
      <c r="AB28" s="37">
        <f t="shared" si="15"/>
        <v>-55000</v>
      </c>
      <c r="AC28" s="37">
        <f t="shared" si="15"/>
        <v>100000</v>
      </c>
    </row>
    <row r="29" spans="1:29">
      <c r="A29" s="8">
        <v>1</v>
      </c>
      <c r="B29" s="185" t="s">
        <v>58</v>
      </c>
      <c r="C29" s="1" t="s">
        <v>101</v>
      </c>
      <c r="D29" s="4" t="s">
        <v>102</v>
      </c>
      <c r="E29" s="4" t="s">
        <v>31</v>
      </c>
      <c r="F29" s="4"/>
      <c r="G29" s="4"/>
      <c r="H29" s="4">
        <v>155000</v>
      </c>
      <c r="I29" s="9">
        <f>SUM(F29:H29)</f>
        <v>155000</v>
      </c>
      <c r="J29" s="4"/>
      <c r="K29" s="4"/>
      <c r="L29" s="4"/>
      <c r="M29" s="9">
        <f>SUM(J29:L29)</f>
        <v>0</v>
      </c>
      <c r="N29" s="20"/>
      <c r="O29" s="20"/>
      <c r="P29" s="20"/>
      <c r="Q29" s="9">
        <f>SUM(N29:P29)</f>
        <v>0</v>
      </c>
      <c r="R29" s="20"/>
      <c r="S29" s="20"/>
      <c r="T29" s="20"/>
      <c r="U29" s="21">
        <f>SUM(R29:T29)</f>
        <v>0</v>
      </c>
      <c r="V29" s="25"/>
      <c r="W29" s="25"/>
      <c r="X29" s="25"/>
      <c r="Y29" s="21">
        <f>SUM(V29:X29)</f>
        <v>0</v>
      </c>
      <c r="Z29" s="4">
        <f t="shared" ref="Z29:AB32" si="16">F29+J29+N29+R29+V29</f>
        <v>0</v>
      </c>
      <c r="AA29" s="4">
        <f t="shared" si="16"/>
        <v>0</v>
      </c>
      <c r="AB29" s="4">
        <f t="shared" si="16"/>
        <v>155000</v>
      </c>
      <c r="AC29" s="9">
        <f>SUM(Z29:AB29)</f>
        <v>155000</v>
      </c>
    </row>
    <row r="30" spans="1:29">
      <c r="A30" s="8">
        <v>2</v>
      </c>
      <c r="B30" s="186"/>
      <c r="C30" s="1" t="s">
        <v>103</v>
      </c>
      <c r="D30" s="4" t="s">
        <v>104</v>
      </c>
      <c r="E30" s="4" t="s">
        <v>31</v>
      </c>
      <c r="F30" s="4"/>
      <c r="G30" s="4">
        <v>155000</v>
      </c>
      <c r="H30" s="4">
        <f>33000+115933</f>
        <v>148933</v>
      </c>
      <c r="I30" s="9">
        <f>SUM(F30:H30)</f>
        <v>303933</v>
      </c>
      <c r="J30" s="76"/>
      <c r="K30" s="76"/>
      <c r="L30" s="76">
        <v>290000</v>
      </c>
      <c r="M30" s="9">
        <f>SUM(J30:L30)</f>
        <v>290000</v>
      </c>
      <c r="N30" s="20"/>
      <c r="O30" s="20">
        <v>605000</v>
      </c>
      <c r="P30" s="4">
        <v>252000</v>
      </c>
      <c r="Q30" s="9">
        <f>SUM(N30:P30)</f>
        <v>857000</v>
      </c>
      <c r="R30" s="20"/>
      <c r="S30" s="20">
        <v>322500</v>
      </c>
      <c r="T30" s="25">
        <v>122950</v>
      </c>
      <c r="U30" s="21">
        <f>SUM(R30:T30)</f>
        <v>445450</v>
      </c>
      <c r="V30" s="25"/>
      <c r="W30" s="24">
        <v>100000</v>
      </c>
      <c r="X30" s="25">
        <v>276000</v>
      </c>
      <c r="Y30" s="21">
        <f>SUM(V30:X30)</f>
        <v>376000</v>
      </c>
      <c r="Z30" s="4">
        <f t="shared" si="16"/>
        <v>0</v>
      </c>
      <c r="AA30" s="4">
        <f t="shared" si="16"/>
        <v>1182500</v>
      </c>
      <c r="AB30" s="4">
        <f t="shared" si="16"/>
        <v>1089883</v>
      </c>
      <c r="AC30" s="9">
        <f>SUM(Z30:AB30)</f>
        <v>2272383</v>
      </c>
    </row>
    <row r="31" spans="1:29">
      <c r="A31" s="8">
        <v>3</v>
      </c>
      <c r="B31" s="186"/>
      <c r="C31" s="1" t="s">
        <v>105</v>
      </c>
      <c r="D31" s="4" t="s">
        <v>106</v>
      </c>
      <c r="E31" s="4" t="s">
        <v>31</v>
      </c>
      <c r="F31" s="4"/>
      <c r="G31" s="4"/>
      <c r="H31" s="4"/>
      <c r="I31" s="9">
        <f>SUM(F31:H31)</f>
        <v>0</v>
      </c>
      <c r="J31" s="4"/>
      <c r="K31" s="4"/>
      <c r="L31" s="27"/>
      <c r="M31" s="9">
        <f>SUM(J31:L31)</f>
        <v>0</v>
      </c>
      <c r="N31" s="20"/>
      <c r="O31" s="20"/>
      <c r="P31" s="4"/>
      <c r="Q31" s="9">
        <f>SUM(N31:P31)</f>
        <v>0</v>
      </c>
      <c r="R31" s="20"/>
      <c r="S31" s="20"/>
      <c r="T31" s="25"/>
      <c r="U31" s="21">
        <f>SUM(R31:T31)</f>
        <v>0</v>
      </c>
      <c r="V31" s="25"/>
      <c r="W31" s="25"/>
      <c r="X31" s="25"/>
      <c r="Y31" s="21">
        <f>SUM(V31:X31)</f>
        <v>0</v>
      </c>
      <c r="Z31" s="4">
        <f t="shared" si="16"/>
        <v>0</v>
      </c>
      <c r="AA31" s="4">
        <f t="shared" si="16"/>
        <v>0</v>
      </c>
      <c r="AB31" s="4">
        <f t="shared" si="16"/>
        <v>0</v>
      </c>
      <c r="AC31" s="9">
        <f>SUM(Z31:AB31)</f>
        <v>0</v>
      </c>
    </row>
    <row r="32" spans="1:29">
      <c r="A32" s="8">
        <v>4</v>
      </c>
      <c r="B32" s="187"/>
      <c r="C32" s="1" t="s">
        <v>12</v>
      </c>
      <c r="D32" s="4" t="s">
        <v>45</v>
      </c>
      <c r="E32" s="4" t="s">
        <v>31</v>
      </c>
      <c r="F32" s="4"/>
      <c r="G32" s="4"/>
      <c r="H32" s="4">
        <v>155000</v>
      </c>
      <c r="I32" s="9">
        <f>SUM(F32:H32)</f>
        <v>155000</v>
      </c>
      <c r="J32" s="76"/>
      <c r="K32" s="76"/>
      <c r="L32" s="76">
        <v>820000</v>
      </c>
      <c r="M32" s="9">
        <f>SUM(J32:L32)</f>
        <v>820000</v>
      </c>
      <c r="N32" s="20"/>
      <c r="O32" s="20"/>
      <c r="P32" s="4">
        <v>530000</v>
      </c>
      <c r="Q32" s="9">
        <f>SUM(N32:P32)</f>
        <v>530000</v>
      </c>
      <c r="R32" s="20"/>
      <c r="S32" s="20"/>
      <c r="T32" s="20"/>
      <c r="U32" s="21">
        <f>SUM(R32:T32)</f>
        <v>0</v>
      </c>
      <c r="V32" s="25"/>
      <c r="W32" s="25"/>
      <c r="X32" s="25"/>
      <c r="Y32" s="21">
        <f>SUM(V32:X32)</f>
        <v>0</v>
      </c>
      <c r="Z32" s="4">
        <f t="shared" si="16"/>
        <v>0</v>
      </c>
      <c r="AA32" s="4">
        <f t="shared" si="16"/>
        <v>0</v>
      </c>
      <c r="AB32" s="4">
        <f t="shared" si="16"/>
        <v>1505000</v>
      </c>
      <c r="AC32" s="9">
        <f>SUM(Z32:AB32)</f>
        <v>1505000</v>
      </c>
    </row>
    <row r="33" spans="1:29" s="38" customFormat="1">
      <c r="A33" s="34"/>
      <c r="B33" s="34"/>
      <c r="C33" s="35" t="s">
        <v>107</v>
      </c>
      <c r="D33" s="37"/>
      <c r="E33" s="37"/>
      <c r="F33" s="37">
        <f>SUM(F29:F32)</f>
        <v>0</v>
      </c>
      <c r="G33" s="37">
        <f t="shared" ref="G33:AC33" si="17">SUM(G29:G32)</f>
        <v>155000</v>
      </c>
      <c r="H33" s="37">
        <f t="shared" si="17"/>
        <v>458933</v>
      </c>
      <c r="I33" s="37">
        <f t="shared" si="17"/>
        <v>613933</v>
      </c>
      <c r="J33" s="37">
        <f t="shared" si="17"/>
        <v>0</v>
      </c>
      <c r="K33" s="37">
        <f t="shared" si="17"/>
        <v>0</v>
      </c>
      <c r="L33" s="37">
        <f t="shared" si="17"/>
        <v>1110000</v>
      </c>
      <c r="M33" s="37">
        <f t="shared" si="17"/>
        <v>1110000</v>
      </c>
      <c r="N33" s="39">
        <f t="shared" si="17"/>
        <v>0</v>
      </c>
      <c r="O33" s="39">
        <f t="shared" si="17"/>
        <v>605000</v>
      </c>
      <c r="P33" s="39">
        <f t="shared" si="17"/>
        <v>782000</v>
      </c>
      <c r="Q33" s="39">
        <f t="shared" si="17"/>
        <v>1387000</v>
      </c>
      <c r="R33" s="39">
        <f t="shared" si="17"/>
        <v>0</v>
      </c>
      <c r="S33" s="39">
        <f t="shared" si="17"/>
        <v>322500</v>
      </c>
      <c r="T33" s="39">
        <f t="shared" si="17"/>
        <v>122950</v>
      </c>
      <c r="U33" s="39">
        <f t="shared" si="17"/>
        <v>445450</v>
      </c>
      <c r="V33" s="39">
        <f t="shared" si="17"/>
        <v>0</v>
      </c>
      <c r="W33" s="39">
        <f t="shared" si="17"/>
        <v>100000</v>
      </c>
      <c r="X33" s="39">
        <f t="shared" si="17"/>
        <v>276000</v>
      </c>
      <c r="Y33" s="39">
        <f t="shared" si="17"/>
        <v>376000</v>
      </c>
      <c r="Z33" s="39">
        <f t="shared" si="17"/>
        <v>0</v>
      </c>
      <c r="AA33" s="39">
        <f t="shared" si="17"/>
        <v>1182500</v>
      </c>
      <c r="AB33" s="39">
        <f t="shared" si="17"/>
        <v>2749883</v>
      </c>
      <c r="AC33" s="39">
        <f t="shared" si="17"/>
        <v>3932383</v>
      </c>
    </row>
    <row r="34" spans="1:29">
      <c r="A34" s="8">
        <v>1</v>
      </c>
      <c r="B34" s="185" t="s">
        <v>108</v>
      </c>
      <c r="C34" s="1" t="s">
        <v>109</v>
      </c>
      <c r="D34" s="4" t="s">
        <v>108</v>
      </c>
      <c r="E34" s="4" t="s">
        <v>108</v>
      </c>
      <c r="F34" s="4"/>
      <c r="G34" s="4"/>
      <c r="H34" s="5"/>
      <c r="I34" s="9">
        <f t="shared" ref="I34:I45" si="18">SUM(F34:H34)</f>
        <v>0</v>
      </c>
      <c r="J34" s="4"/>
      <c r="K34" s="4"/>
      <c r="L34" s="10"/>
      <c r="M34" s="9">
        <f t="shared" ref="M34:M45" si="19">SUM(J34:L34)</f>
        <v>0</v>
      </c>
      <c r="N34" s="20"/>
      <c r="O34" s="20"/>
      <c r="P34" s="23"/>
      <c r="Q34" s="9">
        <f t="shared" ref="Q34:Q45" si="20">SUM(N34:P34)</f>
        <v>0</v>
      </c>
      <c r="R34" s="20"/>
      <c r="S34" s="20"/>
      <c r="T34" s="20"/>
      <c r="U34" s="21">
        <f t="shared" ref="U34:U45" si="21">SUM(R34:T34)</f>
        <v>0</v>
      </c>
      <c r="V34" s="25"/>
      <c r="W34" s="25"/>
      <c r="X34" s="25"/>
      <c r="Y34" s="21">
        <f t="shared" ref="Y34:Y45" si="22">SUM(V34:X34)</f>
        <v>0</v>
      </c>
      <c r="Z34" s="4">
        <f t="shared" ref="Z34:Z45" si="23">F34+J34+N34+R34+V34</f>
        <v>0</v>
      </c>
      <c r="AA34" s="4">
        <f t="shared" ref="AA34:AA45" si="24">G34+K34+O34+S34+W34</f>
        <v>0</v>
      </c>
      <c r="AB34" s="4">
        <f t="shared" ref="AB34:AB45" si="25">H34+L34+P34+T34+X34</f>
        <v>0</v>
      </c>
      <c r="AC34" s="9">
        <f t="shared" ref="AC34:AC45" si="26">SUM(Z34:AB34)</f>
        <v>0</v>
      </c>
    </row>
    <row r="35" spans="1:29">
      <c r="A35" s="8">
        <v>2</v>
      </c>
      <c r="B35" s="186"/>
      <c r="C35" s="1" t="s">
        <v>110</v>
      </c>
      <c r="D35" s="4" t="s">
        <v>108</v>
      </c>
      <c r="E35" s="4" t="s">
        <v>108</v>
      </c>
      <c r="F35" s="4">
        <v>155000</v>
      </c>
      <c r="G35" s="4">
        <v>368500</v>
      </c>
      <c r="H35" s="4">
        <f>44000+22000+8000+140000</f>
        <v>214000</v>
      </c>
      <c r="I35" s="9">
        <f t="shared" si="18"/>
        <v>737500</v>
      </c>
      <c r="J35" s="4"/>
      <c r="K35" s="4"/>
      <c r="L35" s="4"/>
      <c r="M35" s="9">
        <f t="shared" si="19"/>
        <v>0</v>
      </c>
      <c r="N35" s="20"/>
      <c r="O35" s="20"/>
      <c r="P35" s="20"/>
      <c r="Q35" s="9">
        <f t="shared" si="20"/>
        <v>0</v>
      </c>
      <c r="R35" s="20"/>
      <c r="S35" s="20"/>
      <c r="T35" s="20"/>
      <c r="U35" s="21">
        <f t="shared" si="21"/>
        <v>0</v>
      </c>
      <c r="V35" s="25"/>
      <c r="W35" s="25"/>
      <c r="X35" s="25"/>
      <c r="Y35" s="21">
        <f t="shared" si="22"/>
        <v>0</v>
      </c>
      <c r="Z35" s="4">
        <f t="shared" si="23"/>
        <v>155000</v>
      </c>
      <c r="AA35" s="4">
        <f t="shared" si="24"/>
        <v>368500</v>
      </c>
      <c r="AB35" s="4">
        <f t="shared" si="25"/>
        <v>214000</v>
      </c>
      <c r="AC35" s="9">
        <f t="shared" si="26"/>
        <v>737500</v>
      </c>
    </row>
    <row r="36" spans="1:29" ht="32.25" customHeight="1">
      <c r="A36" s="8">
        <v>3</v>
      </c>
      <c r="B36" s="186"/>
      <c r="C36" s="1" t="s">
        <v>111</v>
      </c>
      <c r="D36" s="4" t="s">
        <v>108</v>
      </c>
      <c r="E36" s="4" t="s">
        <v>108</v>
      </c>
      <c r="F36" s="4"/>
      <c r="G36" s="4"/>
      <c r="H36" s="4"/>
      <c r="I36" s="9">
        <f t="shared" si="18"/>
        <v>0</v>
      </c>
      <c r="J36" s="4"/>
      <c r="K36" s="4"/>
      <c r="L36" s="4"/>
      <c r="M36" s="9">
        <f t="shared" si="19"/>
        <v>0</v>
      </c>
      <c r="N36" s="20"/>
      <c r="O36" s="20"/>
      <c r="P36" s="20"/>
      <c r="Q36" s="9">
        <f t="shared" si="20"/>
        <v>0</v>
      </c>
      <c r="R36" s="20"/>
      <c r="S36" s="24">
        <v>354300</v>
      </c>
      <c r="T36" s="24">
        <f>32950+112000</f>
        <v>144950</v>
      </c>
      <c r="U36" s="21">
        <f t="shared" si="21"/>
        <v>499250</v>
      </c>
      <c r="V36" s="25"/>
      <c r="W36" s="25"/>
      <c r="X36" s="25"/>
      <c r="Y36" s="21">
        <f t="shared" si="22"/>
        <v>0</v>
      </c>
      <c r="Z36" s="4">
        <f t="shared" si="23"/>
        <v>0</v>
      </c>
      <c r="AA36" s="4">
        <f t="shared" si="24"/>
        <v>354300</v>
      </c>
      <c r="AB36" s="4">
        <f t="shared" si="25"/>
        <v>144950</v>
      </c>
      <c r="AC36" s="9">
        <f t="shared" si="26"/>
        <v>499250</v>
      </c>
    </row>
    <row r="37" spans="1:29">
      <c r="A37" s="8">
        <v>4</v>
      </c>
      <c r="B37" s="186"/>
      <c r="C37" s="40" t="s">
        <v>112</v>
      </c>
      <c r="D37" s="4" t="s">
        <v>108</v>
      </c>
      <c r="E37" s="4" t="s">
        <v>108</v>
      </c>
      <c r="F37" s="4"/>
      <c r="G37" s="4"/>
      <c r="H37" s="4"/>
      <c r="I37" s="9">
        <f t="shared" si="18"/>
        <v>0</v>
      </c>
      <c r="J37" s="76">
        <v>290000</v>
      </c>
      <c r="K37" s="76">
        <v>2200000</v>
      </c>
      <c r="L37" s="76">
        <v>1200000</v>
      </c>
      <c r="M37" s="9">
        <f t="shared" si="19"/>
        <v>3690000</v>
      </c>
      <c r="N37" s="20"/>
      <c r="O37" s="20"/>
      <c r="P37" s="20"/>
      <c r="Q37" s="9">
        <f t="shared" si="20"/>
        <v>0</v>
      </c>
      <c r="R37" s="20"/>
      <c r="S37" s="24"/>
      <c r="T37" s="24"/>
      <c r="U37" s="21">
        <f t="shared" si="21"/>
        <v>0</v>
      </c>
      <c r="V37" s="25"/>
      <c r="W37" s="25"/>
      <c r="X37" s="25"/>
      <c r="Y37" s="21">
        <f t="shared" si="22"/>
        <v>0</v>
      </c>
      <c r="Z37" s="4">
        <f t="shared" si="23"/>
        <v>290000</v>
      </c>
      <c r="AA37" s="4">
        <f t="shared" si="24"/>
        <v>2200000</v>
      </c>
      <c r="AB37" s="4">
        <f t="shared" si="25"/>
        <v>1200000</v>
      </c>
      <c r="AC37" s="9">
        <f t="shared" si="26"/>
        <v>3690000</v>
      </c>
    </row>
    <row r="38" spans="1:29">
      <c r="A38" s="8">
        <v>5</v>
      </c>
      <c r="B38" s="186"/>
      <c r="C38" s="1" t="s">
        <v>113</v>
      </c>
      <c r="D38" s="41" t="s">
        <v>114</v>
      </c>
      <c r="E38" s="4" t="s">
        <v>108</v>
      </c>
      <c r="F38" s="4"/>
      <c r="G38" s="4"/>
      <c r="H38" s="4"/>
      <c r="I38" s="9">
        <f t="shared" si="18"/>
        <v>0</v>
      </c>
      <c r="J38" s="4"/>
      <c r="K38" s="4"/>
      <c r="L38" s="4"/>
      <c r="M38" s="9">
        <f t="shared" si="19"/>
        <v>0</v>
      </c>
      <c r="N38" s="20"/>
      <c r="O38" s="20"/>
      <c r="P38" s="20"/>
      <c r="Q38" s="9">
        <f t="shared" si="20"/>
        <v>0</v>
      </c>
      <c r="R38" s="20"/>
      <c r="S38" s="24"/>
      <c r="T38" s="24">
        <f>195000+4000</f>
        <v>199000</v>
      </c>
      <c r="U38" s="21">
        <f t="shared" si="21"/>
        <v>199000</v>
      </c>
      <c r="V38" s="25"/>
      <c r="W38" s="25"/>
      <c r="X38" s="25"/>
      <c r="Y38" s="21">
        <f t="shared" si="22"/>
        <v>0</v>
      </c>
      <c r="Z38" s="4">
        <f t="shared" si="23"/>
        <v>0</v>
      </c>
      <c r="AA38" s="4">
        <f t="shared" si="24"/>
        <v>0</v>
      </c>
      <c r="AB38" s="4">
        <f t="shared" si="25"/>
        <v>199000</v>
      </c>
      <c r="AC38" s="9">
        <f t="shared" si="26"/>
        <v>199000</v>
      </c>
    </row>
    <row r="39" spans="1:29" ht="32.25" customHeight="1">
      <c r="A39" s="8">
        <v>6</v>
      </c>
      <c r="B39" s="186"/>
      <c r="C39" s="1" t="s">
        <v>115</v>
      </c>
      <c r="D39" s="4" t="s">
        <v>116</v>
      </c>
      <c r="E39" s="4" t="s">
        <v>108</v>
      </c>
      <c r="F39" s="4">
        <v>155000</v>
      </c>
      <c r="G39" s="4">
        <v>395500</v>
      </c>
      <c r="H39" s="4">
        <v>303500</v>
      </c>
      <c r="I39" s="9">
        <f t="shared" si="18"/>
        <v>854000</v>
      </c>
      <c r="J39" s="4"/>
      <c r="K39" s="4"/>
      <c r="L39" s="4"/>
      <c r="M39" s="9">
        <f t="shared" si="19"/>
        <v>0</v>
      </c>
      <c r="N39" s="20">
        <v>290000</v>
      </c>
      <c r="O39" s="22">
        <v>364000</v>
      </c>
      <c r="P39" s="4">
        <v>404000</v>
      </c>
      <c r="Q39" s="9">
        <f t="shared" si="20"/>
        <v>1058000</v>
      </c>
      <c r="R39" s="20">
        <v>195000</v>
      </c>
      <c r="S39" s="24">
        <f>438600+4000</f>
        <v>442600</v>
      </c>
      <c r="T39" s="24">
        <v>449800</v>
      </c>
      <c r="U39" s="21">
        <f t="shared" si="21"/>
        <v>1087400</v>
      </c>
      <c r="V39" s="25"/>
      <c r="W39" s="25"/>
      <c r="X39" s="25">
        <v>100000</v>
      </c>
      <c r="Y39" s="21">
        <f t="shared" si="22"/>
        <v>100000</v>
      </c>
      <c r="Z39" s="4">
        <f t="shared" si="23"/>
        <v>640000</v>
      </c>
      <c r="AA39" s="4">
        <f t="shared" si="24"/>
        <v>1202100</v>
      </c>
      <c r="AB39" s="4">
        <f t="shared" si="25"/>
        <v>1257300</v>
      </c>
      <c r="AC39" s="9">
        <f t="shared" si="26"/>
        <v>3099400</v>
      </c>
    </row>
    <row r="40" spans="1:29">
      <c r="A40" s="8">
        <v>6</v>
      </c>
      <c r="B40" s="186"/>
      <c r="C40" s="1" t="s">
        <v>115</v>
      </c>
      <c r="D40" s="4" t="s">
        <v>116</v>
      </c>
      <c r="E40" s="4" t="s">
        <v>108</v>
      </c>
      <c r="F40" s="4"/>
      <c r="G40" s="4"/>
      <c r="H40" s="4"/>
      <c r="I40" s="9">
        <f t="shared" si="18"/>
        <v>0</v>
      </c>
      <c r="J40" s="4"/>
      <c r="K40" s="4"/>
      <c r="L40" s="4"/>
      <c r="M40" s="9">
        <f t="shared" si="19"/>
        <v>0</v>
      </c>
      <c r="N40" s="20"/>
      <c r="O40" s="26"/>
      <c r="P40" s="22"/>
      <c r="Q40" s="9">
        <f t="shared" si="20"/>
        <v>0</v>
      </c>
      <c r="R40" s="20"/>
      <c r="S40" s="24">
        <v>195000</v>
      </c>
      <c r="T40" s="24"/>
      <c r="U40" s="21">
        <f t="shared" si="21"/>
        <v>195000</v>
      </c>
      <c r="V40" s="25"/>
      <c r="W40" s="25"/>
      <c r="X40" s="25"/>
      <c r="Y40" s="21">
        <f t="shared" si="22"/>
        <v>0</v>
      </c>
      <c r="Z40" s="4">
        <f t="shared" si="23"/>
        <v>0</v>
      </c>
      <c r="AA40" s="4">
        <f t="shared" si="24"/>
        <v>195000</v>
      </c>
      <c r="AB40" s="4">
        <f t="shared" si="25"/>
        <v>0</v>
      </c>
      <c r="AC40" s="9">
        <f t="shared" si="26"/>
        <v>195000</v>
      </c>
    </row>
    <row r="41" spans="1:29" ht="31.5">
      <c r="A41" s="8">
        <v>7</v>
      </c>
      <c r="B41" s="186"/>
      <c r="C41" s="1" t="s">
        <v>117</v>
      </c>
      <c r="D41" s="4" t="s">
        <v>114</v>
      </c>
      <c r="E41" s="4" t="s">
        <v>108</v>
      </c>
      <c r="F41" s="4"/>
      <c r="G41" s="4"/>
      <c r="H41" s="4"/>
      <c r="I41" s="9">
        <f t="shared" si="18"/>
        <v>0</v>
      </c>
      <c r="J41" s="76"/>
      <c r="K41" s="76">
        <v>290000</v>
      </c>
      <c r="L41" s="76">
        <v>-290000</v>
      </c>
      <c r="M41" s="9">
        <f t="shared" si="19"/>
        <v>0</v>
      </c>
      <c r="N41" s="20"/>
      <c r="O41" s="20"/>
      <c r="P41" s="20"/>
      <c r="Q41" s="9">
        <f t="shared" si="20"/>
        <v>0</v>
      </c>
      <c r="R41" s="20"/>
      <c r="S41" s="24"/>
      <c r="T41" s="24"/>
      <c r="U41" s="21">
        <f t="shared" si="21"/>
        <v>0</v>
      </c>
      <c r="V41" s="25"/>
      <c r="W41" s="25"/>
      <c r="X41" s="25"/>
      <c r="Y41" s="21">
        <f t="shared" si="22"/>
        <v>0</v>
      </c>
      <c r="Z41" s="4">
        <f t="shared" si="23"/>
        <v>0</v>
      </c>
      <c r="AA41" s="4">
        <f t="shared" si="24"/>
        <v>290000</v>
      </c>
      <c r="AB41" s="4">
        <f t="shared" si="25"/>
        <v>-290000</v>
      </c>
      <c r="AC41" s="9">
        <f t="shared" si="26"/>
        <v>0</v>
      </c>
    </row>
    <row r="42" spans="1:29">
      <c r="A42" s="8">
        <v>8</v>
      </c>
      <c r="B42" s="186"/>
      <c r="C42" s="1" t="s">
        <v>118</v>
      </c>
      <c r="D42" s="4" t="s">
        <v>108</v>
      </c>
      <c r="E42" s="4" t="s">
        <v>108</v>
      </c>
      <c r="F42" s="4"/>
      <c r="G42" s="4"/>
      <c r="H42" s="4">
        <f>155000+40000</f>
        <v>195000</v>
      </c>
      <c r="I42" s="9">
        <f t="shared" si="18"/>
        <v>195000</v>
      </c>
      <c r="J42" s="4"/>
      <c r="K42" s="4"/>
      <c r="L42" s="4"/>
      <c r="M42" s="9">
        <f t="shared" si="19"/>
        <v>0</v>
      </c>
      <c r="N42" s="20"/>
      <c r="O42" s="20"/>
      <c r="P42" s="20"/>
      <c r="Q42" s="9">
        <f t="shared" si="20"/>
        <v>0</v>
      </c>
      <c r="R42" s="20"/>
      <c r="S42" s="20"/>
      <c r="T42" s="20"/>
      <c r="U42" s="21">
        <f t="shared" si="21"/>
        <v>0</v>
      </c>
      <c r="V42" s="25"/>
      <c r="W42" s="25"/>
      <c r="X42" s="25"/>
      <c r="Y42" s="21">
        <f t="shared" si="22"/>
        <v>0</v>
      </c>
      <c r="Z42" s="4">
        <f t="shared" si="23"/>
        <v>0</v>
      </c>
      <c r="AA42" s="4">
        <f t="shared" si="24"/>
        <v>0</v>
      </c>
      <c r="AB42" s="4">
        <f t="shared" si="25"/>
        <v>195000</v>
      </c>
      <c r="AC42" s="9">
        <f t="shared" si="26"/>
        <v>195000</v>
      </c>
    </row>
    <row r="43" spans="1:29">
      <c r="A43" s="8">
        <v>8</v>
      </c>
      <c r="B43" s="186"/>
      <c r="C43" s="1" t="s">
        <v>119</v>
      </c>
      <c r="D43" s="4" t="s">
        <v>108</v>
      </c>
      <c r="E43" s="4" t="s">
        <v>108</v>
      </c>
      <c r="F43" s="4"/>
      <c r="G43" s="4">
        <v>155000</v>
      </c>
      <c r="H43" s="4"/>
      <c r="I43" s="9">
        <f t="shared" si="18"/>
        <v>155000</v>
      </c>
      <c r="J43" s="4"/>
      <c r="K43" s="4"/>
      <c r="L43" s="4"/>
      <c r="M43" s="9">
        <f t="shared" si="19"/>
        <v>0</v>
      </c>
      <c r="N43" s="20"/>
      <c r="O43" s="20"/>
      <c r="P43" s="20"/>
      <c r="Q43" s="9">
        <f t="shared" si="20"/>
        <v>0</v>
      </c>
      <c r="R43" s="20"/>
      <c r="S43" s="20"/>
      <c r="T43" s="20"/>
      <c r="U43" s="21">
        <f t="shared" si="21"/>
        <v>0</v>
      </c>
      <c r="V43" s="25"/>
      <c r="W43" s="25">
        <v>100000</v>
      </c>
      <c r="X43" s="25">
        <v>239200</v>
      </c>
      <c r="Y43" s="21">
        <f t="shared" si="22"/>
        <v>339200</v>
      </c>
      <c r="Z43" s="4">
        <f t="shared" si="23"/>
        <v>0</v>
      </c>
      <c r="AA43" s="4">
        <f t="shared" si="24"/>
        <v>255000</v>
      </c>
      <c r="AB43" s="4">
        <f t="shared" si="25"/>
        <v>239200</v>
      </c>
      <c r="AC43" s="9">
        <f t="shared" si="26"/>
        <v>494200</v>
      </c>
    </row>
    <row r="44" spans="1:29">
      <c r="A44" s="8">
        <v>9</v>
      </c>
      <c r="B44" s="186"/>
      <c r="C44" s="1" t="s">
        <v>120</v>
      </c>
      <c r="D44" s="4" t="s">
        <v>108</v>
      </c>
      <c r="E44" s="4" t="s">
        <v>108</v>
      </c>
      <c r="F44" s="4"/>
      <c r="G44" s="4"/>
      <c r="H44" s="4"/>
      <c r="I44" s="9">
        <f t="shared" si="18"/>
        <v>0</v>
      </c>
      <c r="J44" s="4"/>
      <c r="K44" s="4"/>
      <c r="L44" s="4"/>
      <c r="M44" s="9">
        <f t="shared" si="19"/>
        <v>0</v>
      </c>
      <c r="N44" s="20"/>
      <c r="O44" s="20"/>
      <c r="P44" s="20"/>
      <c r="Q44" s="9">
        <f t="shared" si="20"/>
        <v>0</v>
      </c>
      <c r="R44" s="20"/>
      <c r="S44" s="20">
        <v>195000</v>
      </c>
      <c r="T44" s="20"/>
      <c r="U44" s="21">
        <f t="shared" si="21"/>
        <v>195000</v>
      </c>
      <c r="V44" s="25"/>
      <c r="W44" s="25"/>
      <c r="X44" s="25"/>
      <c r="Y44" s="21">
        <f t="shared" si="22"/>
        <v>0</v>
      </c>
      <c r="Z44" s="4">
        <f t="shared" si="23"/>
        <v>0</v>
      </c>
      <c r="AA44" s="4">
        <f t="shared" si="24"/>
        <v>195000</v>
      </c>
      <c r="AB44" s="4">
        <f t="shared" si="25"/>
        <v>0</v>
      </c>
      <c r="AC44" s="9">
        <f t="shared" si="26"/>
        <v>195000</v>
      </c>
    </row>
    <row r="45" spans="1:29">
      <c r="A45" s="8">
        <v>10</v>
      </c>
      <c r="B45" s="187"/>
      <c r="C45" s="1" t="s">
        <v>121</v>
      </c>
      <c r="D45" s="4" t="s">
        <v>108</v>
      </c>
      <c r="E45" s="4" t="s">
        <v>108</v>
      </c>
      <c r="F45" s="4"/>
      <c r="G45" s="4">
        <v>155000</v>
      </c>
      <c r="H45" s="4">
        <v>44000</v>
      </c>
      <c r="I45" s="9">
        <f t="shared" si="18"/>
        <v>199000</v>
      </c>
      <c r="J45" s="4"/>
      <c r="K45" s="4"/>
      <c r="L45" s="4"/>
      <c r="M45" s="9">
        <f t="shared" si="19"/>
        <v>0</v>
      </c>
      <c r="N45" s="20"/>
      <c r="O45" s="20"/>
      <c r="P45" s="20"/>
      <c r="Q45" s="9">
        <f t="shared" si="20"/>
        <v>0</v>
      </c>
      <c r="R45" s="20"/>
      <c r="S45" s="20"/>
      <c r="T45" s="24">
        <v>188250</v>
      </c>
      <c r="U45" s="21">
        <f t="shared" si="21"/>
        <v>188250</v>
      </c>
      <c r="V45" s="25"/>
      <c r="W45" s="25"/>
      <c r="X45" s="25"/>
      <c r="Y45" s="21">
        <f t="shared" si="22"/>
        <v>0</v>
      </c>
      <c r="Z45" s="4">
        <f t="shared" si="23"/>
        <v>0</v>
      </c>
      <c r="AA45" s="4">
        <f t="shared" si="24"/>
        <v>155000</v>
      </c>
      <c r="AB45" s="4">
        <f t="shared" si="25"/>
        <v>232250</v>
      </c>
      <c r="AC45" s="9">
        <f t="shared" si="26"/>
        <v>387250</v>
      </c>
    </row>
    <row r="46" spans="1:29" s="38" customFormat="1">
      <c r="A46" s="34"/>
      <c r="B46" s="34"/>
      <c r="C46" s="35" t="s">
        <v>122</v>
      </c>
      <c r="D46" s="37"/>
      <c r="E46" s="37"/>
      <c r="F46" s="37">
        <f>SUM(F34:F45)</f>
        <v>310000</v>
      </c>
      <c r="G46" s="37">
        <f t="shared" ref="G46:AC46" si="27">SUM(G34:G45)</f>
        <v>1074000</v>
      </c>
      <c r="H46" s="37">
        <f t="shared" si="27"/>
        <v>756500</v>
      </c>
      <c r="I46" s="37">
        <f t="shared" si="27"/>
        <v>2140500</v>
      </c>
      <c r="J46" s="37">
        <f t="shared" si="27"/>
        <v>290000</v>
      </c>
      <c r="K46" s="37">
        <f t="shared" si="27"/>
        <v>2490000</v>
      </c>
      <c r="L46" s="37">
        <f t="shared" si="27"/>
        <v>910000</v>
      </c>
      <c r="M46" s="37">
        <f t="shared" si="27"/>
        <v>3690000</v>
      </c>
      <c r="N46" s="39">
        <f t="shared" si="27"/>
        <v>290000</v>
      </c>
      <c r="O46" s="39">
        <f t="shared" si="27"/>
        <v>364000</v>
      </c>
      <c r="P46" s="39">
        <f t="shared" si="27"/>
        <v>404000</v>
      </c>
      <c r="Q46" s="39">
        <f t="shared" si="27"/>
        <v>1058000</v>
      </c>
      <c r="R46" s="39">
        <f t="shared" si="27"/>
        <v>195000</v>
      </c>
      <c r="S46" s="39">
        <f t="shared" si="27"/>
        <v>1186900</v>
      </c>
      <c r="T46" s="39">
        <f t="shared" si="27"/>
        <v>982000</v>
      </c>
      <c r="U46" s="39">
        <f t="shared" si="27"/>
        <v>2363900</v>
      </c>
      <c r="V46" s="39">
        <f t="shared" si="27"/>
        <v>0</v>
      </c>
      <c r="W46" s="39">
        <f t="shared" si="27"/>
        <v>100000</v>
      </c>
      <c r="X46" s="39">
        <f t="shared" si="27"/>
        <v>339200</v>
      </c>
      <c r="Y46" s="39">
        <f t="shared" si="27"/>
        <v>439200</v>
      </c>
      <c r="Z46" s="39">
        <f t="shared" si="27"/>
        <v>1085000</v>
      </c>
      <c r="AA46" s="39">
        <f t="shared" si="27"/>
        <v>5214900</v>
      </c>
      <c r="AB46" s="39">
        <f t="shared" si="27"/>
        <v>3391700</v>
      </c>
      <c r="AC46" s="39">
        <f t="shared" si="27"/>
        <v>9691600</v>
      </c>
    </row>
    <row r="47" spans="1:29" ht="31.5">
      <c r="A47" s="8">
        <v>1</v>
      </c>
      <c r="B47" s="185" t="s">
        <v>20</v>
      </c>
      <c r="C47" s="1" t="s">
        <v>123</v>
      </c>
      <c r="D47" s="4" t="s">
        <v>124</v>
      </c>
      <c r="E47" s="4" t="s">
        <v>20</v>
      </c>
      <c r="F47" s="4"/>
      <c r="G47" s="4"/>
      <c r="H47" s="5"/>
      <c r="I47" s="9">
        <f t="shared" ref="I47:I54" si="28">SUM(F47:H47)</f>
        <v>0</v>
      </c>
      <c r="J47" s="4"/>
      <c r="K47" s="4"/>
      <c r="L47" s="4"/>
      <c r="M47" s="9">
        <f t="shared" ref="M47:M54" si="29">SUM(J47:L47)</f>
        <v>0</v>
      </c>
      <c r="N47" s="20"/>
      <c r="O47" s="20"/>
      <c r="P47" s="20"/>
      <c r="Q47" s="9">
        <f t="shared" ref="Q47:Q54" si="30">SUM(N47:P47)</f>
        <v>0</v>
      </c>
      <c r="R47" s="20"/>
      <c r="S47" s="25">
        <v>481150</v>
      </c>
      <c r="T47" s="25">
        <f>202300+70000</f>
        <v>272300</v>
      </c>
      <c r="U47" s="21">
        <f t="shared" ref="U47:U54" si="31">SUM(R47:T47)</f>
        <v>753450</v>
      </c>
      <c r="V47" s="25"/>
      <c r="W47" s="25"/>
      <c r="X47" s="25"/>
      <c r="Y47" s="21">
        <f t="shared" ref="Y47:Y54" si="32">SUM(V47:X47)</f>
        <v>0</v>
      </c>
      <c r="Z47" s="4">
        <f t="shared" ref="Z47:AB54" si="33">F47+J47+N47+R47+V47</f>
        <v>0</v>
      </c>
      <c r="AA47" s="4">
        <f t="shared" si="33"/>
        <v>481150</v>
      </c>
      <c r="AB47" s="4">
        <f t="shared" si="33"/>
        <v>272300</v>
      </c>
      <c r="AC47" s="9">
        <f t="shared" ref="AC47:AC54" si="34">SUM(Z47:AB47)</f>
        <v>753450</v>
      </c>
    </row>
    <row r="48" spans="1:29" ht="31.5">
      <c r="A48" s="8">
        <v>2</v>
      </c>
      <c r="B48" s="186"/>
      <c r="C48" s="1" t="s">
        <v>125</v>
      </c>
      <c r="D48" s="4" t="s">
        <v>126</v>
      </c>
      <c r="E48" s="4" t="s">
        <v>20</v>
      </c>
      <c r="F48" s="4">
        <v>155000</v>
      </c>
      <c r="G48" s="4">
        <v>712500</v>
      </c>
      <c r="H48" s="4">
        <f>60500+60500+200000</f>
        <v>321000</v>
      </c>
      <c r="I48" s="9">
        <f t="shared" si="28"/>
        <v>1188500</v>
      </c>
      <c r="J48" s="4"/>
      <c r="K48" s="4"/>
      <c r="L48" s="4"/>
      <c r="M48" s="9">
        <f t="shared" si="29"/>
        <v>0</v>
      </c>
      <c r="N48" s="20"/>
      <c r="O48" s="20"/>
      <c r="P48" s="20"/>
      <c r="Q48" s="9">
        <f t="shared" si="30"/>
        <v>0</v>
      </c>
      <c r="R48" s="20">
        <v>195000</v>
      </c>
      <c r="S48" s="25">
        <v>608650</v>
      </c>
      <c r="T48" s="25">
        <v>377050</v>
      </c>
      <c r="U48" s="21">
        <f t="shared" si="31"/>
        <v>1180700</v>
      </c>
      <c r="V48" s="25"/>
      <c r="W48" s="25"/>
      <c r="X48" s="25"/>
      <c r="Y48" s="21">
        <f t="shared" si="32"/>
        <v>0</v>
      </c>
      <c r="Z48" s="4">
        <f t="shared" si="33"/>
        <v>350000</v>
      </c>
      <c r="AA48" s="4">
        <f t="shared" si="33"/>
        <v>1321150</v>
      </c>
      <c r="AB48" s="4">
        <f t="shared" si="33"/>
        <v>698050</v>
      </c>
      <c r="AC48" s="9">
        <f t="shared" si="34"/>
        <v>2369200</v>
      </c>
    </row>
    <row r="49" spans="1:29">
      <c r="A49" s="8">
        <v>3</v>
      </c>
      <c r="B49" s="186"/>
      <c r="C49" s="1" t="s">
        <v>127</v>
      </c>
      <c r="D49" s="4" t="s">
        <v>128</v>
      </c>
      <c r="E49" s="4" t="s">
        <v>20</v>
      </c>
      <c r="F49" s="4"/>
      <c r="G49" s="4">
        <v>155000</v>
      </c>
      <c r="H49" s="4">
        <v>311100</v>
      </c>
      <c r="I49" s="9">
        <f t="shared" si="28"/>
        <v>466100</v>
      </c>
      <c r="J49" s="4"/>
      <c r="K49" s="4"/>
      <c r="L49" s="4"/>
      <c r="M49" s="9">
        <f t="shared" si="29"/>
        <v>0</v>
      </c>
      <c r="N49" s="20"/>
      <c r="O49" s="20"/>
      <c r="P49" s="20"/>
      <c r="Q49" s="9">
        <f t="shared" si="30"/>
        <v>0</v>
      </c>
      <c r="R49" s="20"/>
      <c r="S49" s="20"/>
      <c r="T49" s="20"/>
      <c r="U49" s="21">
        <f t="shared" si="31"/>
        <v>0</v>
      </c>
      <c r="V49" s="25"/>
      <c r="W49" s="24">
        <v>100000</v>
      </c>
      <c r="X49" s="25"/>
      <c r="Y49" s="21">
        <f t="shared" si="32"/>
        <v>100000</v>
      </c>
      <c r="Z49" s="4">
        <f t="shared" si="33"/>
        <v>0</v>
      </c>
      <c r="AA49" s="4">
        <f t="shared" si="33"/>
        <v>255000</v>
      </c>
      <c r="AB49" s="4">
        <f t="shared" si="33"/>
        <v>311100</v>
      </c>
      <c r="AC49" s="9">
        <f t="shared" si="34"/>
        <v>566100</v>
      </c>
    </row>
    <row r="50" spans="1:29">
      <c r="A50" s="8">
        <v>4</v>
      </c>
      <c r="B50" s="186"/>
      <c r="C50" s="1" t="s">
        <v>129</v>
      </c>
      <c r="D50" s="4" t="s">
        <v>130</v>
      </c>
      <c r="E50" s="4" t="s">
        <v>20</v>
      </c>
      <c r="F50" s="4"/>
      <c r="G50" s="4">
        <v>155000</v>
      </c>
      <c r="H50" s="4"/>
      <c r="I50" s="9">
        <f t="shared" si="28"/>
        <v>155000</v>
      </c>
      <c r="J50" s="4"/>
      <c r="K50" s="4"/>
      <c r="L50" s="4"/>
      <c r="M50" s="9">
        <f t="shared" si="29"/>
        <v>0</v>
      </c>
      <c r="N50" s="20"/>
      <c r="O50" s="20"/>
      <c r="P50" s="20"/>
      <c r="Q50" s="9">
        <f t="shared" si="30"/>
        <v>0</v>
      </c>
      <c r="R50" s="20"/>
      <c r="S50" s="20">
        <v>195000</v>
      </c>
      <c r="T50" s="25">
        <v>73150</v>
      </c>
      <c r="U50" s="21">
        <f t="shared" si="31"/>
        <v>268150</v>
      </c>
      <c r="V50" s="25"/>
      <c r="W50" s="25"/>
      <c r="X50" s="25"/>
      <c r="Y50" s="21">
        <f t="shared" si="32"/>
        <v>0</v>
      </c>
      <c r="Z50" s="4">
        <f t="shared" si="33"/>
        <v>0</v>
      </c>
      <c r="AA50" s="4">
        <f t="shared" si="33"/>
        <v>350000</v>
      </c>
      <c r="AB50" s="4">
        <f t="shared" si="33"/>
        <v>73150</v>
      </c>
      <c r="AC50" s="9">
        <f t="shared" si="34"/>
        <v>423150</v>
      </c>
    </row>
    <row r="51" spans="1:29" ht="31.5">
      <c r="A51" s="8">
        <v>5</v>
      </c>
      <c r="B51" s="186"/>
      <c r="C51" s="1" t="s">
        <v>131</v>
      </c>
      <c r="D51" s="4" t="s">
        <v>132</v>
      </c>
      <c r="E51" s="4" t="s">
        <v>20</v>
      </c>
      <c r="F51" s="4">
        <v>155000</v>
      </c>
      <c r="G51" s="4">
        <v>427000</v>
      </c>
      <c r="H51" s="4">
        <f>71500+71500+231000</f>
        <v>374000</v>
      </c>
      <c r="I51" s="9">
        <f t="shared" si="28"/>
        <v>956000</v>
      </c>
      <c r="J51" s="4"/>
      <c r="K51" s="4"/>
      <c r="L51" s="4"/>
      <c r="M51" s="9">
        <f t="shared" si="29"/>
        <v>0</v>
      </c>
      <c r="N51" s="20"/>
      <c r="O51" s="20"/>
      <c r="P51" s="20"/>
      <c r="Q51" s="9">
        <f t="shared" si="30"/>
        <v>0</v>
      </c>
      <c r="R51" s="20"/>
      <c r="S51" s="25">
        <v>585250</v>
      </c>
      <c r="T51" s="25">
        <v>174600</v>
      </c>
      <c r="U51" s="21">
        <f t="shared" si="31"/>
        <v>759850</v>
      </c>
      <c r="V51" s="25"/>
      <c r="W51" s="25"/>
      <c r="X51" s="25"/>
      <c r="Y51" s="21">
        <f t="shared" si="32"/>
        <v>0</v>
      </c>
      <c r="Z51" s="4">
        <f t="shared" si="33"/>
        <v>155000</v>
      </c>
      <c r="AA51" s="4">
        <f t="shared" si="33"/>
        <v>1012250</v>
      </c>
      <c r="AB51" s="4">
        <f t="shared" si="33"/>
        <v>548600</v>
      </c>
      <c r="AC51" s="9">
        <f t="shared" si="34"/>
        <v>1715850</v>
      </c>
    </row>
    <row r="52" spans="1:29">
      <c r="A52" s="8">
        <v>6</v>
      </c>
      <c r="B52" s="186"/>
      <c r="C52" s="1" t="s">
        <v>52</v>
      </c>
      <c r="D52" s="4" t="s">
        <v>30</v>
      </c>
      <c r="E52" s="4" t="s">
        <v>20</v>
      </c>
      <c r="F52" s="4">
        <v>155000</v>
      </c>
      <c r="G52" s="4">
        <v>279000</v>
      </c>
      <c r="H52" s="4">
        <f>108000+36000</f>
        <v>144000</v>
      </c>
      <c r="I52" s="9">
        <f t="shared" si="28"/>
        <v>578000</v>
      </c>
      <c r="J52" s="4"/>
      <c r="K52" s="4"/>
      <c r="L52" s="4"/>
      <c r="M52" s="9">
        <f t="shared" si="29"/>
        <v>0</v>
      </c>
      <c r="N52" s="20"/>
      <c r="O52" s="20"/>
      <c r="P52" s="20"/>
      <c r="Q52" s="9">
        <f t="shared" si="30"/>
        <v>0</v>
      </c>
      <c r="R52" s="20"/>
      <c r="S52" s="20"/>
      <c r="T52" s="20"/>
      <c r="U52" s="21">
        <f t="shared" si="31"/>
        <v>0</v>
      </c>
      <c r="V52" s="25"/>
      <c r="W52" s="25"/>
      <c r="X52" s="25"/>
      <c r="Y52" s="21">
        <f t="shared" si="32"/>
        <v>0</v>
      </c>
      <c r="Z52" s="4">
        <f t="shared" si="33"/>
        <v>155000</v>
      </c>
      <c r="AA52" s="4">
        <f t="shared" si="33"/>
        <v>279000</v>
      </c>
      <c r="AB52" s="4">
        <f t="shared" si="33"/>
        <v>144000</v>
      </c>
      <c r="AC52" s="9">
        <f t="shared" si="34"/>
        <v>578000</v>
      </c>
    </row>
    <row r="53" spans="1:29" ht="31.5">
      <c r="A53" s="8">
        <v>7</v>
      </c>
      <c r="B53" s="186"/>
      <c r="C53" s="1" t="s">
        <v>133</v>
      </c>
      <c r="D53" s="4" t="s">
        <v>134</v>
      </c>
      <c r="E53" s="4" t="s">
        <v>20</v>
      </c>
      <c r="F53" s="4">
        <v>155000</v>
      </c>
      <c r="G53" s="4">
        <v>823000</v>
      </c>
      <c r="H53" s="4">
        <f>82500+82500</f>
        <v>165000</v>
      </c>
      <c r="I53" s="9">
        <f t="shared" si="28"/>
        <v>1143000</v>
      </c>
      <c r="J53" s="4"/>
      <c r="K53" s="4"/>
      <c r="L53" s="4"/>
      <c r="M53" s="9">
        <f t="shared" si="29"/>
        <v>0</v>
      </c>
      <c r="N53" s="20">
        <v>290000</v>
      </c>
      <c r="O53" s="22">
        <v>1267000</v>
      </c>
      <c r="P53" s="4">
        <v>448000</v>
      </c>
      <c r="Q53" s="9">
        <f t="shared" si="30"/>
        <v>2005000</v>
      </c>
      <c r="R53" s="20">
        <v>195000</v>
      </c>
      <c r="S53" s="25">
        <v>1031900</v>
      </c>
      <c r="T53" s="25">
        <v>412250</v>
      </c>
      <c r="U53" s="21">
        <f t="shared" si="31"/>
        <v>1639150</v>
      </c>
      <c r="V53" s="25"/>
      <c r="W53" s="25"/>
      <c r="X53" s="25"/>
      <c r="Y53" s="21">
        <f t="shared" si="32"/>
        <v>0</v>
      </c>
      <c r="Z53" s="4">
        <f t="shared" si="33"/>
        <v>640000</v>
      </c>
      <c r="AA53" s="4">
        <f t="shared" si="33"/>
        <v>3121900</v>
      </c>
      <c r="AB53" s="4">
        <f t="shared" si="33"/>
        <v>1025250</v>
      </c>
      <c r="AC53" s="9">
        <f t="shared" si="34"/>
        <v>4787150</v>
      </c>
    </row>
    <row r="54" spans="1:29" ht="47.25">
      <c r="A54" s="8">
        <v>8</v>
      </c>
      <c r="B54" s="187"/>
      <c r="C54" s="1" t="s">
        <v>135</v>
      </c>
      <c r="D54" s="4" t="s">
        <v>124</v>
      </c>
      <c r="E54" s="4" t="s">
        <v>20</v>
      </c>
      <c r="F54" s="4"/>
      <c r="G54" s="4">
        <v>630500</v>
      </c>
      <c r="H54" s="4">
        <f>60500+60500+170500</f>
        <v>291500</v>
      </c>
      <c r="I54" s="9">
        <f t="shared" si="28"/>
        <v>922000</v>
      </c>
      <c r="J54" s="4"/>
      <c r="K54" s="4"/>
      <c r="L54" s="4"/>
      <c r="M54" s="9">
        <f t="shared" si="29"/>
        <v>0</v>
      </c>
      <c r="N54" s="20"/>
      <c r="O54" s="20"/>
      <c r="P54" s="20"/>
      <c r="Q54" s="9">
        <f t="shared" si="30"/>
        <v>0</v>
      </c>
      <c r="R54" s="20">
        <v>195000</v>
      </c>
      <c r="S54" s="25">
        <v>854300</v>
      </c>
      <c r="T54" s="25">
        <v>375250</v>
      </c>
      <c r="U54" s="21">
        <f t="shared" si="31"/>
        <v>1424550</v>
      </c>
      <c r="V54" s="25"/>
      <c r="W54" s="25"/>
      <c r="X54" s="25">
        <v>100000</v>
      </c>
      <c r="Y54" s="21">
        <f t="shared" si="32"/>
        <v>100000</v>
      </c>
      <c r="Z54" s="4">
        <f t="shared" si="33"/>
        <v>195000</v>
      </c>
      <c r="AA54" s="4">
        <f t="shared" si="33"/>
        <v>1484800</v>
      </c>
      <c r="AB54" s="4">
        <f t="shared" si="33"/>
        <v>766750</v>
      </c>
      <c r="AC54" s="9">
        <f t="shared" si="34"/>
        <v>2446550</v>
      </c>
    </row>
    <row r="55" spans="1:29" s="38" customFormat="1">
      <c r="A55" s="34"/>
      <c r="B55" s="34"/>
      <c r="C55" s="35" t="s">
        <v>136</v>
      </c>
      <c r="D55" s="37"/>
      <c r="E55" s="37"/>
      <c r="F55" s="37">
        <f>SUM(F47:F54)</f>
        <v>620000</v>
      </c>
      <c r="G55" s="37">
        <f t="shared" ref="G55:AC55" si="35">SUM(G47:G54)</f>
        <v>3182000</v>
      </c>
      <c r="H55" s="37">
        <f t="shared" si="35"/>
        <v>1606600</v>
      </c>
      <c r="I55" s="37">
        <f t="shared" si="35"/>
        <v>5408600</v>
      </c>
      <c r="J55" s="37">
        <f t="shared" si="35"/>
        <v>0</v>
      </c>
      <c r="K55" s="37">
        <f t="shared" si="35"/>
        <v>0</v>
      </c>
      <c r="L55" s="37">
        <f t="shared" si="35"/>
        <v>0</v>
      </c>
      <c r="M55" s="37">
        <f t="shared" si="35"/>
        <v>0</v>
      </c>
      <c r="N55" s="39">
        <f t="shared" si="35"/>
        <v>290000</v>
      </c>
      <c r="O55" s="39">
        <f t="shared" si="35"/>
        <v>1267000</v>
      </c>
      <c r="P55" s="39">
        <f t="shared" si="35"/>
        <v>448000</v>
      </c>
      <c r="Q55" s="39">
        <f t="shared" si="35"/>
        <v>2005000</v>
      </c>
      <c r="R55" s="39">
        <f t="shared" si="35"/>
        <v>585000</v>
      </c>
      <c r="S55" s="39">
        <f t="shared" si="35"/>
        <v>3756250</v>
      </c>
      <c r="T55" s="39">
        <f t="shared" si="35"/>
        <v>1684600</v>
      </c>
      <c r="U55" s="39">
        <f t="shared" si="35"/>
        <v>6025850</v>
      </c>
      <c r="V55" s="39">
        <f t="shared" si="35"/>
        <v>0</v>
      </c>
      <c r="W55" s="39">
        <f t="shared" si="35"/>
        <v>100000</v>
      </c>
      <c r="X55" s="39">
        <f t="shared" si="35"/>
        <v>100000</v>
      </c>
      <c r="Y55" s="39">
        <f t="shared" si="35"/>
        <v>200000</v>
      </c>
      <c r="Z55" s="39">
        <f t="shared" si="35"/>
        <v>1495000</v>
      </c>
      <c r="AA55" s="39">
        <f t="shared" si="35"/>
        <v>8305250</v>
      </c>
      <c r="AB55" s="39">
        <f t="shared" si="35"/>
        <v>3839200</v>
      </c>
      <c r="AC55" s="39">
        <f t="shared" si="35"/>
        <v>13639450</v>
      </c>
    </row>
    <row r="56" spans="1:29">
      <c r="A56" s="8">
        <v>1</v>
      </c>
      <c r="B56" s="189" t="s">
        <v>19</v>
      </c>
      <c r="C56" s="1" t="s">
        <v>137</v>
      </c>
      <c r="D56" s="12"/>
      <c r="E56" s="4" t="s">
        <v>19</v>
      </c>
      <c r="F56" s="4"/>
      <c r="G56" s="4"/>
      <c r="H56" s="5"/>
      <c r="I56" s="9">
        <f t="shared" ref="I56:I63" si="36">SUM(F56:H56)</f>
        <v>0</v>
      </c>
      <c r="J56" s="4"/>
      <c r="K56" s="4"/>
      <c r="L56" s="4"/>
      <c r="M56" s="9">
        <f t="shared" ref="M56:M63" si="37">SUM(J56:L56)</f>
        <v>0</v>
      </c>
      <c r="N56" s="20"/>
      <c r="O56" s="20"/>
      <c r="P56" s="20"/>
      <c r="Q56" s="9">
        <f t="shared" ref="Q56:Q63" si="38">SUM(N56:P56)</f>
        <v>0</v>
      </c>
      <c r="R56" s="20"/>
      <c r="S56" s="25">
        <v>992250</v>
      </c>
      <c r="T56" s="25">
        <f>546900+180000</f>
        <v>726900</v>
      </c>
      <c r="U56" s="21">
        <f t="shared" ref="U56:U63" si="39">SUM(R56:T56)</f>
        <v>1719150</v>
      </c>
      <c r="V56" s="25"/>
      <c r="W56" s="25">
        <v>100000</v>
      </c>
      <c r="X56" s="25">
        <v>540000</v>
      </c>
      <c r="Y56" s="21">
        <f t="shared" ref="Y56:Y63" si="40">SUM(V56:X56)</f>
        <v>640000</v>
      </c>
      <c r="Z56" s="4">
        <f t="shared" ref="Z56:AB63" si="41">F56+J56+N56+R56+V56</f>
        <v>0</v>
      </c>
      <c r="AA56" s="4">
        <f t="shared" si="41"/>
        <v>1092250</v>
      </c>
      <c r="AB56" s="4">
        <f t="shared" si="41"/>
        <v>1266900</v>
      </c>
      <c r="AC56" s="9">
        <f t="shared" ref="AC56:AC63" si="42">SUM(Z56:AB56)</f>
        <v>2359150</v>
      </c>
    </row>
    <row r="57" spans="1:29">
      <c r="A57" s="8">
        <v>2</v>
      </c>
      <c r="B57" s="190"/>
      <c r="C57" s="1" t="s">
        <v>394</v>
      </c>
      <c r="D57" s="12" t="s">
        <v>395</v>
      </c>
      <c r="E57" s="4" t="s">
        <v>19</v>
      </c>
      <c r="F57" s="4"/>
      <c r="G57" s="4"/>
      <c r="H57" s="5"/>
      <c r="I57" s="9">
        <f t="shared" si="36"/>
        <v>0</v>
      </c>
      <c r="J57" s="4"/>
      <c r="K57" s="4"/>
      <c r="L57" s="4"/>
      <c r="M57" s="9">
        <f t="shared" si="37"/>
        <v>0</v>
      </c>
      <c r="N57" s="20"/>
      <c r="O57" s="20"/>
      <c r="P57" s="20"/>
      <c r="Q57" s="9">
        <f t="shared" si="38"/>
        <v>0</v>
      </c>
      <c r="R57" s="20"/>
      <c r="S57" s="25"/>
      <c r="T57" s="25"/>
      <c r="U57" s="21">
        <f t="shared" si="39"/>
        <v>0</v>
      </c>
      <c r="V57" s="25"/>
      <c r="W57" s="25">
        <v>100000</v>
      </c>
      <c r="X57" s="25">
        <v>-100000</v>
      </c>
      <c r="Y57" s="21">
        <f t="shared" si="40"/>
        <v>0</v>
      </c>
      <c r="Z57" s="4">
        <f t="shared" si="41"/>
        <v>0</v>
      </c>
      <c r="AA57" s="4">
        <f t="shared" si="41"/>
        <v>100000</v>
      </c>
      <c r="AB57" s="4">
        <f t="shared" si="41"/>
        <v>-100000</v>
      </c>
      <c r="AC57" s="9">
        <f t="shared" si="42"/>
        <v>0</v>
      </c>
    </row>
    <row r="58" spans="1:29">
      <c r="A58" s="8">
        <v>3</v>
      </c>
      <c r="B58" s="190"/>
      <c r="C58" s="1" t="s">
        <v>59</v>
      </c>
      <c r="D58" s="12" t="s">
        <v>27</v>
      </c>
      <c r="E58" s="4" t="s">
        <v>19</v>
      </c>
      <c r="F58" s="4"/>
      <c r="G58" s="4"/>
      <c r="H58" s="4"/>
      <c r="I58" s="9">
        <f t="shared" si="36"/>
        <v>0</v>
      </c>
      <c r="J58" s="4"/>
      <c r="K58" s="4"/>
      <c r="L58" s="4"/>
      <c r="M58" s="9">
        <f t="shared" si="37"/>
        <v>0</v>
      </c>
      <c r="N58" s="20"/>
      <c r="O58" s="20"/>
      <c r="P58" s="20"/>
      <c r="Q58" s="9">
        <f t="shared" si="38"/>
        <v>0</v>
      </c>
      <c r="R58" s="20"/>
      <c r="S58" s="25">
        <v>195000</v>
      </c>
      <c r="T58" s="20">
        <v>36000</v>
      </c>
      <c r="U58" s="21">
        <f t="shared" si="39"/>
        <v>231000</v>
      </c>
      <c r="V58" s="25"/>
      <c r="W58" s="25">
        <v>100000</v>
      </c>
      <c r="X58" s="25"/>
      <c r="Y58" s="21">
        <f t="shared" si="40"/>
        <v>100000</v>
      </c>
      <c r="Z58" s="4">
        <f t="shared" si="41"/>
        <v>0</v>
      </c>
      <c r="AA58" s="4">
        <f t="shared" si="41"/>
        <v>295000</v>
      </c>
      <c r="AB58" s="4">
        <f t="shared" si="41"/>
        <v>36000</v>
      </c>
      <c r="AC58" s="9">
        <f t="shared" si="42"/>
        <v>331000</v>
      </c>
    </row>
    <row r="59" spans="1:29">
      <c r="A59" s="8">
        <v>4</v>
      </c>
      <c r="B59" s="190"/>
      <c r="C59" s="1" t="s">
        <v>138</v>
      </c>
      <c r="D59" s="12" t="s">
        <v>139</v>
      </c>
      <c r="E59" s="4" t="s">
        <v>19</v>
      </c>
      <c r="F59" s="4">
        <v>155000</v>
      </c>
      <c r="G59" s="4"/>
      <c r="H59" s="4">
        <f>323000+565000</f>
        <v>888000</v>
      </c>
      <c r="I59" s="9">
        <f t="shared" si="36"/>
        <v>1043000</v>
      </c>
      <c r="J59" s="76">
        <v>290000</v>
      </c>
      <c r="K59" s="76">
        <v>700000</v>
      </c>
      <c r="L59" s="76">
        <v>1890000</v>
      </c>
      <c r="M59" s="9">
        <f t="shared" si="37"/>
        <v>2880000</v>
      </c>
      <c r="N59" s="20">
        <v>290000</v>
      </c>
      <c r="O59" s="26">
        <v>336000</v>
      </c>
      <c r="P59" s="4">
        <v>2310000</v>
      </c>
      <c r="Q59" s="9">
        <f t="shared" si="38"/>
        <v>2936000</v>
      </c>
      <c r="R59" s="20">
        <v>195000</v>
      </c>
      <c r="S59" s="25">
        <v>1508350</v>
      </c>
      <c r="T59" s="25">
        <v>436500</v>
      </c>
      <c r="U59" s="21">
        <f t="shared" si="39"/>
        <v>2139850</v>
      </c>
      <c r="V59" s="25"/>
      <c r="W59" s="24">
        <v>100000</v>
      </c>
      <c r="X59" s="25"/>
      <c r="Y59" s="21">
        <f t="shared" si="40"/>
        <v>100000</v>
      </c>
      <c r="Z59" s="4">
        <f t="shared" si="41"/>
        <v>930000</v>
      </c>
      <c r="AA59" s="4">
        <f t="shared" si="41"/>
        <v>2644350</v>
      </c>
      <c r="AB59" s="4">
        <f t="shared" si="41"/>
        <v>5524500</v>
      </c>
      <c r="AC59" s="9">
        <f t="shared" si="42"/>
        <v>9098850</v>
      </c>
    </row>
    <row r="60" spans="1:29">
      <c r="A60" s="8">
        <v>5</v>
      </c>
      <c r="B60" s="190"/>
      <c r="C60" s="1" t="s">
        <v>140</v>
      </c>
      <c r="D60" s="12" t="s">
        <v>141</v>
      </c>
      <c r="E60" s="4" t="s">
        <v>19</v>
      </c>
      <c r="F60" s="4"/>
      <c r="G60" s="4">
        <v>200000</v>
      </c>
      <c r="H60" s="4">
        <f>5500+11000</f>
        <v>16500</v>
      </c>
      <c r="I60" s="9">
        <f t="shared" si="36"/>
        <v>216500</v>
      </c>
      <c r="J60" s="4"/>
      <c r="K60" s="4"/>
      <c r="L60" s="4"/>
      <c r="M60" s="9">
        <f t="shared" si="37"/>
        <v>0</v>
      </c>
      <c r="N60" s="20"/>
      <c r="O60" s="20"/>
      <c r="P60" s="4"/>
      <c r="Q60" s="9">
        <f t="shared" si="38"/>
        <v>0</v>
      </c>
      <c r="R60" s="20"/>
      <c r="S60" s="25">
        <v>410250</v>
      </c>
      <c r="T60" s="25">
        <v>95900</v>
      </c>
      <c r="U60" s="21">
        <f t="shared" si="39"/>
        <v>506150</v>
      </c>
      <c r="V60" s="25"/>
      <c r="W60" s="24">
        <v>100000</v>
      </c>
      <c r="X60" s="25">
        <v>230000</v>
      </c>
      <c r="Y60" s="21">
        <f t="shared" si="40"/>
        <v>330000</v>
      </c>
      <c r="Z60" s="4">
        <f t="shared" si="41"/>
        <v>0</v>
      </c>
      <c r="AA60" s="4">
        <f t="shared" si="41"/>
        <v>710250</v>
      </c>
      <c r="AB60" s="4">
        <f t="shared" si="41"/>
        <v>342400</v>
      </c>
      <c r="AC60" s="9">
        <f t="shared" si="42"/>
        <v>1052650</v>
      </c>
    </row>
    <row r="61" spans="1:29">
      <c r="A61" s="8">
        <v>6</v>
      </c>
      <c r="B61" s="190"/>
      <c r="C61" s="1" t="s">
        <v>142</v>
      </c>
      <c r="D61" s="12"/>
      <c r="E61" s="4" t="s">
        <v>19</v>
      </c>
      <c r="F61" s="4"/>
      <c r="G61" s="4"/>
      <c r="H61" s="4"/>
      <c r="I61" s="9">
        <f t="shared" si="36"/>
        <v>0</v>
      </c>
      <c r="J61" s="4"/>
      <c r="K61" s="4"/>
      <c r="L61" s="4"/>
      <c r="M61" s="9">
        <f t="shared" si="37"/>
        <v>0</v>
      </c>
      <c r="N61" s="20"/>
      <c r="O61" s="20"/>
      <c r="P61" s="4"/>
      <c r="Q61" s="9">
        <f t="shared" si="38"/>
        <v>0</v>
      </c>
      <c r="R61" s="20"/>
      <c r="S61" s="25">
        <v>592700</v>
      </c>
      <c r="T61" s="25">
        <v>254000</v>
      </c>
      <c r="U61" s="21">
        <f t="shared" si="39"/>
        <v>846700</v>
      </c>
      <c r="V61" s="25"/>
      <c r="W61" s="24"/>
      <c r="X61" s="25"/>
      <c r="Y61" s="21">
        <f t="shared" si="40"/>
        <v>0</v>
      </c>
      <c r="Z61" s="4">
        <f t="shared" si="41"/>
        <v>0</v>
      </c>
      <c r="AA61" s="4">
        <f t="shared" si="41"/>
        <v>592700</v>
      </c>
      <c r="AB61" s="4">
        <f t="shared" si="41"/>
        <v>254000</v>
      </c>
      <c r="AC61" s="9">
        <f t="shared" si="42"/>
        <v>846700</v>
      </c>
    </row>
    <row r="62" spans="1:29">
      <c r="A62" s="8">
        <v>7</v>
      </c>
      <c r="B62" s="190"/>
      <c r="C62" s="1" t="s">
        <v>143</v>
      </c>
      <c r="D62" s="12" t="s">
        <v>144</v>
      </c>
      <c r="E62" s="4" t="s">
        <v>19</v>
      </c>
      <c r="F62" s="4"/>
      <c r="G62" s="4">
        <v>155000</v>
      </c>
      <c r="H62" s="4"/>
      <c r="I62" s="9">
        <f t="shared" si="36"/>
        <v>155000</v>
      </c>
      <c r="J62" s="4"/>
      <c r="K62" s="4"/>
      <c r="L62" s="4"/>
      <c r="M62" s="9">
        <f t="shared" si="37"/>
        <v>0</v>
      </c>
      <c r="N62" s="20"/>
      <c r="O62" s="20"/>
      <c r="P62" s="4"/>
      <c r="Q62" s="9">
        <f t="shared" si="38"/>
        <v>0</v>
      </c>
      <c r="R62" s="20"/>
      <c r="S62" s="20"/>
      <c r="T62" s="20"/>
      <c r="U62" s="21">
        <f t="shared" si="39"/>
        <v>0</v>
      </c>
      <c r="V62" s="25"/>
      <c r="W62" s="24"/>
      <c r="X62" s="25">
        <v>348400</v>
      </c>
      <c r="Y62" s="21">
        <f t="shared" si="40"/>
        <v>348400</v>
      </c>
      <c r="Z62" s="4">
        <f t="shared" si="41"/>
        <v>0</v>
      </c>
      <c r="AA62" s="4">
        <f t="shared" si="41"/>
        <v>155000</v>
      </c>
      <c r="AB62" s="4">
        <f t="shared" si="41"/>
        <v>348400</v>
      </c>
      <c r="AC62" s="9">
        <f t="shared" si="42"/>
        <v>503400</v>
      </c>
    </row>
    <row r="63" spans="1:29" ht="47.25">
      <c r="A63" s="8">
        <v>8</v>
      </c>
      <c r="B63" s="191"/>
      <c r="C63" s="1" t="s">
        <v>145</v>
      </c>
      <c r="D63" s="12" t="s">
        <v>146</v>
      </c>
      <c r="E63" s="4" t="s">
        <v>19</v>
      </c>
      <c r="F63" s="4"/>
      <c r="G63" s="4"/>
      <c r="H63" s="4">
        <v>155000</v>
      </c>
      <c r="I63" s="9">
        <f t="shared" si="36"/>
        <v>155000</v>
      </c>
      <c r="J63" s="4"/>
      <c r="K63" s="4"/>
      <c r="L63" s="4"/>
      <c r="M63" s="9">
        <f t="shared" si="37"/>
        <v>0</v>
      </c>
      <c r="N63" s="20"/>
      <c r="O63" s="20"/>
      <c r="P63" s="4">
        <v>290000</v>
      </c>
      <c r="Q63" s="9">
        <f t="shared" si="38"/>
        <v>290000</v>
      </c>
      <c r="R63" s="20"/>
      <c r="S63" s="25">
        <v>386400</v>
      </c>
      <c r="T63" s="25">
        <v>67900</v>
      </c>
      <c r="U63" s="21">
        <f t="shared" si="39"/>
        <v>454300</v>
      </c>
      <c r="V63" s="25"/>
      <c r="W63" s="25"/>
      <c r="X63" s="25"/>
      <c r="Y63" s="21">
        <f t="shared" si="40"/>
        <v>0</v>
      </c>
      <c r="Z63" s="4">
        <f t="shared" si="41"/>
        <v>0</v>
      </c>
      <c r="AA63" s="4">
        <f t="shared" si="41"/>
        <v>386400</v>
      </c>
      <c r="AB63" s="4">
        <f t="shared" si="41"/>
        <v>512900</v>
      </c>
      <c r="AC63" s="9">
        <f t="shared" si="42"/>
        <v>899300</v>
      </c>
    </row>
    <row r="64" spans="1:29" s="38" customFormat="1">
      <c r="A64" s="34"/>
      <c r="B64" s="34"/>
      <c r="C64" s="35" t="s">
        <v>147</v>
      </c>
      <c r="D64" s="37"/>
      <c r="E64" s="37"/>
      <c r="F64" s="37">
        <f>SUM(F56:F63)</f>
        <v>155000</v>
      </c>
      <c r="G64" s="37">
        <f t="shared" ref="G64:AC64" si="43">SUM(G56:G63)</f>
        <v>355000</v>
      </c>
      <c r="H64" s="37">
        <f t="shared" si="43"/>
        <v>1059500</v>
      </c>
      <c r="I64" s="37">
        <f t="shared" si="43"/>
        <v>1569500</v>
      </c>
      <c r="J64" s="37">
        <f t="shared" si="43"/>
        <v>290000</v>
      </c>
      <c r="K64" s="37">
        <f t="shared" si="43"/>
        <v>700000</v>
      </c>
      <c r="L64" s="37">
        <f t="shared" si="43"/>
        <v>1890000</v>
      </c>
      <c r="M64" s="37">
        <f t="shared" si="43"/>
        <v>2880000</v>
      </c>
      <c r="N64" s="39">
        <f t="shared" si="43"/>
        <v>290000</v>
      </c>
      <c r="O64" s="39">
        <f t="shared" si="43"/>
        <v>336000</v>
      </c>
      <c r="P64" s="39">
        <f t="shared" si="43"/>
        <v>2600000</v>
      </c>
      <c r="Q64" s="39">
        <f t="shared" si="43"/>
        <v>3226000</v>
      </c>
      <c r="R64" s="39">
        <f t="shared" si="43"/>
        <v>195000</v>
      </c>
      <c r="S64" s="39">
        <f t="shared" si="43"/>
        <v>4084950</v>
      </c>
      <c r="T64" s="39">
        <f t="shared" si="43"/>
        <v>1617200</v>
      </c>
      <c r="U64" s="39">
        <f t="shared" si="43"/>
        <v>5897150</v>
      </c>
      <c r="V64" s="39">
        <f t="shared" si="43"/>
        <v>0</v>
      </c>
      <c r="W64" s="39">
        <f t="shared" si="43"/>
        <v>500000</v>
      </c>
      <c r="X64" s="39">
        <f t="shared" si="43"/>
        <v>1018400</v>
      </c>
      <c r="Y64" s="39">
        <f t="shared" si="43"/>
        <v>1518400</v>
      </c>
      <c r="Z64" s="39">
        <f t="shared" si="43"/>
        <v>930000</v>
      </c>
      <c r="AA64" s="39">
        <f t="shared" si="43"/>
        <v>5975950</v>
      </c>
      <c r="AB64" s="39">
        <f t="shared" si="43"/>
        <v>8185100</v>
      </c>
      <c r="AC64" s="39">
        <f t="shared" si="43"/>
        <v>15091050</v>
      </c>
    </row>
    <row r="65" spans="1:29">
      <c r="A65" s="8">
        <v>1</v>
      </c>
      <c r="B65" s="185" t="s">
        <v>148</v>
      </c>
      <c r="C65" s="1" t="s">
        <v>149</v>
      </c>
      <c r="D65" s="4" t="s">
        <v>150</v>
      </c>
      <c r="E65" s="4" t="s">
        <v>148</v>
      </c>
      <c r="F65" s="4"/>
      <c r="G65" s="4">
        <v>155000</v>
      </c>
      <c r="H65" s="4"/>
      <c r="I65" s="9">
        <f>SUM(F65:H65)</f>
        <v>155000</v>
      </c>
      <c r="J65" s="4"/>
      <c r="K65" s="4"/>
      <c r="L65" s="4"/>
      <c r="M65" s="9">
        <f>SUM(J65:L65)</f>
        <v>0</v>
      </c>
      <c r="N65" s="20"/>
      <c r="O65" s="20"/>
      <c r="P65" s="20"/>
      <c r="Q65" s="9">
        <f>SUM(N65:P65)</f>
        <v>0</v>
      </c>
      <c r="R65" s="20"/>
      <c r="S65" s="20">
        <v>195000</v>
      </c>
      <c r="T65" s="20"/>
      <c r="U65" s="21">
        <f>SUM(R65:T65)</f>
        <v>195000</v>
      </c>
      <c r="V65" s="25"/>
      <c r="W65" s="25"/>
      <c r="X65" s="25"/>
      <c r="Y65" s="21">
        <f>SUM(V65:X65)</f>
        <v>0</v>
      </c>
      <c r="Z65" s="4">
        <f t="shared" ref="Z65:AB68" si="44">F65+J65+N65+R65+V65</f>
        <v>0</v>
      </c>
      <c r="AA65" s="4">
        <f t="shared" si="44"/>
        <v>350000</v>
      </c>
      <c r="AB65" s="4">
        <f t="shared" si="44"/>
        <v>0</v>
      </c>
      <c r="AC65" s="9">
        <f>SUM(Z65:AB65)</f>
        <v>350000</v>
      </c>
    </row>
    <row r="66" spans="1:29">
      <c r="A66" s="8">
        <v>2</v>
      </c>
      <c r="B66" s="186"/>
      <c r="C66" s="1" t="s">
        <v>151</v>
      </c>
      <c r="D66" s="4" t="s">
        <v>152</v>
      </c>
      <c r="E66" s="4" t="s">
        <v>153</v>
      </c>
      <c r="F66" s="4">
        <v>155000</v>
      </c>
      <c r="G66" s="4">
        <v>153000</v>
      </c>
      <c r="H66" s="4">
        <v>187500</v>
      </c>
      <c r="I66" s="9">
        <f>SUM(F66:H66)</f>
        <v>495500</v>
      </c>
      <c r="J66" s="4"/>
      <c r="K66" s="4"/>
      <c r="L66" s="4"/>
      <c r="M66" s="9">
        <f>SUM(J66:L66)</f>
        <v>0</v>
      </c>
      <c r="N66" s="20"/>
      <c r="O66" s="20"/>
      <c r="P66" s="20"/>
      <c r="Q66" s="9">
        <f>SUM(N66:P66)</f>
        <v>0</v>
      </c>
      <c r="R66" s="20">
        <v>195000</v>
      </c>
      <c r="S66" s="25">
        <v>295650</v>
      </c>
      <c r="T66" s="25">
        <v>223100</v>
      </c>
      <c r="U66" s="21">
        <f>SUM(R66:T66)</f>
        <v>713750</v>
      </c>
      <c r="V66" s="25"/>
      <c r="W66" s="24">
        <v>100000</v>
      </c>
      <c r="X66" s="25">
        <v>230000</v>
      </c>
      <c r="Y66" s="21">
        <f>SUM(V66:X66)</f>
        <v>330000</v>
      </c>
      <c r="Z66" s="4">
        <f t="shared" si="44"/>
        <v>350000</v>
      </c>
      <c r="AA66" s="4">
        <f t="shared" si="44"/>
        <v>548650</v>
      </c>
      <c r="AB66" s="4">
        <f t="shared" si="44"/>
        <v>640600</v>
      </c>
      <c r="AC66" s="9">
        <f>SUM(Z66:AB66)</f>
        <v>1539250</v>
      </c>
    </row>
    <row r="67" spans="1:29" ht="31.5">
      <c r="A67" s="8">
        <v>3</v>
      </c>
      <c r="B67" s="186"/>
      <c r="C67" s="1" t="s">
        <v>154</v>
      </c>
      <c r="D67" s="4" t="s">
        <v>155</v>
      </c>
      <c r="E67" s="4" t="s">
        <v>153</v>
      </c>
      <c r="F67" s="4">
        <v>155000</v>
      </c>
      <c r="G67" s="4"/>
      <c r="H67" s="4">
        <v>22000</v>
      </c>
      <c r="I67" s="9">
        <f>SUM(F67:H67)</f>
        <v>177000</v>
      </c>
      <c r="J67" s="4"/>
      <c r="K67" s="4"/>
      <c r="L67" s="4"/>
      <c r="M67" s="9">
        <f>SUM(J67:L67)</f>
        <v>0</v>
      </c>
      <c r="N67" s="20"/>
      <c r="O67" s="20"/>
      <c r="P67" s="20"/>
      <c r="Q67" s="9">
        <f>SUM(N67:P67)</f>
        <v>0</v>
      </c>
      <c r="R67" s="20">
        <v>195000</v>
      </c>
      <c r="S67" s="25">
        <v>111550</v>
      </c>
      <c r="T67" s="25">
        <v>586850</v>
      </c>
      <c r="U67" s="21">
        <f>SUM(R67:T67)</f>
        <v>893400</v>
      </c>
      <c r="V67" s="25"/>
      <c r="W67" s="25"/>
      <c r="X67" s="25"/>
      <c r="Y67" s="21">
        <f>SUM(V67:X67)</f>
        <v>0</v>
      </c>
      <c r="Z67" s="4">
        <f t="shared" si="44"/>
        <v>350000</v>
      </c>
      <c r="AA67" s="4">
        <f t="shared" si="44"/>
        <v>111550</v>
      </c>
      <c r="AB67" s="4">
        <f t="shared" si="44"/>
        <v>608850</v>
      </c>
      <c r="AC67" s="9">
        <f>SUM(Z67:AB67)</f>
        <v>1070400</v>
      </c>
    </row>
    <row r="68" spans="1:29" ht="31.5">
      <c r="A68" s="8">
        <v>4</v>
      </c>
      <c r="B68" s="187"/>
      <c r="C68" s="1" t="s">
        <v>156</v>
      </c>
      <c r="D68" s="4"/>
      <c r="E68" s="4" t="s">
        <v>153</v>
      </c>
      <c r="F68" s="4"/>
      <c r="G68" s="4"/>
      <c r="H68" s="4"/>
      <c r="I68" s="9">
        <f>SUM(F68:H68)</f>
        <v>0</v>
      </c>
      <c r="J68" s="4"/>
      <c r="K68" s="4"/>
      <c r="L68" s="4"/>
      <c r="M68" s="9">
        <f>SUM(J68:L68)</f>
        <v>0</v>
      </c>
      <c r="N68" s="20"/>
      <c r="O68" s="20"/>
      <c r="P68" s="20"/>
      <c r="Q68" s="9">
        <f>SUM(N68:P68)</f>
        <v>0</v>
      </c>
      <c r="R68" s="20"/>
      <c r="S68" s="24">
        <v>195000</v>
      </c>
      <c r="T68" s="20">
        <v>-195000</v>
      </c>
      <c r="U68" s="21">
        <f>SUM(R68:T68)</f>
        <v>0</v>
      </c>
      <c r="V68" s="25"/>
      <c r="W68" s="25"/>
      <c r="X68" s="25"/>
      <c r="Y68" s="21">
        <f>SUM(V68:X68)</f>
        <v>0</v>
      </c>
      <c r="Z68" s="4">
        <f t="shared" si="44"/>
        <v>0</v>
      </c>
      <c r="AA68" s="4">
        <f t="shared" si="44"/>
        <v>195000</v>
      </c>
      <c r="AB68" s="4">
        <f t="shared" si="44"/>
        <v>-195000</v>
      </c>
      <c r="AC68" s="9">
        <f>SUM(Z68:AB68)</f>
        <v>0</v>
      </c>
    </row>
    <row r="69" spans="1:29" s="38" customFormat="1">
      <c r="A69" s="34"/>
      <c r="B69" s="34"/>
      <c r="C69" s="35" t="s">
        <v>157</v>
      </c>
      <c r="D69" s="37"/>
      <c r="E69" s="37"/>
      <c r="F69" s="37">
        <f>SUM(F65:F68)</f>
        <v>310000</v>
      </c>
      <c r="G69" s="37">
        <f t="shared" ref="G69:AC69" si="45">SUM(G65:G68)</f>
        <v>308000</v>
      </c>
      <c r="H69" s="37">
        <f t="shared" si="45"/>
        <v>209500</v>
      </c>
      <c r="I69" s="37">
        <f t="shared" si="45"/>
        <v>827500</v>
      </c>
      <c r="J69" s="37">
        <f t="shared" si="45"/>
        <v>0</v>
      </c>
      <c r="K69" s="37">
        <f t="shared" si="45"/>
        <v>0</v>
      </c>
      <c r="L69" s="37">
        <f t="shared" si="45"/>
        <v>0</v>
      </c>
      <c r="M69" s="37">
        <f t="shared" si="45"/>
        <v>0</v>
      </c>
      <c r="N69" s="39">
        <f t="shared" si="45"/>
        <v>0</v>
      </c>
      <c r="O69" s="39">
        <f t="shared" si="45"/>
        <v>0</v>
      </c>
      <c r="P69" s="39">
        <f t="shared" si="45"/>
        <v>0</v>
      </c>
      <c r="Q69" s="39">
        <f t="shared" si="45"/>
        <v>0</v>
      </c>
      <c r="R69" s="39">
        <f t="shared" si="45"/>
        <v>390000</v>
      </c>
      <c r="S69" s="39">
        <f t="shared" si="45"/>
        <v>797200</v>
      </c>
      <c r="T69" s="39">
        <f t="shared" si="45"/>
        <v>614950</v>
      </c>
      <c r="U69" s="39">
        <f t="shared" si="45"/>
        <v>1802150</v>
      </c>
      <c r="V69" s="39">
        <f t="shared" si="45"/>
        <v>0</v>
      </c>
      <c r="W69" s="39">
        <f t="shared" si="45"/>
        <v>100000</v>
      </c>
      <c r="X69" s="39">
        <f t="shared" si="45"/>
        <v>230000</v>
      </c>
      <c r="Y69" s="39">
        <f t="shared" si="45"/>
        <v>330000</v>
      </c>
      <c r="Z69" s="39">
        <f t="shared" si="45"/>
        <v>700000</v>
      </c>
      <c r="AA69" s="39">
        <f t="shared" si="45"/>
        <v>1205200</v>
      </c>
      <c r="AB69" s="39">
        <f t="shared" si="45"/>
        <v>1054450</v>
      </c>
      <c r="AC69" s="39">
        <f t="shared" si="45"/>
        <v>2959650</v>
      </c>
    </row>
    <row r="70" spans="1:29">
      <c r="A70" s="8">
        <v>1</v>
      </c>
      <c r="B70" s="82" t="s">
        <v>28</v>
      </c>
      <c r="C70" s="1" t="s">
        <v>3</v>
      </c>
      <c r="D70" s="4"/>
      <c r="E70" s="4" t="s">
        <v>28</v>
      </c>
      <c r="F70" s="4"/>
      <c r="G70" s="4"/>
      <c r="H70" s="5"/>
      <c r="I70" s="9">
        <f>SUM(F70:H70)</f>
        <v>0</v>
      </c>
      <c r="J70" s="4"/>
      <c r="K70" s="4"/>
      <c r="L70" s="4"/>
      <c r="M70" s="9">
        <f>SUM(J70:L70)</f>
        <v>0</v>
      </c>
      <c r="N70" s="20"/>
      <c r="O70" s="22">
        <v>290000</v>
      </c>
      <c r="P70" s="20"/>
      <c r="Q70" s="9">
        <f>SUM(N70:P70)</f>
        <v>290000</v>
      </c>
      <c r="R70" s="20"/>
      <c r="S70" s="24">
        <v>195000</v>
      </c>
      <c r="T70" s="20"/>
      <c r="U70" s="21">
        <f>SUM(R70:T70)</f>
        <v>195000</v>
      </c>
      <c r="V70" s="25"/>
      <c r="W70" s="25"/>
      <c r="X70" s="25"/>
      <c r="Y70" s="21">
        <f t="shared" ref="Y70" si="46">SUM(V70:X70)</f>
        <v>0</v>
      </c>
      <c r="Z70" s="4">
        <f>F70+J70+N70+R70+V70</f>
        <v>0</v>
      </c>
      <c r="AA70" s="4">
        <f>G70+K70+O70+S70+W70</f>
        <v>485000</v>
      </c>
      <c r="AB70" s="4">
        <f>H70+L70+P70+T70+X70</f>
        <v>0</v>
      </c>
      <c r="AC70" s="9">
        <f>SUM(Z70:AB70)</f>
        <v>485000</v>
      </c>
    </row>
    <row r="71" spans="1:29" s="38" customFormat="1">
      <c r="A71" s="34"/>
      <c r="B71" s="34"/>
      <c r="C71" s="35" t="s">
        <v>158</v>
      </c>
      <c r="D71" s="37"/>
      <c r="E71" s="37"/>
      <c r="F71" s="37">
        <f>SUM(F70)</f>
        <v>0</v>
      </c>
      <c r="G71" s="37">
        <f t="shared" ref="G71:AC71" si="47">SUM(G70)</f>
        <v>0</v>
      </c>
      <c r="H71" s="37">
        <f t="shared" si="47"/>
        <v>0</v>
      </c>
      <c r="I71" s="37">
        <f t="shared" si="47"/>
        <v>0</v>
      </c>
      <c r="J71" s="37">
        <f t="shared" si="47"/>
        <v>0</v>
      </c>
      <c r="K71" s="37">
        <f t="shared" si="47"/>
        <v>0</v>
      </c>
      <c r="L71" s="37">
        <f t="shared" si="47"/>
        <v>0</v>
      </c>
      <c r="M71" s="37">
        <f t="shared" si="47"/>
        <v>0</v>
      </c>
      <c r="N71" s="39">
        <f t="shared" si="47"/>
        <v>0</v>
      </c>
      <c r="O71" s="39">
        <f t="shared" si="47"/>
        <v>290000</v>
      </c>
      <c r="P71" s="39">
        <f t="shared" si="47"/>
        <v>0</v>
      </c>
      <c r="Q71" s="39">
        <f t="shared" si="47"/>
        <v>290000</v>
      </c>
      <c r="R71" s="39">
        <f t="shared" si="47"/>
        <v>0</v>
      </c>
      <c r="S71" s="39">
        <f t="shared" si="47"/>
        <v>195000</v>
      </c>
      <c r="T71" s="39">
        <f t="shared" si="47"/>
        <v>0</v>
      </c>
      <c r="U71" s="39">
        <f t="shared" si="47"/>
        <v>195000</v>
      </c>
      <c r="V71" s="39">
        <f t="shared" si="47"/>
        <v>0</v>
      </c>
      <c r="W71" s="39">
        <f t="shared" si="47"/>
        <v>0</v>
      </c>
      <c r="X71" s="39">
        <f t="shared" si="47"/>
        <v>0</v>
      </c>
      <c r="Y71" s="39">
        <f t="shared" si="47"/>
        <v>0</v>
      </c>
      <c r="Z71" s="39">
        <f t="shared" si="47"/>
        <v>0</v>
      </c>
      <c r="AA71" s="39">
        <f t="shared" si="47"/>
        <v>485000</v>
      </c>
      <c r="AB71" s="39">
        <f t="shared" si="47"/>
        <v>0</v>
      </c>
      <c r="AC71" s="39">
        <f t="shared" si="47"/>
        <v>485000</v>
      </c>
    </row>
    <row r="72" spans="1:29" ht="31.5">
      <c r="A72" s="8">
        <v>1</v>
      </c>
      <c r="B72" s="185" t="s">
        <v>159</v>
      </c>
      <c r="C72" s="1" t="s">
        <v>160</v>
      </c>
      <c r="D72" s="4" t="s">
        <v>161</v>
      </c>
      <c r="E72" s="4" t="s">
        <v>159</v>
      </c>
      <c r="F72" s="4"/>
      <c r="G72" s="4"/>
      <c r="H72" s="4">
        <v>155000</v>
      </c>
      <c r="I72" s="9">
        <f t="shared" ref="I72:I80" si="48">SUM(F72:H72)</f>
        <v>155000</v>
      </c>
      <c r="J72" s="4"/>
      <c r="K72" s="4"/>
      <c r="L72" s="4"/>
      <c r="M72" s="9">
        <f t="shared" ref="M72:M80" si="49">SUM(J72:L72)</f>
        <v>0</v>
      </c>
      <c r="N72" s="20"/>
      <c r="O72" s="20"/>
      <c r="P72" s="20"/>
      <c r="Q72" s="9">
        <f t="shared" ref="Q72:Q80" si="50">SUM(N72:P72)</f>
        <v>0</v>
      </c>
      <c r="R72" s="20"/>
      <c r="S72" s="20"/>
      <c r="T72" s="20"/>
      <c r="U72" s="21">
        <f t="shared" ref="U72:U80" si="51">SUM(R72:T72)</f>
        <v>0</v>
      </c>
      <c r="V72" s="25"/>
      <c r="W72" s="25"/>
      <c r="X72" s="25"/>
      <c r="Y72" s="21">
        <f t="shared" ref="Y72:Y80" si="52">SUM(V72:X72)</f>
        <v>0</v>
      </c>
      <c r="Z72" s="4">
        <f t="shared" ref="Z72:Z80" si="53">F72+J72+N72+R72+V72</f>
        <v>0</v>
      </c>
      <c r="AA72" s="4">
        <f t="shared" ref="AA72:AA80" si="54">G72+K72+O72+S72+W72</f>
        <v>0</v>
      </c>
      <c r="AB72" s="4">
        <f t="shared" ref="AB72:AB80" si="55">H72+L72+P72+T72+X72</f>
        <v>155000</v>
      </c>
      <c r="AC72" s="9">
        <f t="shared" ref="AC72:AC80" si="56">SUM(Z72:AB72)</f>
        <v>155000</v>
      </c>
    </row>
    <row r="73" spans="1:29">
      <c r="A73" s="8">
        <v>2</v>
      </c>
      <c r="B73" s="186"/>
      <c r="C73" s="1" t="s">
        <v>162</v>
      </c>
      <c r="D73" s="4" t="s">
        <v>163</v>
      </c>
      <c r="E73" s="4" t="s">
        <v>159</v>
      </c>
      <c r="F73" s="4"/>
      <c r="G73" s="4">
        <v>430000</v>
      </c>
      <c r="H73" s="4">
        <f>60500+60500+286000+100000</f>
        <v>507000</v>
      </c>
      <c r="I73" s="9">
        <f t="shared" si="48"/>
        <v>937000</v>
      </c>
      <c r="J73" s="4"/>
      <c r="K73" s="4"/>
      <c r="L73" s="4"/>
      <c r="M73" s="9">
        <f t="shared" si="49"/>
        <v>0</v>
      </c>
      <c r="N73" s="20"/>
      <c r="O73" s="20"/>
      <c r="P73" s="20"/>
      <c r="Q73" s="9">
        <f t="shared" si="50"/>
        <v>0</v>
      </c>
      <c r="R73" s="20"/>
      <c r="S73" s="20"/>
      <c r="T73" s="20"/>
      <c r="U73" s="21">
        <f t="shared" si="51"/>
        <v>0</v>
      </c>
      <c r="V73" s="25"/>
      <c r="W73" s="25"/>
      <c r="X73" s="25"/>
      <c r="Y73" s="21">
        <f t="shared" si="52"/>
        <v>0</v>
      </c>
      <c r="Z73" s="4">
        <f t="shared" si="53"/>
        <v>0</v>
      </c>
      <c r="AA73" s="4">
        <f t="shared" si="54"/>
        <v>430000</v>
      </c>
      <c r="AB73" s="4">
        <f t="shared" si="55"/>
        <v>507000</v>
      </c>
      <c r="AC73" s="9">
        <f t="shared" si="56"/>
        <v>937000</v>
      </c>
    </row>
    <row r="74" spans="1:29">
      <c r="A74" s="8">
        <v>3</v>
      </c>
      <c r="B74" s="186"/>
      <c r="C74" s="1" t="s">
        <v>164</v>
      </c>
      <c r="D74" s="4" t="s">
        <v>165</v>
      </c>
      <c r="E74" s="4" t="s">
        <v>159</v>
      </c>
      <c r="F74" s="4"/>
      <c r="G74" s="4">
        <v>942500</v>
      </c>
      <c r="H74" s="4">
        <v>87500</v>
      </c>
      <c r="I74" s="9">
        <f t="shared" si="48"/>
        <v>1030000</v>
      </c>
      <c r="J74" s="4"/>
      <c r="K74" s="4"/>
      <c r="L74" s="4"/>
      <c r="M74" s="9">
        <f t="shared" si="49"/>
        <v>0</v>
      </c>
      <c r="N74" s="20"/>
      <c r="O74" s="22">
        <v>794000</v>
      </c>
      <c r="P74" s="20"/>
      <c r="Q74" s="9">
        <f t="shared" si="50"/>
        <v>794000</v>
      </c>
      <c r="R74" s="20"/>
      <c r="S74" s="20"/>
      <c r="T74" s="25">
        <f>195000-195000</f>
        <v>0</v>
      </c>
      <c r="U74" s="21">
        <f t="shared" si="51"/>
        <v>0</v>
      </c>
      <c r="V74" s="25"/>
      <c r="W74" s="25"/>
      <c r="X74" s="25"/>
      <c r="Y74" s="21">
        <f t="shared" si="52"/>
        <v>0</v>
      </c>
      <c r="Z74" s="4">
        <f t="shared" si="53"/>
        <v>0</v>
      </c>
      <c r="AA74" s="4">
        <f t="shared" si="54"/>
        <v>1736500</v>
      </c>
      <c r="AB74" s="4">
        <f t="shared" si="55"/>
        <v>87500</v>
      </c>
      <c r="AC74" s="9">
        <f t="shared" si="56"/>
        <v>1824000</v>
      </c>
    </row>
    <row r="75" spans="1:29">
      <c r="A75" s="8">
        <v>4</v>
      </c>
      <c r="B75" s="186"/>
      <c r="C75" s="1" t="s">
        <v>166</v>
      </c>
      <c r="D75" s="4" t="s">
        <v>167</v>
      </c>
      <c r="E75" s="4" t="s">
        <v>159</v>
      </c>
      <c r="F75" s="4"/>
      <c r="G75" s="4"/>
      <c r="H75" s="4">
        <f>155000+104500+93500+110000+20000</f>
        <v>483000</v>
      </c>
      <c r="I75" s="9">
        <f t="shared" si="48"/>
        <v>483000</v>
      </c>
      <c r="J75" s="4"/>
      <c r="K75" s="4"/>
      <c r="L75" s="4"/>
      <c r="M75" s="9">
        <f t="shared" si="49"/>
        <v>0</v>
      </c>
      <c r="N75" s="20"/>
      <c r="O75" s="20"/>
      <c r="P75" s="20"/>
      <c r="Q75" s="9">
        <f t="shared" si="50"/>
        <v>0</v>
      </c>
      <c r="R75" s="20"/>
      <c r="S75" s="20"/>
      <c r="T75" s="20"/>
      <c r="U75" s="21">
        <f t="shared" si="51"/>
        <v>0</v>
      </c>
      <c r="V75" s="25"/>
      <c r="W75" s="25"/>
      <c r="X75" s="25"/>
      <c r="Y75" s="21">
        <f t="shared" si="52"/>
        <v>0</v>
      </c>
      <c r="Z75" s="4">
        <f t="shared" si="53"/>
        <v>0</v>
      </c>
      <c r="AA75" s="4">
        <f t="shared" si="54"/>
        <v>0</v>
      </c>
      <c r="AB75" s="4">
        <f t="shared" si="55"/>
        <v>483000</v>
      </c>
      <c r="AC75" s="9">
        <f t="shared" si="56"/>
        <v>483000</v>
      </c>
    </row>
    <row r="76" spans="1:29">
      <c r="A76" s="8">
        <v>5</v>
      </c>
      <c r="B76" s="186"/>
      <c r="C76" s="1" t="s">
        <v>168</v>
      </c>
      <c r="D76" s="4" t="s">
        <v>169</v>
      </c>
      <c r="E76" s="4" t="s">
        <v>159</v>
      </c>
      <c r="F76" s="4"/>
      <c r="G76" s="4">
        <v>155000</v>
      </c>
      <c r="H76" s="4">
        <v>469000</v>
      </c>
      <c r="I76" s="9">
        <f t="shared" si="48"/>
        <v>624000</v>
      </c>
      <c r="J76" s="4"/>
      <c r="K76" s="4"/>
      <c r="L76" s="4"/>
      <c r="M76" s="9">
        <f t="shared" si="49"/>
        <v>0</v>
      </c>
      <c r="N76" s="20"/>
      <c r="O76" s="20"/>
      <c r="P76" s="20"/>
      <c r="Q76" s="9">
        <f t="shared" si="50"/>
        <v>0</v>
      </c>
      <c r="R76" s="20"/>
      <c r="S76" s="20"/>
      <c r="T76" s="20"/>
      <c r="U76" s="21">
        <f t="shared" si="51"/>
        <v>0</v>
      </c>
      <c r="V76" s="25"/>
      <c r="W76" s="25"/>
      <c r="X76" s="25"/>
      <c r="Y76" s="21">
        <f t="shared" si="52"/>
        <v>0</v>
      </c>
      <c r="Z76" s="4">
        <f t="shared" si="53"/>
        <v>0</v>
      </c>
      <c r="AA76" s="4">
        <f t="shared" si="54"/>
        <v>155000</v>
      </c>
      <c r="AB76" s="4">
        <f t="shared" si="55"/>
        <v>469000</v>
      </c>
      <c r="AC76" s="9">
        <f t="shared" si="56"/>
        <v>624000</v>
      </c>
    </row>
    <row r="77" spans="1:29">
      <c r="A77" s="8">
        <v>6</v>
      </c>
      <c r="B77" s="186"/>
      <c r="C77" s="1" t="s">
        <v>170</v>
      </c>
      <c r="D77" s="4" t="s">
        <v>171</v>
      </c>
      <c r="E77" s="4" t="s">
        <v>159</v>
      </c>
      <c r="F77" s="4"/>
      <c r="G77" s="4"/>
      <c r="H77" s="4"/>
      <c r="I77" s="9">
        <f t="shared" si="48"/>
        <v>0</v>
      </c>
      <c r="J77" s="4"/>
      <c r="K77" s="4"/>
      <c r="L77" s="4"/>
      <c r="M77" s="9">
        <f t="shared" si="49"/>
        <v>0</v>
      </c>
      <c r="N77" s="20"/>
      <c r="O77" s="20"/>
      <c r="P77" s="20"/>
      <c r="Q77" s="9">
        <f t="shared" si="50"/>
        <v>0</v>
      </c>
      <c r="R77" s="20"/>
      <c r="S77" s="25">
        <v>232800</v>
      </c>
      <c r="T77" s="25">
        <v>424050</v>
      </c>
      <c r="U77" s="21">
        <f t="shared" si="51"/>
        <v>656850</v>
      </c>
      <c r="V77" s="25"/>
      <c r="W77" s="25"/>
      <c r="X77" s="25"/>
      <c r="Y77" s="21">
        <f t="shared" si="52"/>
        <v>0</v>
      </c>
      <c r="Z77" s="4">
        <f t="shared" si="53"/>
        <v>0</v>
      </c>
      <c r="AA77" s="4">
        <f t="shared" si="54"/>
        <v>232800</v>
      </c>
      <c r="AB77" s="4">
        <f t="shared" si="55"/>
        <v>424050</v>
      </c>
      <c r="AC77" s="9">
        <f t="shared" si="56"/>
        <v>656850</v>
      </c>
    </row>
    <row r="78" spans="1:29">
      <c r="A78" s="8">
        <v>7</v>
      </c>
      <c r="B78" s="186"/>
      <c r="C78" s="1" t="s">
        <v>172</v>
      </c>
      <c r="D78" s="4" t="s">
        <v>165</v>
      </c>
      <c r="E78" s="4" t="s">
        <v>159</v>
      </c>
      <c r="F78" s="4"/>
      <c r="G78" s="4"/>
      <c r="H78" s="4">
        <v>155000</v>
      </c>
      <c r="I78" s="9">
        <f t="shared" si="48"/>
        <v>155000</v>
      </c>
      <c r="J78" s="4"/>
      <c r="K78" s="4"/>
      <c r="L78" s="4"/>
      <c r="M78" s="9">
        <f t="shared" si="49"/>
        <v>0</v>
      </c>
      <c r="N78" s="20"/>
      <c r="O78" s="20"/>
      <c r="P78" s="20"/>
      <c r="Q78" s="9">
        <f t="shared" si="50"/>
        <v>0</v>
      </c>
      <c r="R78" s="20"/>
      <c r="S78" s="20"/>
      <c r="T78" s="20"/>
      <c r="U78" s="21">
        <f t="shared" si="51"/>
        <v>0</v>
      </c>
      <c r="V78" s="25"/>
      <c r="W78" s="25"/>
      <c r="X78" s="25"/>
      <c r="Y78" s="21">
        <f t="shared" si="52"/>
        <v>0</v>
      </c>
      <c r="Z78" s="4">
        <f t="shared" si="53"/>
        <v>0</v>
      </c>
      <c r="AA78" s="4">
        <f t="shared" si="54"/>
        <v>0</v>
      </c>
      <c r="AB78" s="4">
        <f t="shared" si="55"/>
        <v>155000</v>
      </c>
      <c r="AC78" s="9">
        <f t="shared" si="56"/>
        <v>155000</v>
      </c>
    </row>
    <row r="79" spans="1:29" ht="31.5">
      <c r="A79" s="8">
        <v>9</v>
      </c>
      <c r="B79" s="186"/>
      <c r="C79" s="1" t="s">
        <v>173</v>
      </c>
      <c r="D79" s="4" t="s">
        <v>174</v>
      </c>
      <c r="E79" s="4" t="s">
        <v>159</v>
      </c>
      <c r="F79" s="4"/>
      <c r="G79" s="4"/>
      <c r="H79" s="4">
        <v>155000</v>
      </c>
      <c r="I79" s="9">
        <f t="shared" si="48"/>
        <v>155000</v>
      </c>
      <c r="J79" s="4"/>
      <c r="K79" s="4"/>
      <c r="L79" s="4"/>
      <c r="M79" s="9">
        <f t="shared" si="49"/>
        <v>0</v>
      </c>
      <c r="N79" s="20"/>
      <c r="O79" s="20"/>
      <c r="P79" s="20"/>
      <c r="Q79" s="9">
        <f t="shared" si="50"/>
        <v>0</v>
      </c>
      <c r="R79" s="20"/>
      <c r="S79" s="20"/>
      <c r="T79" s="20"/>
      <c r="U79" s="21">
        <f t="shared" si="51"/>
        <v>0</v>
      </c>
      <c r="V79" s="25"/>
      <c r="W79" s="25"/>
      <c r="X79" s="25"/>
      <c r="Y79" s="21">
        <f t="shared" si="52"/>
        <v>0</v>
      </c>
      <c r="Z79" s="4">
        <f t="shared" si="53"/>
        <v>0</v>
      </c>
      <c r="AA79" s="4">
        <f t="shared" si="54"/>
        <v>0</v>
      </c>
      <c r="AB79" s="4">
        <f t="shared" si="55"/>
        <v>155000</v>
      </c>
      <c r="AC79" s="9">
        <f t="shared" si="56"/>
        <v>155000</v>
      </c>
    </row>
    <row r="80" spans="1:29">
      <c r="A80" s="8">
        <v>10</v>
      </c>
      <c r="B80" s="187"/>
      <c r="C80" s="1" t="s">
        <v>175</v>
      </c>
      <c r="D80" s="4" t="s">
        <v>163</v>
      </c>
      <c r="E80" s="4" t="s">
        <v>159</v>
      </c>
      <c r="F80" s="4"/>
      <c r="G80" s="4"/>
      <c r="H80" s="4">
        <v>155000</v>
      </c>
      <c r="I80" s="9">
        <f t="shared" si="48"/>
        <v>155000</v>
      </c>
      <c r="J80" s="4"/>
      <c r="K80" s="4"/>
      <c r="L80" s="4"/>
      <c r="M80" s="9">
        <f t="shared" si="49"/>
        <v>0</v>
      </c>
      <c r="N80" s="20"/>
      <c r="O80" s="20"/>
      <c r="P80" s="20"/>
      <c r="Q80" s="9">
        <f t="shared" si="50"/>
        <v>0</v>
      </c>
      <c r="R80" s="20"/>
      <c r="S80" s="20"/>
      <c r="T80" s="20"/>
      <c r="U80" s="21">
        <f t="shared" si="51"/>
        <v>0</v>
      </c>
      <c r="V80" s="25"/>
      <c r="W80" s="25"/>
      <c r="X80" s="25"/>
      <c r="Y80" s="21">
        <f t="shared" si="52"/>
        <v>0</v>
      </c>
      <c r="Z80" s="4">
        <f t="shared" si="53"/>
        <v>0</v>
      </c>
      <c r="AA80" s="4">
        <f t="shared" si="54"/>
        <v>0</v>
      </c>
      <c r="AB80" s="4">
        <f t="shared" si="55"/>
        <v>155000</v>
      </c>
      <c r="AC80" s="9">
        <f t="shared" si="56"/>
        <v>155000</v>
      </c>
    </row>
    <row r="81" spans="1:29" s="38" customFormat="1">
      <c r="A81" s="34"/>
      <c r="B81" s="34"/>
      <c r="C81" s="35" t="s">
        <v>176</v>
      </c>
      <c r="D81" s="37"/>
      <c r="E81" s="37"/>
      <c r="F81" s="37">
        <f>SUM(F72:F80)</f>
        <v>0</v>
      </c>
      <c r="G81" s="37">
        <f t="shared" ref="G81:AC81" si="57">SUM(G72:G80)</f>
        <v>1527500</v>
      </c>
      <c r="H81" s="37">
        <f t="shared" si="57"/>
        <v>2166500</v>
      </c>
      <c r="I81" s="37">
        <f t="shared" si="57"/>
        <v>3694000</v>
      </c>
      <c r="J81" s="37">
        <f t="shared" si="57"/>
        <v>0</v>
      </c>
      <c r="K81" s="37">
        <f t="shared" si="57"/>
        <v>0</v>
      </c>
      <c r="L81" s="37">
        <f t="shared" si="57"/>
        <v>0</v>
      </c>
      <c r="M81" s="37">
        <f t="shared" si="57"/>
        <v>0</v>
      </c>
      <c r="N81" s="39">
        <f t="shared" si="57"/>
        <v>0</v>
      </c>
      <c r="O81" s="39">
        <f t="shared" si="57"/>
        <v>794000</v>
      </c>
      <c r="P81" s="39">
        <f t="shared" si="57"/>
        <v>0</v>
      </c>
      <c r="Q81" s="39">
        <f t="shared" si="57"/>
        <v>794000</v>
      </c>
      <c r="R81" s="39">
        <f t="shared" si="57"/>
        <v>0</v>
      </c>
      <c r="S81" s="39">
        <f t="shared" si="57"/>
        <v>232800</v>
      </c>
      <c r="T81" s="39">
        <f t="shared" si="57"/>
        <v>424050</v>
      </c>
      <c r="U81" s="39">
        <f t="shared" si="57"/>
        <v>656850</v>
      </c>
      <c r="V81" s="39">
        <f t="shared" si="57"/>
        <v>0</v>
      </c>
      <c r="W81" s="39">
        <f t="shared" si="57"/>
        <v>0</v>
      </c>
      <c r="X81" s="39">
        <f t="shared" si="57"/>
        <v>0</v>
      </c>
      <c r="Y81" s="39">
        <f t="shared" si="57"/>
        <v>0</v>
      </c>
      <c r="Z81" s="39">
        <f t="shared" si="57"/>
        <v>0</v>
      </c>
      <c r="AA81" s="39">
        <f t="shared" si="57"/>
        <v>2554300</v>
      </c>
      <c r="AB81" s="39">
        <f t="shared" si="57"/>
        <v>2590550</v>
      </c>
      <c r="AC81" s="39">
        <f t="shared" si="57"/>
        <v>5144850</v>
      </c>
    </row>
    <row r="82" spans="1:29" ht="31.5" customHeight="1">
      <c r="A82" s="8">
        <v>1</v>
      </c>
      <c r="B82" s="82" t="s">
        <v>34</v>
      </c>
      <c r="C82" s="1" t="s">
        <v>60</v>
      </c>
      <c r="D82" s="4" t="s">
        <v>33</v>
      </c>
      <c r="E82" s="4" t="s">
        <v>34</v>
      </c>
      <c r="F82" s="4"/>
      <c r="G82" s="4">
        <v>155000</v>
      </c>
      <c r="H82" s="4">
        <f>180000-155000</f>
        <v>25000</v>
      </c>
      <c r="I82" s="9">
        <f>SUM(F82:H82)</f>
        <v>180000</v>
      </c>
      <c r="J82" s="4"/>
      <c r="K82" s="4"/>
      <c r="L82" s="4"/>
      <c r="M82" s="9">
        <f>SUM(J82:L82)</f>
        <v>0</v>
      </c>
      <c r="N82" s="20"/>
      <c r="O82" s="20"/>
      <c r="P82" s="20"/>
      <c r="Q82" s="9">
        <f>SUM(N82:P82)</f>
        <v>0</v>
      </c>
      <c r="R82" s="20"/>
      <c r="S82" s="20"/>
      <c r="T82" s="20"/>
      <c r="U82" s="21">
        <f>SUM(R82:T82)</f>
        <v>0</v>
      </c>
      <c r="V82" s="25"/>
      <c r="W82" s="25"/>
      <c r="X82" s="25"/>
      <c r="Y82" s="21">
        <f>SUM(V82:X82)</f>
        <v>0</v>
      </c>
      <c r="Z82" s="4">
        <f>F82+J82+N82+R82+V82</f>
        <v>0</v>
      </c>
      <c r="AA82" s="4">
        <f>G82+K82+O82+S82+W82</f>
        <v>155000</v>
      </c>
      <c r="AB82" s="4">
        <f>H82+L82+P82+T82+X82</f>
        <v>25000</v>
      </c>
      <c r="AC82" s="9">
        <f>SUM(Z82:AB82)</f>
        <v>180000</v>
      </c>
    </row>
    <row r="83" spans="1:29" s="38" customFormat="1">
      <c r="A83" s="34"/>
      <c r="B83" s="34"/>
      <c r="C83" s="35" t="s">
        <v>177</v>
      </c>
      <c r="D83" s="37"/>
      <c r="E83" s="37"/>
      <c r="F83" s="37">
        <f>SUM(F82)</f>
        <v>0</v>
      </c>
      <c r="G83" s="37">
        <f t="shared" ref="G83:AC83" si="58">SUM(G82)</f>
        <v>155000</v>
      </c>
      <c r="H83" s="37">
        <f t="shared" si="58"/>
        <v>25000</v>
      </c>
      <c r="I83" s="37">
        <f t="shared" si="58"/>
        <v>180000</v>
      </c>
      <c r="J83" s="37">
        <f t="shared" si="58"/>
        <v>0</v>
      </c>
      <c r="K83" s="37">
        <f t="shared" si="58"/>
        <v>0</v>
      </c>
      <c r="L83" s="37">
        <f t="shared" si="58"/>
        <v>0</v>
      </c>
      <c r="M83" s="37">
        <f t="shared" si="58"/>
        <v>0</v>
      </c>
      <c r="N83" s="39">
        <f t="shared" si="58"/>
        <v>0</v>
      </c>
      <c r="O83" s="39">
        <f t="shared" si="58"/>
        <v>0</v>
      </c>
      <c r="P83" s="39">
        <f t="shared" si="58"/>
        <v>0</v>
      </c>
      <c r="Q83" s="39">
        <f t="shared" si="58"/>
        <v>0</v>
      </c>
      <c r="R83" s="39">
        <f t="shared" si="58"/>
        <v>0</v>
      </c>
      <c r="S83" s="39">
        <f t="shared" si="58"/>
        <v>0</v>
      </c>
      <c r="T83" s="39">
        <f t="shared" si="58"/>
        <v>0</v>
      </c>
      <c r="U83" s="39">
        <f t="shared" si="58"/>
        <v>0</v>
      </c>
      <c r="V83" s="39">
        <f t="shared" si="58"/>
        <v>0</v>
      </c>
      <c r="W83" s="39">
        <f t="shared" si="58"/>
        <v>0</v>
      </c>
      <c r="X83" s="39">
        <f t="shared" si="58"/>
        <v>0</v>
      </c>
      <c r="Y83" s="39">
        <f t="shared" si="58"/>
        <v>0</v>
      </c>
      <c r="Z83" s="39">
        <f t="shared" si="58"/>
        <v>0</v>
      </c>
      <c r="AA83" s="39">
        <f t="shared" si="58"/>
        <v>155000</v>
      </c>
      <c r="AB83" s="39">
        <f t="shared" si="58"/>
        <v>25000</v>
      </c>
      <c r="AC83" s="39">
        <f t="shared" si="58"/>
        <v>180000</v>
      </c>
    </row>
    <row r="84" spans="1:29">
      <c r="A84" s="8">
        <v>1</v>
      </c>
      <c r="B84" s="185" t="s">
        <v>17</v>
      </c>
      <c r="C84" s="1" t="s">
        <v>178</v>
      </c>
      <c r="D84" s="4" t="s">
        <v>179</v>
      </c>
      <c r="E84" s="4" t="s">
        <v>17</v>
      </c>
      <c r="F84" s="4">
        <v>155000</v>
      </c>
      <c r="G84" s="4">
        <v>1164000</v>
      </c>
      <c r="H84" s="4">
        <f>110000+110000+330000+110000+80000</f>
        <v>740000</v>
      </c>
      <c r="I84" s="9">
        <f t="shared" ref="I84:I115" si="59">SUM(F84:H84)</f>
        <v>2059000</v>
      </c>
      <c r="J84" s="77">
        <v>290000</v>
      </c>
      <c r="K84" s="77">
        <v>2150000</v>
      </c>
      <c r="L84" s="77">
        <v>1650000</v>
      </c>
      <c r="M84" s="9">
        <f t="shared" ref="M84:M115" si="60">SUM(J84:L84)</f>
        <v>4090000</v>
      </c>
      <c r="N84" s="20"/>
      <c r="O84" s="20"/>
      <c r="P84" s="4">
        <v>590000</v>
      </c>
      <c r="Q84" s="9">
        <f t="shared" ref="Q84:Q115" si="61">SUM(N84:P84)</f>
        <v>590000</v>
      </c>
      <c r="R84" s="20">
        <v>195000</v>
      </c>
      <c r="S84" s="25">
        <v>1676350</v>
      </c>
      <c r="T84" s="25">
        <f>792000+30000</f>
        <v>822000</v>
      </c>
      <c r="U84" s="21">
        <f t="shared" ref="U84:U115" si="62">SUM(R84:T84)</f>
        <v>2693350</v>
      </c>
      <c r="V84" s="25"/>
      <c r="W84" s="24">
        <f>100000+248400</f>
        <v>348400</v>
      </c>
      <c r="X84" s="25"/>
      <c r="Y84" s="21">
        <f t="shared" ref="Y84:Y115" si="63">SUM(V84:X84)</f>
        <v>348400</v>
      </c>
      <c r="Z84" s="4">
        <f t="shared" ref="Z84:Z115" si="64">F84+J84+N84+R84+V84</f>
        <v>640000</v>
      </c>
      <c r="AA84" s="4">
        <f t="shared" ref="AA84:AA115" si="65">G84+K84+O84+S84+W84</f>
        <v>5338750</v>
      </c>
      <c r="AB84" s="4">
        <f t="shared" ref="AB84:AB115" si="66">H84+L84+P84+T84+X84</f>
        <v>3802000</v>
      </c>
      <c r="AC84" s="9">
        <f t="shared" ref="AC84:AC115" si="67">SUM(Z84:AB84)</f>
        <v>9780750</v>
      </c>
    </row>
    <row r="85" spans="1:29">
      <c r="A85" s="8">
        <v>2</v>
      </c>
      <c r="B85" s="186"/>
      <c r="C85" s="1" t="s">
        <v>180</v>
      </c>
      <c r="D85" s="4" t="s">
        <v>181</v>
      </c>
      <c r="E85" s="4" t="s">
        <v>17</v>
      </c>
      <c r="F85" s="4"/>
      <c r="G85" s="4"/>
      <c r="H85" s="4">
        <v>155000</v>
      </c>
      <c r="I85" s="9">
        <f t="shared" si="59"/>
        <v>155000</v>
      </c>
      <c r="J85" s="77"/>
      <c r="K85" s="77"/>
      <c r="L85" s="77">
        <v>390000</v>
      </c>
      <c r="M85" s="9">
        <f t="shared" si="60"/>
        <v>390000</v>
      </c>
      <c r="N85" s="20"/>
      <c r="O85" s="20"/>
      <c r="P85" s="4"/>
      <c r="Q85" s="9">
        <f t="shared" si="61"/>
        <v>0</v>
      </c>
      <c r="R85" s="20"/>
      <c r="S85" s="25">
        <v>195000</v>
      </c>
      <c r="T85" s="25">
        <f>165550+208000</f>
        <v>373550</v>
      </c>
      <c r="U85" s="21">
        <f t="shared" si="62"/>
        <v>568550</v>
      </c>
      <c r="V85" s="25"/>
      <c r="W85" s="25"/>
      <c r="X85" s="25"/>
      <c r="Y85" s="21">
        <f t="shared" si="63"/>
        <v>0</v>
      </c>
      <c r="Z85" s="4">
        <f t="shared" si="64"/>
        <v>0</v>
      </c>
      <c r="AA85" s="4">
        <f t="shared" si="65"/>
        <v>195000</v>
      </c>
      <c r="AB85" s="4">
        <f t="shared" si="66"/>
        <v>918550</v>
      </c>
      <c r="AC85" s="9">
        <f t="shared" si="67"/>
        <v>1113550</v>
      </c>
    </row>
    <row r="86" spans="1:29">
      <c r="A86" s="8">
        <v>3</v>
      </c>
      <c r="B86" s="186"/>
      <c r="C86" s="1" t="s">
        <v>182</v>
      </c>
      <c r="D86" s="4" t="s">
        <v>183</v>
      </c>
      <c r="E86" s="4" t="s">
        <v>17</v>
      </c>
      <c r="F86" s="4"/>
      <c r="G86" s="4"/>
      <c r="H86" s="4"/>
      <c r="I86" s="9">
        <f t="shared" si="59"/>
        <v>0</v>
      </c>
      <c r="J86" s="77"/>
      <c r="K86" s="77"/>
      <c r="L86" s="77">
        <v>290000</v>
      </c>
      <c r="M86" s="9">
        <f t="shared" si="60"/>
        <v>290000</v>
      </c>
      <c r="N86" s="20"/>
      <c r="O86" s="20"/>
      <c r="P86" s="4"/>
      <c r="Q86" s="9">
        <f t="shared" si="61"/>
        <v>0</v>
      </c>
      <c r="R86" s="20"/>
      <c r="S86" s="25"/>
      <c r="T86" s="25">
        <v>225000</v>
      </c>
      <c r="U86" s="21">
        <f t="shared" si="62"/>
        <v>225000</v>
      </c>
      <c r="V86" s="25"/>
      <c r="W86" s="25"/>
      <c r="X86" s="25"/>
      <c r="Y86" s="21">
        <f t="shared" si="63"/>
        <v>0</v>
      </c>
      <c r="Z86" s="4">
        <f t="shared" si="64"/>
        <v>0</v>
      </c>
      <c r="AA86" s="4">
        <f t="shared" si="65"/>
        <v>0</v>
      </c>
      <c r="AB86" s="4">
        <f t="shared" si="66"/>
        <v>515000</v>
      </c>
      <c r="AC86" s="9">
        <f t="shared" si="67"/>
        <v>515000</v>
      </c>
    </row>
    <row r="87" spans="1:29">
      <c r="A87" s="8">
        <v>4</v>
      </c>
      <c r="B87" s="186"/>
      <c r="C87" s="1" t="s">
        <v>184</v>
      </c>
      <c r="D87" s="4" t="s">
        <v>185</v>
      </c>
      <c r="E87" s="4" t="s">
        <v>17</v>
      </c>
      <c r="F87" s="4"/>
      <c r="G87" s="4">
        <v>323000</v>
      </c>
      <c r="H87" s="4">
        <f>93500+55000+253000+71500+55000+20000+60000</f>
        <v>608000</v>
      </c>
      <c r="I87" s="9">
        <f t="shared" si="59"/>
        <v>931000</v>
      </c>
      <c r="J87" s="4"/>
      <c r="K87" s="4"/>
      <c r="L87" s="4"/>
      <c r="M87" s="9">
        <f t="shared" si="60"/>
        <v>0</v>
      </c>
      <c r="N87" s="20"/>
      <c r="O87" s="20"/>
      <c r="P87" s="4"/>
      <c r="Q87" s="9">
        <f t="shared" si="61"/>
        <v>0</v>
      </c>
      <c r="R87" s="20"/>
      <c r="S87" s="20"/>
      <c r="T87" s="20"/>
      <c r="U87" s="21">
        <f t="shared" si="62"/>
        <v>0</v>
      </c>
      <c r="V87" s="25"/>
      <c r="W87" s="25"/>
      <c r="X87" s="25"/>
      <c r="Y87" s="21">
        <f t="shared" si="63"/>
        <v>0</v>
      </c>
      <c r="Z87" s="4">
        <f t="shared" si="64"/>
        <v>0</v>
      </c>
      <c r="AA87" s="4">
        <f t="shared" si="65"/>
        <v>323000</v>
      </c>
      <c r="AB87" s="4">
        <f t="shared" si="66"/>
        <v>608000</v>
      </c>
      <c r="AC87" s="9">
        <f t="shared" si="67"/>
        <v>931000</v>
      </c>
    </row>
    <row r="88" spans="1:29">
      <c r="A88" s="8">
        <v>5</v>
      </c>
      <c r="B88" s="186"/>
      <c r="C88" s="42" t="s">
        <v>186</v>
      </c>
      <c r="D88" s="43" t="s">
        <v>187</v>
      </c>
      <c r="E88" s="4" t="s">
        <v>17</v>
      </c>
      <c r="F88" s="4"/>
      <c r="G88" s="4"/>
      <c r="H88" s="4"/>
      <c r="I88" s="9">
        <f t="shared" si="59"/>
        <v>0</v>
      </c>
      <c r="J88" s="4"/>
      <c r="K88" s="4"/>
      <c r="L88" s="4"/>
      <c r="M88" s="9">
        <f t="shared" si="60"/>
        <v>0</v>
      </c>
      <c r="N88" s="20"/>
      <c r="O88" s="20"/>
      <c r="P88" s="4">
        <v>290000</v>
      </c>
      <c r="Q88" s="9">
        <f t="shared" si="61"/>
        <v>290000</v>
      </c>
      <c r="R88" s="20"/>
      <c r="S88" s="20"/>
      <c r="T88" s="20"/>
      <c r="U88" s="21">
        <f t="shared" si="62"/>
        <v>0</v>
      </c>
      <c r="V88" s="25"/>
      <c r="W88" s="25"/>
      <c r="X88" s="25"/>
      <c r="Y88" s="21">
        <f t="shared" si="63"/>
        <v>0</v>
      </c>
      <c r="Z88" s="4">
        <f t="shared" si="64"/>
        <v>0</v>
      </c>
      <c r="AA88" s="4">
        <f t="shared" si="65"/>
        <v>0</v>
      </c>
      <c r="AB88" s="4">
        <f t="shared" si="66"/>
        <v>290000</v>
      </c>
      <c r="AC88" s="9">
        <f t="shared" si="67"/>
        <v>290000</v>
      </c>
    </row>
    <row r="89" spans="1:29">
      <c r="A89" s="8">
        <v>6</v>
      </c>
      <c r="B89" s="186"/>
      <c r="C89" s="1" t="s">
        <v>188</v>
      </c>
      <c r="D89" s="4"/>
      <c r="E89" s="4" t="s">
        <v>17</v>
      </c>
      <c r="F89" s="4"/>
      <c r="G89" s="4"/>
      <c r="H89" s="4"/>
      <c r="I89" s="9">
        <f t="shared" si="59"/>
        <v>0</v>
      </c>
      <c r="J89" s="76"/>
      <c r="K89" s="76">
        <v>290000</v>
      </c>
      <c r="L89" s="76">
        <v>1620000</v>
      </c>
      <c r="M89" s="9">
        <f t="shared" si="60"/>
        <v>1910000</v>
      </c>
      <c r="N89" s="20"/>
      <c r="O89" s="20"/>
      <c r="P89" s="20"/>
      <c r="Q89" s="9">
        <f t="shared" si="61"/>
        <v>0</v>
      </c>
      <c r="R89" s="20"/>
      <c r="S89" s="25">
        <v>616950</v>
      </c>
      <c r="T89" s="25">
        <v>708100</v>
      </c>
      <c r="U89" s="21">
        <f t="shared" si="62"/>
        <v>1325050</v>
      </c>
      <c r="V89" s="25"/>
      <c r="W89" s="25"/>
      <c r="X89" s="25"/>
      <c r="Y89" s="21">
        <f t="shared" si="63"/>
        <v>0</v>
      </c>
      <c r="Z89" s="4">
        <f t="shared" si="64"/>
        <v>0</v>
      </c>
      <c r="AA89" s="4">
        <f t="shared" si="65"/>
        <v>906950</v>
      </c>
      <c r="AB89" s="4">
        <f t="shared" si="66"/>
        <v>2328100</v>
      </c>
      <c r="AC89" s="9">
        <f t="shared" si="67"/>
        <v>3235050</v>
      </c>
    </row>
    <row r="90" spans="1:29" ht="47.25">
      <c r="A90" s="8">
        <v>7</v>
      </c>
      <c r="B90" s="186"/>
      <c r="C90" s="1" t="s">
        <v>189</v>
      </c>
      <c r="D90" s="4" t="s">
        <v>190</v>
      </c>
      <c r="E90" s="4" t="s">
        <v>17</v>
      </c>
      <c r="F90" s="4"/>
      <c r="G90" s="4">
        <v>287500</v>
      </c>
      <c r="H90" s="4">
        <f>137000+74000+352000</f>
        <v>563000</v>
      </c>
      <c r="I90" s="9">
        <f t="shared" si="59"/>
        <v>850500</v>
      </c>
      <c r="J90" s="76"/>
      <c r="K90" s="76">
        <v>410000</v>
      </c>
      <c r="L90" s="76">
        <v>940000</v>
      </c>
      <c r="M90" s="9">
        <f t="shared" si="60"/>
        <v>1350000</v>
      </c>
      <c r="N90" s="20"/>
      <c r="O90" s="20"/>
      <c r="P90" s="20"/>
      <c r="Q90" s="9">
        <f t="shared" si="61"/>
        <v>0</v>
      </c>
      <c r="R90" s="20"/>
      <c r="S90" s="20"/>
      <c r="T90" s="25">
        <v>350200</v>
      </c>
      <c r="U90" s="21">
        <f t="shared" si="62"/>
        <v>350200</v>
      </c>
      <c r="V90" s="25"/>
      <c r="W90" s="25"/>
      <c r="X90" s="25"/>
      <c r="Y90" s="21">
        <f t="shared" si="63"/>
        <v>0</v>
      </c>
      <c r="Z90" s="4">
        <f t="shared" si="64"/>
        <v>0</v>
      </c>
      <c r="AA90" s="4">
        <f t="shared" si="65"/>
        <v>697500</v>
      </c>
      <c r="AB90" s="4">
        <f t="shared" si="66"/>
        <v>1853200</v>
      </c>
      <c r="AC90" s="9">
        <f t="shared" si="67"/>
        <v>2550700</v>
      </c>
    </row>
    <row r="91" spans="1:29" ht="31.5">
      <c r="A91" s="8">
        <v>8</v>
      </c>
      <c r="B91" s="186"/>
      <c r="C91" s="1" t="s">
        <v>191</v>
      </c>
      <c r="D91" s="4" t="s">
        <v>185</v>
      </c>
      <c r="E91" s="4" t="s">
        <v>17</v>
      </c>
      <c r="F91" s="4">
        <v>155000</v>
      </c>
      <c r="G91" s="4">
        <v>490500</v>
      </c>
      <c r="H91" s="4">
        <f>93500+99000+396000+99000</f>
        <v>687500</v>
      </c>
      <c r="I91" s="9">
        <f t="shared" si="59"/>
        <v>1333000</v>
      </c>
      <c r="J91" s="4"/>
      <c r="K91" s="4"/>
      <c r="L91" s="4"/>
      <c r="M91" s="9">
        <f t="shared" si="60"/>
        <v>0</v>
      </c>
      <c r="N91" s="20"/>
      <c r="O91" s="20"/>
      <c r="P91" s="20"/>
      <c r="Q91" s="9">
        <f t="shared" si="61"/>
        <v>0</v>
      </c>
      <c r="R91" s="20">
        <v>195000</v>
      </c>
      <c r="S91" s="25">
        <v>662850</v>
      </c>
      <c r="T91" s="25">
        <v>522700</v>
      </c>
      <c r="U91" s="21">
        <f t="shared" si="62"/>
        <v>1380550</v>
      </c>
      <c r="V91" s="25"/>
      <c r="W91" s="25"/>
      <c r="X91" s="25"/>
      <c r="Y91" s="21">
        <f t="shared" si="63"/>
        <v>0</v>
      </c>
      <c r="Z91" s="4">
        <f t="shared" si="64"/>
        <v>350000</v>
      </c>
      <c r="AA91" s="4">
        <f t="shared" si="65"/>
        <v>1153350</v>
      </c>
      <c r="AB91" s="4">
        <f t="shared" si="66"/>
        <v>1210200</v>
      </c>
      <c r="AC91" s="9">
        <f t="shared" si="67"/>
        <v>2713550</v>
      </c>
    </row>
    <row r="92" spans="1:29">
      <c r="A92" s="8">
        <v>9</v>
      </c>
      <c r="B92" s="186"/>
      <c r="C92" s="1" t="s">
        <v>192</v>
      </c>
      <c r="D92" s="4" t="s">
        <v>193</v>
      </c>
      <c r="E92" s="4" t="s">
        <v>17</v>
      </c>
      <c r="F92" s="4"/>
      <c r="G92" s="4">
        <v>804000</v>
      </c>
      <c r="H92" s="4">
        <f>99000+99000+297000</f>
        <v>495000</v>
      </c>
      <c r="I92" s="9">
        <f t="shared" si="59"/>
        <v>1299000</v>
      </c>
      <c r="J92" s="76"/>
      <c r="K92" s="76">
        <v>1050000</v>
      </c>
      <c r="L92" s="76">
        <v>760000</v>
      </c>
      <c r="M92" s="9">
        <f t="shared" si="60"/>
        <v>1810000</v>
      </c>
      <c r="N92" s="20"/>
      <c r="O92" s="20"/>
      <c r="P92" s="20"/>
      <c r="Q92" s="9">
        <f t="shared" si="61"/>
        <v>0</v>
      </c>
      <c r="R92" s="20"/>
      <c r="S92" s="25">
        <v>1339600</v>
      </c>
      <c r="T92" s="25">
        <v>582000</v>
      </c>
      <c r="U92" s="21">
        <f t="shared" si="62"/>
        <v>1921600</v>
      </c>
      <c r="V92" s="25"/>
      <c r="W92" s="25"/>
      <c r="X92" s="25">
        <v>366800</v>
      </c>
      <c r="Y92" s="21">
        <f t="shared" si="63"/>
        <v>366800</v>
      </c>
      <c r="Z92" s="4">
        <f t="shared" si="64"/>
        <v>0</v>
      </c>
      <c r="AA92" s="4">
        <f t="shared" si="65"/>
        <v>3193600</v>
      </c>
      <c r="AB92" s="4">
        <f t="shared" si="66"/>
        <v>2203800</v>
      </c>
      <c r="AC92" s="9">
        <f t="shared" si="67"/>
        <v>5397400</v>
      </c>
    </row>
    <row r="93" spans="1:29" ht="31.5">
      <c r="A93" s="8">
        <v>10</v>
      </c>
      <c r="B93" s="186"/>
      <c r="C93" s="1" t="s">
        <v>194</v>
      </c>
      <c r="D93" s="4" t="s">
        <v>187</v>
      </c>
      <c r="E93" s="4" t="s">
        <v>17</v>
      </c>
      <c r="F93" s="4"/>
      <c r="G93" s="4">
        <v>155000</v>
      </c>
      <c r="H93" s="4">
        <v>151000</v>
      </c>
      <c r="I93" s="9">
        <f t="shared" si="59"/>
        <v>306000</v>
      </c>
      <c r="J93" s="4"/>
      <c r="K93" s="4"/>
      <c r="L93" s="4"/>
      <c r="M93" s="9">
        <f t="shared" si="60"/>
        <v>0</v>
      </c>
      <c r="N93" s="20"/>
      <c r="O93" s="20"/>
      <c r="P93" s="20"/>
      <c r="Q93" s="9">
        <f t="shared" si="61"/>
        <v>0</v>
      </c>
      <c r="R93" s="20"/>
      <c r="S93" s="20"/>
      <c r="T93" s="20"/>
      <c r="U93" s="21">
        <f t="shared" si="62"/>
        <v>0</v>
      </c>
      <c r="V93" s="25"/>
      <c r="W93" s="25"/>
      <c r="X93" s="25"/>
      <c r="Y93" s="21">
        <f t="shared" si="63"/>
        <v>0</v>
      </c>
      <c r="Z93" s="4">
        <f t="shared" si="64"/>
        <v>0</v>
      </c>
      <c r="AA93" s="4">
        <f t="shared" si="65"/>
        <v>155000</v>
      </c>
      <c r="AB93" s="4">
        <f t="shared" si="66"/>
        <v>151000</v>
      </c>
      <c r="AC93" s="9">
        <f t="shared" si="67"/>
        <v>306000</v>
      </c>
    </row>
    <row r="94" spans="1:29">
      <c r="A94" s="8">
        <v>11</v>
      </c>
      <c r="B94" s="186"/>
      <c r="C94" s="1" t="s">
        <v>195</v>
      </c>
      <c r="D94" s="4" t="s">
        <v>196</v>
      </c>
      <c r="E94" s="4" t="s">
        <v>17</v>
      </c>
      <c r="F94" s="4"/>
      <c r="G94" s="4">
        <v>155000</v>
      </c>
      <c r="H94" s="4">
        <v>154000</v>
      </c>
      <c r="I94" s="9">
        <f t="shared" si="59"/>
        <v>309000</v>
      </c>
      <c r="J94" s="76"/>
      <c r="K94" s="76">
        <v>790000</v>
      </c>
      <c r="L94" s="76">
        <v>1260000</v>
      </c>
      <c r="M94" s="9">
        <f t="shared" si="60"/>
        <v>2050000</v>
      </c>
      <c r="N94" s="20"/>
      <c r="O94" s="20"/>
      <c r="P94" s="20"/>
      <c r="Q94" s="9">
        <f t="shared" si="61"/>
        <v>0</v>
      </c>
      <c r="R94" s="20"/>
      <c r="S94" s="25">
        <v>447200</v>
      </c>
      <c r="T94" s="25">
        <v>504400</v>
      </c>
      <c r="U94" s="21">
        <f t="shared" si="62"/>
        <v>951600</v>
      </c>
      <c r="V94" s="25"/>
      <c r="W94" s="25"/>
      <c r="X94" s="25"/>
      <c r="Y94" s="21">
        <f t="shared" si="63"/>
        <v>0</v>
      </c>
      <c r="Z94" s="4">
        <f t="shared" si="64"/>
        <v>0</v>
      </c>
      <c r="AA94" s="4">
        <f t="shared" si="65"/>
        <v>1392200</v>
      </c>
      <c r="AB94" s="4">
        <f t="shared" si="66"/>
        <v>1918400</v>
      </c>
      <c r="AC94" s="9">
        <f t="shared" si="67"/>
        <v>3310600</v>
      </c>
    </row>
    <row r="95" spans="1:29">
      <c r="A95" s="8">
        <v>12</v>
      </c>
      <c r="B95" s="186"/>
      <c r="C95" s="1" t="s">
        <v>197</v>
      </c>
      <c r="D95" s="4" t="s">
        <v>187</v>
      </c>
      <c r="E95" s="4" t="s">
        <v>17</v>
      </c>
      <c r="F95" s="4"/>
      <c r="G95" s="4">
        <v>512500</v>
      </c>
      <c r="H95" s="4">
        <f>104500+110000+110000</f>
        <v>324500</v>
      </c>
      <c r="I95" s="9">
        <f t="shared" si="59"/>
        <v>837000</v>
      </c>
      <c r="J95" s="76"/>
      <c r="K95" s="76">
        <v>1300000</v>
      </c>
      <c r="L95" s="76">
        <v>1480000</v>
      </c>
      <c r="M95" s="9">
        <f t="shared" si="60"/>
        <v>2780000</v>
      </c>
      <c r="N95" s="20"/>
      <c r="O95" s="20">
        <v>290000</v>
      </c>
      <c r="P95" s="20"/>
      <c r="Q95" s="9">
        <f t="shared" si="61"/>
        <v>290000</v>
      </c>
      <c r="R95" s="20"/>
      <c r="S95" s="25">
        <v>943600</v>
      </c>
      <c r="T95" s="20">
        <v>780850</v>
      </c>
      <c r="U95" s="21">
        <f t="shared" si="62"/>
        <v>1724450</v>
      </c>
      <c r="V95" s="25"/>
      <c r="W95" s="25">
        <v>100000</v>
      </c>
      <c r="X95" s="25">
        <v>276000</v>
      </c>
      <c r="Y95" s="21">
        <f t="shared" si="63"/>
        <v>376000</v>
      </c>
      <c r="Z95" s="4">
        <f t="shared" si="64"/>
        <v>0</v>
      </c>
      <c r="AA95" s="4">
        <f t="shared" si="65"/>
        <v>3146100</v>
      </c>
      <c r="AB95" s="4">
        <f t="shared" si="66"/>
        <v>2861350</v>
      </c>
      <c r="AC95" s="9">
        <f t="shared" si="67"/>
        <v>6007450</v>
      </c>
    </row>
    <row r="96" spans="1:29">
      <c r="A96" s="8">
        <v>13</v>
      </c>
      <c r="B96" s="186"/>
      <c r="C96" s="1" t="s">
        <v>198</v>
      </c>
      <c r="D96" s="4" t="s">
        <v>193</v>
      </c>
      <c r="E96" s="4" t="s">
        <v>17</v>
      </c>
      <c r="F96" s="4"/>
      <c r="G96" s="4"/>
      <c r="H96" s="4"/>
      <c r="I96" s="9">
        <f t="shared" si="59"/>
        <v>0</v>
      </c>
      <c r="J96" s="76"/>
      <c r="K96" s="76">
        <v>1210000</v>
      </c>
      <c r="L96" s="76">
        <v>1000000</v>
      </c>
      <c r="M96" s="9">
        <f t="shared" si="60"/>
        <v>2210000</v>
      </c>
      <c r="N96" s="20"/>
      <c r="O96" s="20"/>
      <c r="P96" s="20"/>
      <c r="Q96" s="9">
        <f t="shared" si="61"/>
        <v>0</v>
      </c>
      <c r="R96" s="20"/>
      <c r="S96" s="25">
        <v>801250</v>
      </c>
      <c r="T96" s="25">
        <v>582000</v>
      </c>
      <c r="U96" s="21">
        <f t="shared" si="62"/>
        <v>1383250</v>
      </c>
      <c r="V96" s="25"/>
      <c r="W96" s="25"/>
      <c r="X96" s="25"/>
      <c r="Y96" s="21">
        <f t="shared" si="63"/>
        <v>0</v>
      </c>
      <c r="Z96" s="4">
        <f t="shared" si="64"/>
        <v>0</v>
      </c>
      <c r="AA96" s="4">
        <f t="shared" si="65"/>
        <v>2011250</v>
      </c>
      <c r="AB96" s="4">
        <f t="shared" si="66"/>
        <v>1582000</v>
      </c>
      <c r="AC96" s="9">
        <f t="shared" si="67"/>
        <v>3593250</v>
      </c>
    </row>
    <row r="97" spans="1:29" ht="31.5">
      <c r="A97" s="8">
        <v>14</v>
      </c>
      <c r="B97" s="186"/>
      <c r="C97" s="1" t="s">
        <v>199</v>
      </c>
      <c r="D97" s="4" t="s">
        <v>185</v>
      </c>
      <c r="E97" s="4" t="s">
        <v>17</v>
      </c>
      <c r="F97" s="4"/>
      <c r="G97" s="4"/>
      <c r="H97" s="4"/>
      <c r="I97" s="9">
        <f t="shared" si="59"/>
        <v>0</v>
      </c>
      <c r="J97" s="4"/>
      <c r="K97" s="4"/>
      <c r="L97" s="4"/>
      <c r="M97" s="9">
        <f t="shared" si="60"/>
        <v>0</v>
      </c>
      <c r="N97" s="20"/>
      <c r="O97" s="20"/>
      <c r="P97" s="20"/>
      <c r="Q97" s="9">
        <f t="shared" si="61"/>
        <v>0</v>
      </c>
      <c r="R97" s="20"/>
      <c r="S97" s="25"/>
      <c r="T97" s="25">
        <v>680900</v>
      </c>
      <c r="U97" s="21">
        <f t="shared" si="62"/>
        <v>680900</v>
      </c>
      <c r="V97" s="25"/>
      <c r="W97" s="25"/>
      <c r="X97" s="25"/>
      <c r="Y97" s="21">
        <f t="shared" si="63"/>
        <v>0</v>
      </c>
      <c r="Z97" s="4">
        <f t="shared" si="64"/>
        <v>0</v>
      </c>
      <c r="AA97" s="4">
        <f t="shared" si="65"/>
        <v>0</v>
      </c>
      <c r="AB97" s="4">
        <f t="shared" si="66"/>
        <v>680900</v>
      </c>
      <c r="AC97" s="9">
        <f t="shared" si="67"/>
        <v>680900</v>
      </c>
    </row>
    <row r="98" spans="1:29" ht="31.5">
      <c r="A98" s="8">
        <v>15</v>
      </c>
      <c r="B98" s="186"/>
      <c r="C98" s="1" t="s">
        <v>200</v>
      </c>
      <c r="D98" s="4" t="s">
        <v>201</v>
      </c>
      <c r="E98" s="4" t="s">
        <v>17</v>
      </c>
      <c r="F98" s="4"/>
      <c r="G98" s="4"/>
      <c r="H98" s="4">
        <f>155000+72000</f>
        <v>227000</v>
      </c>
      <c r="I98" s="9">
        <f t="shared" si="59"/>
        <v>227000</v>
      </c>
      <c r="J98" s="4"/>
      <c r="K98" s="4"/>
      <c r="L98" s="4"/>
      <c r="M98" s="9">
        <f t="shared" si="60"/>
        <v>0</v>
      </c>
      <c r="N98" s="20"/>
      <c r="O98" s="20"/>
      <c r="P98" s="20"/>
      <c r="Q98" s="9">
        <f t="shared" si="61"/>
        <v>0</v>
      </c>
      <c r="R98" s="20"/>
      <c r="S98" s="20"/>
      <c r="T98" s="25">
        <v>310500</v>
      </c>
      <c r="U98" s="21">
        <f t="shared" si="62"/>
        <v>310500</v>
      </c>
      <c r="V98" s="25"/>
      <c r="W98" s="25"/>
      <c r="X98" s="25"/>
      <c r="Y98" s="21">
        <f t="shared" si="63"/>
        <v>0</v>
      </c>
      <c r="Z98" s="4">
        <f t="shared" si="64"/>
        <v>0</v>
      </c>
      <c r="AA98" s="4">
        <f t="shared" si="65"/>
        <v>0</v>
      </c>
      <c r="AB98" s="4">
        <f t="shared" si="66"/>
        <v>537500</v>
      </c>
      <c r="AC98" s="9">
        <f t="shared" si="67"/>
        <v>537500</v>
      </c>
    </row>
    <row r="99" spans="1:29">
      <c r="A99" s="8">
        <v>16</v>
      </c>
      <c r="B99" s="186"/>
      <c r="C99" s="1" t="s">
        <v>202</v>
      </c>
      <c r="D99" s="4" t="s">
        <v>203</v>
      </c>
      <c r="E99" s="4" t="s">
        <v>17</v>
      </c>
      <c r="F99" s="4">
        <v>155000</v>
      </c>
      <c r="G99" s="4">
        <v>699500</v>
      </c>
      <c r="H99" s="4">
        <f>198000+324500</f>
        <v>522500</v>
      </c>
      <c r="I99" s="9">
        <f t="shared" si="59"/>
        <v>1377000</v>
      </c>
      <c r="J99" s="76"/>
      <c r="K99" s="76"/>
      <c r="L99" s="76">
        <v>290000</v>
      </c>
      <c r="M99" s="9">
        <f t="shared" si="60"/>
        <v>290000</v>
      </c>
      <c r="N99" s="20"/>
      <c r="O99" s="20"/>
      <c r="P99" s="20"/>
      <c r="Q99" s="9">
        <f t="shared" si="61"/>
        <v>0</v>
      </c>
      <c r="R99" s="20"/>
      <c r="S99" s="25">
        <v>1407050</v>
      </c>
      <c r="T99" s="25">
        <v>582000</v>
      </c>
      <c r="U99" s="21">
        <f t="shared" si="62"/>
        <v>1989050</v>
      </c>
      <c r="V99" s="25"/>
      <c r="W99" s="24">
        <v>100000</v>
      </c>
      <c r="X99" s="25"/>
      <c r="Y99" s="21">
        <f t="shared" si="63"/>
        <v>100000</v>
      </c>
      <c r="Z99" s="4">
        <f t="shared" si="64"/>
        <v>155000</v>
      </c>
      <c r="AA99" s="4">
        <f t="shared" si="65"/>
        <v>2206550</v>
      </c>
      <c r="AB99" s="4">
        <f t="shared" si="66"/>
        <v>1394500</v>
      </c>
      <c r="AC99" s="9">
        <f t="shared" si="67"/>
        <v>3756050</v>
      </c>
    </row>
    <row r="100" spans="1:29">
      <c r="A100" s="8">
        <v>17</v>
      </c>
      <c r="B100" s="186"/>
      <c r="C100" s="1" t="s">
        <v>204</v>
      </c>
      <c r="D100" s="4" t="s">
        <v>205</v>
      </c>
      <c r="E100" s="4" t="s">
        <v>17</v>
      </c>
      <c r="F100" s="4"/>
      <c r="G100" s="4"/>
      <c r="H100" s="4">
        <v>155000</v>
      </c>
      <c r="I100" s="9">
        <f t="shared" si="59"/>
        <v>155000</v>
      </c>
      <c r="J100" s="76"/>
      <c r="K100" s="76"/>
      <c r="L100" s="76">
        <v>290000</v>
      </c>
      <c r="M100" s="9">
        <f t="shared" si="60"/>
        <v>290000</v>
      </c>
      <c r="N100" s="20"/>
      <c r="O100" s="20"/>
      <c r="P100" s="20"/>
      <c r="Q100" s="9">
        <f t="shared" si="61"/>
        <v>0</v>
      </c>
      <c r="R100" s="20"/>
      <c r="S100" s="20">
        <v>195000</v>
      </c>
      <c r="T100" s="25">
        <v>237650</v>
      </c>
      <c r="U100" s="21">
        <f t="shared" si="62"/>
        <v>432650</v>
      </c>
      <c r="V100" s="25"/>
      <c r="W100" s="24"/>
      <c r="X100" s="25"/>
      <c r="Y100" s="21">
        <f t="shared" si="63"/>
        <v>0</v>
      </c>
      <c r="Z100" s="4">
        <f t="shared" si="64"/>
        <v>0</v>
      </c>
      <c r="AA100" s="4">
        <f t="shared" si="65"/>
        <v>195000</v>
      </c>
      <c r="AB100" s="4">
        <f t="shared" si="66"/>
        <v>682650</v>
      </c>
      <c r="AC100" s="9">
        <f t="shared" si="67"/>
        <v>877650</v>
      </c>
    </row>
    <row r="101" spans="1:29">
      <c r="A101" s="8">
        <v>18</v>
      </c>
      <c r="B101" s="186"/>
      <c r="C101" s="1" t="s">
        <v>5</v>
      </c>
      <c r="D101" s="4" t="s">
        <v>36</v>
      </c>
      <c r="E101" s="4" t="s">
        <v>17</v>
      </c>
      <c r="F101" s="4">
        <v>155000</v>
      </c>
      <c r="G101" s="4">
        <v>925328</v>
      </c>
      <c r="H101" s="4">
        <f>104500+104500+330000+220000+110000</f>
        <v>869000</v>
      </c>
      <c r="I101" s="9">
        <f t="shared" si="59"/>
        <v>1949328</v>
      </c>
      <c r="J101" s="4"/>
      <c r="K101" s="4"/>
      <c r="L101" s="4"/>
      <c r="M101" s="9">
        <f t="shared" si="60"/>
        <v>0</v>
      </c>
      <c r="N101" s="20"/>
      <c r="O101" s="20"/>
      <c r="P101" s="20"/>
      <c r="Q101" s="9">
        <f t="shared" si="61"/>
        <v>0</v>
      </c>
      <c r="R101" s="20">
        <v>195000</v>
      </c>
      <c r="S101" s="25">
        <v>1595650</v>
      </c>
      <c r="T101" s="25">
        <v>1129700</v>
      </c>
      <c r="U101" s="21">
        <f t="shared" si="62"/>
        <v>2920350</v>
      </c>
      <c r="V101" s="25"/>
      <c r="W101" s="24">
        <v>100000</v>
      </c>
      <c r="X101" s="25">
        <f>276000+540000</f>
        <v>816000</v>
      </c>
      <c r="Y101" s="21">
        <f t="shared" si="63"/>
        <v>916000</v>
      </c>
      <c r="Z101" s="4">
        <f t="shared" si="64"/>
        <v>350000</v>
      </c>
      <c r="AA101" s="4">
        <f t="shared" si="65"/>
        <v>2620978</v>
      </c>
      <c r="AB101" s="4">
        <f t="shared" si="66"/>
        <v>2814700</v>
      </c>
      <c r="AC101" s="9">
        <f t="shared" si="67"/>
        <v>5785678</v>
      </c>
    </row>
    <row r="102" spans="1:29" ht="31.5">
      <c r="A102" s="8">
        <v>19</v>
      </c>
      <c r="B102" s="186"/>
      <c r="C102" s="1" t="s">
        <v>206</v>
      </c>
      <c r="D102" s="4" t="s">
        <v>193</v>
      </c>
      <c r="E102" s="4" t="s">
        <v>17</v>
      </c>
      <c r="F102" s="4"/>
      <c r="G102" s="4">
        <v>821267</v>
      </c>
      <c r="H102" s="4">
        <f>99000+99000+297000</f>
        <v>495000</v>
      </c>
      <c r="I102" s="9">
        <f t="shared" si="59"/>
        <v>1316267</v>
      </c>
      <c r="J102" s="76"/>
      <c r="K102" s="76">
        <v>1870000</v>
      </c>
      <c r="L102" s="76">
        <v>1200000</v>
      </c>
      <c r="M102" s="9">
        <f t="shared" si="60"/>
        <v>3070000</v>
      </c>
      <c r="N102" s="20"/>
      <c r="O102" s="26">
        <v>920000</v>
      </c>
      <c r="P102" s="4">
        <v>434000</v>
      </c>
      <c r="Q102" s="9">
        <f t="shared" si="61"/>
        <v>1354000</v>
      </c>
      <c r="R102" s="20"/>
      <c r="S102" s="25">
        <v>1203800</v>
      </c>
      <c r="T102" s="25">
        <v>446200</v>
      </c>
      <c r="U102" s="21">
        <f t="shared" si="62"/>
        <v>1650000</v>
      </c>
      <c r="V102" s="25"/>
      <c r="W102" s="25"/>
      <c r="X102" s="25"/>
      <c r="Y102" s="21">
        <f t="shared" si="63"/>
        <v>0</v>
      </c>
      <c r="Z102" s="4">
        <f t="shared" si="64"/>
        <v>0</v>
      </c>
      <c r="AA102" s="4">
        <f t="shared" si="65"/>
        <v>4815067</v>
      </c>
      <c r="AB102" s="4">
        <f t="shared" si="66"/>
        <v>2575200</v>
      </c>
      <c r="AC102" s="9">
        <f t="shared" si="67"/>
        <v>7390267</v>
      </c>
    </row>
    <row r="103" spans="1:29" ht="31.5">
      <c r="A103" s="8">
        <v>20</v>
      </c>
      <c r="B103" s="186"/>
      <c r="C103" s="1" t="s">
        <v>207</v>
      </c>
      <c r="D103" s="4"/>
      <c r="E103" s="4" t="s">
        <v>17</v>
      </c>
      <c r="F103" s="4"/>
      <c r="G103" s="4"/>
      <c r="H103" s="4"/>
      <c r="I103" s="9">
        <f t="shared" si="59"/>
        <v>0</v>
      </c>
      <c r="J103" s="4"/>
      <c r="K103" s="4"/>
      <c r="L103" s="4"/>
      <c r="M103" s="9">
        <f t="shared" si="60"/>
        <v>0</v>
      </c>
      <c r="N103" s="20"/>
      <c r="O103" s="20"/>
      <c r="P103" s="4"/>
      <c r="Q103" s="9">
        <f t="shared" si="61"/>
        <v>0</v>
      </c>
      <c r="R103" s="20"/>
      <c r="S103" s="25">
        <v>279700</v>
      </c>
      <c r="T103" s="25">
        <v>140400</v>
      </c>
      <c r="U103" s="21">
        <f t="shared" si="62"/>
        <v>420100</v>
      </c>
      <c r="V103" s="25"/>
      <c r="W103" s="25"/>
      <c r="X103" s="25"/>
      <c r="Y103" s="21">
        <f t="shared" si="63"/>
        <v>0</v>
      </c>
      <c r="Z103" s="4">
        <f t="shared" si="64"/>
        <v>0</v>
      </c>
      <c r="AA103" s="4">
        <f t="shared" si="65"/>
        <v>279700</v>
      </c>
      <c r="AB103" s="4">
        <f t="shared" si="66"/>
        <v>140400</v>
      </c>
      <c r="AC103" s="9">
        <f t="shared" si="67"/>
        <v>420100</v>
      </c>
    </row>
    <row r="104" spans="1:29">
      <c r="A104" s="8">
        <v>21</v>
      </c>
      <c r="B104" s="186"/>
      <c r="C104" s="44" t="s">
        <v>208</v>
      </c>
      <c r="D104" s="45" t="s">
        <v>209</v>
      </c>
      <c r="E104" s="4" t="s">
        <v>17</v>
      </c>
      <c r="F104" s="4"/>
      <c r="G104" s="4"/>
      <c r="H104" s="4"/>
      <c r="I104" s="9">
        <f t="shared" si="59"/>
        <v>0</v>
      </c>
      <c r="J104" s="76"/>
      <c r="K104" s="76"/>
      <c r="L104" s="76">
        <v>530000</v>
      </c>
      <c r="M104" s="9">
        <f t="shared" si="60"/>
        <v>530000</v>
      </c>
      <c r="N104" s="20"/>
      <c r="O104" s="20"/>
      <c r="P104" s="4"/>
      <c r="Q104" s="9">
        <f t="shared" si="61"/>
        <v>0</v>
      </c>
      <c r="R104" s="20"/>
      <c r="S104" s="25"/>
      <c r="T104" s="25"/>
      <c r="U104" s="21">
        <f t="shared" si="62"/>
        <v>0</v>
      </c>
      <c r="V104" s="25"/>
      <c r="W104" s="25"/>
      <c r="X104" s="25"/>
      <c r="Y104" s="21">
        <f t="shared" si="63"/>
        <v>0</v>
      </c>
      <c r="Z104" s="4">
        <f t="shared" si="64"/>
        <v>0</v>
      </c>
      <c r="AA104" s="4">
        <f t="shared" si="65"/>
        <v>0</v>
      </c>
      <c r="AB104" s="4">
        <f t="shared" si="66"/>
        <v>530000</v>
      </c>
      <c r="AC104" s="9">
        <f t="shared" si="67"/>
        <v>530000</v>
      </c>
    </row>
    <row r="105" spans="1:29" ht="31.5">
      <c r="A105" s="8">
        <v>22</v>
      </c>
      <c r="B105" s="186"/>
      <c r="C105" s="1" t="s">
        <v>210</v>
      </c>
      <c r="D105" s="4" t="s">
        <v>211</v>
      </c>
      <c r="E105" s="4" t="s">
        <v>17</v>
      </c>
      <c r="F105" s="4">
        <v>155000</v>
      </c>
      <c r="G105" s="4">
        <v>501565</v>
      </c>
      <c r="H105" s="4">
        <f>544500+110000</f>
        <v>654500</v>
      </c>
      <c r="I105" s="9">
        <f t="shared" si="59"/>
        <v>1311065</v>
      </c>
      <c r="J105" s="76"/>
      <c r="K105" s="76">
        <v>290000</v>
      </c>
      <c r="L105" s="76">
        <v>870000</v>
      </c>
      <c r="M105" s="9">
        <f t="shared" si="60"/>
        <v>1160000</v>
      </c>
      <c r="N105" s="20"/>
      <c r="O105" s="20"/>
      <c r="P105" s="4"/>
      <c r="Q105" s="9">
        <f t="shared" si="61"/>
        <v>0</v>
      </c>
      <c r="R105" s="20"/>
      <c r="S105" s="25">
        <v>1475506</v>
      </c>
      <c r="T105" s="25">
        <v>557750</v>
      </c>
      <c r="U105" s="21">
        <f t="shared" si="62"/>
        <v>2033256</v>
      </c>
      <c r="V105" s="25"/>
      <c r="W105" s="25">
        <v>100000</v>
      </c>
      <c r="X105" s="25">
        <v>276000</v>
      </c>
      <c r="Y105" s="21">
        <f t="shared" si="63"/>
        <v>376000</v>
      </c>
      <c r="Z105" s="4">
        <f t="shared" si="64"/>
        <v>155000</v>
      </c>
      <c r="AA105" s="4">
        <f t="shared" si="65"/>
        <v>2367071</v>
      </c>
      <c r="AB105" s="4">
        <f t="shared" si="66"/>
        <v>2358250</v>
      </c>
      <c r="AC105" s="9">
        <f t="shared" si="67"/>
        <v>4880321</v>
      </c>
    </row>
    <row r="106" spans="1:29" ht="31.5">
      <c r="A106" s="8">
        <v>23</v>
      </c>
      <c r="B106" s="186"/>
      <c r="C106" s="1" t="s">
        <v>212</v>
      </c>
      <c r="D106" s="4" t="s">
        <v>213</v>
      </c>
      <c r="E106" s="4" t="s">
        <v>17</v>
      </c>
      <c r="F106" s="4"/>
      <c r="G106" s="4"/>
      <c r="H106" s="4">
        <v>155000</v>
      </c>
      <c r="I106" s="9">
        <f t="shared" si="59"/>
        <v>155000</v>
      </c>
      <c r="J106" s="76"/>
      <c r="K106" s="76">
        <v>890000</v>
      </c>
      <c r="L106" s="76">
        <v>580000</v>
      </c>
      <c r="M106" s="9">
        <f t="shared" si="60"/>
        <v>1470000</v>
      </c>
      <c r="N106" s="20"/>
      <c r="O106" s="20"/>
      <c r="P106" s="4"/>
      <c r="Q106" s="9">
        <f t="shared" si="61"/>
        <v>0</v>
      </c>
      <c r="R106" s="20"/>
      <c r="S106" s="25">
        <v>413250</v>
      </c>
      <c r="T106" s="25">
        <v>548050</v>
      </c>
      <c r="U106" s="21">
        <f t="shared" si="62"/>
        <v>961300</v>
      </c>
      <c r="V106" s="25"/>
      <c r="W106" s="25"/>
      <c r="X106" s="25"/>
      <c r="Y106" s="21">
        <f t="shared" si="63"/>
        <v>0</v>
      </c>
      <c r="Z106" s="4">
        <f t="shared" si="64"/>
        <v>0</v>
      </c>
      <c r="AA106" s="4">
        <f t="shared" si="65"/>
        <v>1303250</v>
      </c>
      <c r="AB106" s="4">
        <f t="shared" si="66"/>
        <v>1283050</v>
      </c>
      <c r="AC106" s="9">
        <f t="shared" si="67"/>
        <v>2586300</v>
      </c>
    </row>
    <row r="107" spans="1:29" ht="31.5">
      <c r="A107" s="8">
        <v>24</v>
      </c>
      <c r="B107" s="186"/>
      <c r="C107" s="1" t="s">
        <v>214</v>
      </c>
      <c r="D107" s="4" t="s">
        <v>187</v>
      </c>
      <c r="E107" s="4" t="s">
        <v>17</v>
      </c>
      <c r="F107" s="4"/>
      <c r="G107" s="4">
        <v>155000</v>
      </c>
      <c r="H107" s="4">
        <f>52983+660000</f>
        <v>712983</v>
      </c>
      <c r="I107" s="9">
        <f t="shared" si="59"/>
        <v>867983</v>
      </c>
      <c r="J107" s="76"/>
      <c r="K107" s="76">
        <v>1420000</v>
      </c>
      <c r="L107" s="76">
        <v>200000</v>
      </c>
      <c r="M107" s="9">
        <f t="shared" si="60"/>
        <v>1620000</v>
      </c>
      <c r="N107" s="20"/>
      <c r="O107" s="26">
        <v>1228000</v>
      </c>
      <c r="P107" s="4">
        <v>182000</v>
      </c>
      <c r="Q107" s="9">
        <f t="shared" si="61"/>
        <v>1410000</v>
      </c>
      <c r="R107" s="20"/>
      <c r="S107" s="25">
        <v>592700</v>
      </c>
      <c r="T107" s="25">
        <v>530500</v>
      </c>
      <c r="U107" s="21">
        <f t="shared" si="62"/>
        <v>1123200</v>
      </c>
      <c r="V107" s="25"/>
      <c r="W107" s="25">
        <v>100000</v>
      </c>
      <c r="X107" s="25">
        <v>276000</v>
      </c>
      <c r="Y107" s="21">
        <f t="shared" si="63"/>
        <v>376000</v>
      </c>
      <c r="Z107" s="4">
        <f t="shared" si="64"/>
        <v>0</v>
      </c>
      <c r="AA107" s="4">
        <f t="shared" si="65"/>
        <v>3495700</v>
      </c>
      <c r="AB107" s="4">
        <f t="shared" si="66"/>
        <v>1901483</v>
      </c>
      <c r="AC107" s="9">
        <f t="shared" si="67"/>
        <v>5397183</v>
      </c>
    </row>
    <row r="108" spans="1:29">
      <c r="A108" s="8">
        <v>25</v>
      </c>
      <c r="B108" s="186"/>
      <c r="C108" s="1" t="s">
        <v>215</v>
      </c>
      <c r="D108" s="4" t="s">
        <v>209</v>
      </c>
      <c r="E108" s="4" t="s">
        <v>17</v>
      </c>
      <c r="F108" s="4"/>
      <c r="G108" s="4"/>
      <c r="H108" s="4"/>
      <c r="I108" s="9">
        <f t="shared" si="59"/>
        <v>0</v>
      </c>
      <c r="J108" s="4"/>
      <c r="K108" s="4"/>
      <c r="L108" s="4"/>
      <c r="M108" s="9">
        <f t="shared" si="60"/>
        <v>0</v>
      </c>
      <c r="N108" s="20"/>
      <c r="O108" s="26">
        <v>864000</v>
      </c>
      <c r="P108" s="4">
        <v>1078000</v>
      </c>
      <c r="Q108" s="9">
        <f t="shared" si="61"/>
        <v>1942000</v>
      </c>
      <c r="R108" s="20"/>
      <c r="S108" s="25"/>
      <c r="T108" s="25">
        <v>453700</v>
      </c>
      <c r="U108" s="21">
        <f t="shared" si="62"/>
        <v>453700</v>
      </c>
      <c r="V108" s="25"/>
      <c r="W108" s="25"/>
      <c r="X108" s="25"/>
      <c r="Y108" s="21">
        <f t="shared" si="63"/>
        <v>0</v>
      </c>
      <c r="Z108" s="4">
        <f t="shared" si="64"/>
        <v>0</v>
      </c>
      <c r="AA108" s="4">
        <f t="shared" si="65"/>
        <v>864000</v>
      </c>
      <c r="AB108" s="4">
        <f t="shared" si="66"/>
        <v>1531700</v>
      </c>
      <c r="AC108" s="9">
        <f t="shared" si="67"/>
        <v>2395700</v>
      </c>
    </row>
    <row r="109" spans="1:29" ht="31.5">
      <c r="A109" s="8">
        <v>26</v>
      </c>
      <c r="B109" s="186"/>
      <c r="C109" s="1" t="s">
        <v>216</v>
      </c>
      <c r="D109" s="4" t="s">
        <v>187</v>
      </c>
      <c r="E109" s="4" t="s">
        <v>17</v>
      </c>
      <c r="F109" s="4"/>
      <c r="G109" s="4"/>
      <c r="H109" s="4">
        <v>0</v>
      </c>
      <c r="I109" s="9">
        <f t="shared" si="59"/>
        <v>0</v>
      </c>
      <c r="J109" s="4"/>
      <c r="K109" s="4"/>
      <c r="L109" s="4"/>
      <c r="M109" s="9">
        <f t="shared" si="60"/>
        <v>0</v>
      </c>
      <c r="N109" s="20"/>
      <c r="O109" s="20"/>
      <c r="P109" s="20"/>
      <c r="Q109" s="9">
        <f t="shared" si="61"/>
        <v>0</v>
      </c>
      <c r="R109" s="20"/>
      <c r="S109" s="20"/>
      <c r="T109" s="20"/>
      <c r="U109" s="21">
        <f t="shared" si="62"/>
        <v>0</v>
      </c>
      <c r="V109" s="25"/>
      <c r="W109" s="25"/>
      <c r="X109" s="25"/>
      <c r="Y109" s="21">
        <f t="shared" si="63"/>
        <v>0</v>
      </c>
      <c r="Z109" s="4">
        <f t="shared" si="64"/>
        <v>0</v>
      </c>
      <c r="AA109" s="4">
        <f t="shared" si="65"/>
        <v>0</v>
      </c>
      <c r="AB109" s="4">
        <f t="shared" si="66"/>
        <v>0</v>
      </c>
      <c r="AC109" s="9">
        <f t="shared" si="67"/>
        <v>0</v>
      </c>
    </row>
    <row r="110" spans="1:29" ht="47.25">
      <c r="A110" s="8">
        <v>27</v>
      </c>
      <c r="B110" s="186"/>
      <c r="C110" s="1" t="s">
        <v>217</v>
      </c>
      <c r="D110" s="4" t="s">
        <v>211</v>
      </c>
      <c r="E110" s="4" t="s">
        <v>17</v>
      </c>
      <c r="F110" s="4"/>
      <c r="G110" s="4"/>
      <c r="H110" s="4">
        <f>155000+52903</f>
        <v>207903</v>
      </c>
      <c r="I110" s="9">
        <f t="shared" si="59"/>
        <v>207903</v>
      </c>
      <c r="J110" s="4"/>
      <c r="K110" s="4"/>
      <c r="L110" s="4"/>
      <c r="M110" s="9">
        <f t="shared" si="60"/>
        <v>0</v>
      </c>
      <c r="N110" s="20"/>
      <c r="O110" s="20"/>
      <c r="P110" s="20"/>
      <c r="Q110" s="9">
        <f t="shared" si="61"/>
        <v>0</v>
      </c>
      <c r="R110" s="20"/>
      <c r="S110" s="20"/>
      <c r="T110" s="20"/>
      <c r="U110" s="21">
        <f t="shared" si="62"/>
        <v>0</v>
      </c>
      <c r="V110" s="25"/>
      <c r="W110" s="25"/>
      <c r="X110" s="25"/>
      <c r="Y110" s="21">
        <f t="shared" si="63"/>
        <v>0</v>
      </c>
      <c r="Z110" s="4">
        <f t="shared" si="64"/>
        <v>0</v>
      </c>
      <c r="AA110" s="4">
        <f t="shared" si="65"/>
        <v>0</v>
      </c>
      <c r="AB110" s="4">
        <f t="shared" si="66"/>
        <v>207903</v>
      </c>
      <c r="AC110" s="9">
        <f t="shared" si="67"/>
        <v>207903</v>
      </c>
    </row>
    <row r="111" spans="1:29">
      <c r="A111" s="8">
        <v>28</v>
      </c>
      <c r="B111" s="186"/>
      <c r="C111" s="1" t="s">
        <v>218</v>
      </c>
      <c r="D111" s="4"/>
      <c r="E111" s="4" t="s">
        <v>17</v>
      </c>
      <c r="F111" s="4"/>
      <c r="G111" s="4"/>
      <c r="H111" s="4"/>
      <c r="I111" s="9">
        <f t="shared" si="59"/>
        <v>0</v>
      </c>
      <c r="J111" s="4"/>
      <c r="K111" s="4"/>
      <c r="L111" s="4"/>
      <c r="M111" s="9">
        <f t="shared" si="60"/>
        <v>0</v>
      </c>
      <c r="N111" s="20"/>
      <c r="O111" s="20"/>
      <c r="P111" s="20"/>
      <c r="Q111" s="9">
        <f t="shared" si="61"/>
        <v>0</v>
      </c>
      <c r="R111" s="20"/>
      <c r="S111" s="25">
        <v>340500</v>
      </c>
      <c r="T111" s="25">
        <v>455900</v>
      </c>
      <c r="U111" s="21">
        <f t="shared" si="62"/>
        <v>796400</v>
      </c>
      <c r="V111" s="25"/>
      <c r="W111" s="25"/>
      <c r="X111" s="25"/>
      <c r="Y111" s="21">
        <f t="shared" si="63"/>
        <v>0</v>
      </c>
      <c r="Z111" s="4">
        <f t="shared" si="64"/>
        <v>0</v>
      </c>
      <c r="AA111" s="4">
        <f t="shared" si="65"/>
        <v>340500</v>
      </c>
      <c r="AB111" s="4">
        <f t="shared" si="66"/>
        <v>455900</v>
      </c>
      <c r="AC111" s="9">
        <f t="shared" si="67"/>
        <v>796400</v>
      </c>
    </row>
    <row r="112" spans="1:29">
      <c r="A112" s="8">
        <v>29</v>
      </c>
      <c r="B112" s="186"/>
      <c r="C112" s="1" t="s">
        <v>219</v>
      </c>
      <c r="D112" s="4" t="s">
        <v>185</v>
      </c>
      <c r="E112" s="4" t="s">
        <v>17</v>
      </c>
      <c r="F112" s="4"/>
      <c r="G112" s="4">
        <v>155000</v>
      </c>
      <c r="H112" s="4">
        <v>108928</v>
      </c>
      <c r="I112" s="9">
        <f t="shared" si="59"/>
        <v>263928</v>
      </c>
      <c r="J112" s="76"/>
      <c r="K112" s="76">
        <v>450000</v>
      </c>
      <c r="L112" s="76">
        <v>720000</v>
      </c>
      <c r="M112" s="9">
        <f t="shared" si="60"/>
        <v>1170000</v>
      </c>
      <c r="N112" s="20"/>
      <c r="O112" s="20"/>
      <c r="P112" s="20"/>
      <c r="Q112" s="9">
        <f t="shared" si="61"/>
        <v>0</v>
      </c>
      <c r="R112" s="20"/>
      <c r="S112" s="25">
        <v>519950</v>
      </c>
      <c r="T112" s="25">
        <v>349200</v>
      </c>
      <c r="U112" s="21">
        <f t="shared" si="62"/>
        <v>869150</v>
      </c>
      <c r="V112" s="25"/>
      <c r="W112" s="25"/>
      <c r="X112" s="25"/>
      <c r="Y112" s="21">
        <f t="shared" si="63"/>
        <v>0</v>
      </c>
      <c r="Z112" s="4">
        <f t="shared" si="64"/>
        <v>0</v>
      </c>
      <c r="AA112" s="4">
        <f t="shared" si="65"/>
        <v>1124950</v>
      </c>
      <c r="AB112" s="4">
        <f t="shared" si="66"/>
        <v>1178128</v>
      </c>
      <c r="AC112" s="9">
        <f t="shared" si="67"/>
        <v>2303078</v>
      </c>
    </row>
    <row r="113" spans="1:29">
      <c r="A113" s="8">
        <v>30</v>
      </c>
      <c r="B113" s="186"/>
      <c r="C113" s="1" t="s">
        <v>220</v>
      </c>
      <c r="D113" s="4" t="s">
        <v>187</v>
      </c>
      <c r="E113" s="4" t="s">
        <v>17</v>
      </c>
      <c r="F113" s="4"/>
      <c r="G113" s="4"/>
      <c r="H113" s="4">
        <v>155000</v>
      </c>
      <c r="I113" s="9">
        <f t="shared" si="59"/>
        <v>155000</v>
      </c>
      <c r="J113" s="4"/>
      <c r="K113" s="4"/>
      <c r="L113" s="4"/>
      <c r="M113" s="9">
        <f t="shared" si="60"/>
        <v>0</v>
      </c>
      <c r="N113" s="20"/>
      <c r="O113" s="20"/>
      <c r="P113" s="20"/>
      <c r="Q113" s="9">
        <f t="shared" si="61"/>
        <v>0</v>
      </c>
      <c r="R113" s="20"/>
      <c r="S113" s="20">
        <v>195000</v>
      </c>
      <c r="T113" s="25">
        <v>446200</v>
      </c>
      <c r="U113" s="21">
        <f t="shared" si="62"/>
        <v>641200</v>
      </c>
      <c r="V113" s="25"/>
      <c r="W113" s="25"/>
      <c r="X113" s="25"/>
      <c r="Y113" s="21">
        <f t="shared" si="63"/>
        <v>0</v>
      </c>
      <c r="Z113" s="4">
        <f t="shared" si="64"/>
        <v>0</v>
      </c>
      <c r="AA113" s="4">
        <f t="shared" si="65"/>
        <v>195000</v>
      </c>
      <c r="AB113" s="4">
        <f t="shared" si="66"/>
        <v>601200</v>
      </c>
      <c r="AC113" s="9">
        <f t="shared" si="67"/>
        <v>796200</v>
      </c>
    </row>
    <row r="114" spans="1:29">
      <c r="A114" s="8">
        <v>31</v>
      </c>
      <c r="B114" s="186"/>
      <c r="C114" s="1" t="s">
        <v>221</v>
      </c>
      <c r="D114" s="4" t="s">
        <v>222</v>
      </c>
      <c r="E114" s="4" t="s">
        <v>17</v>
      </c>
      <c r="F114" s="4"/>
      <c r="G114" s="4"/>
      <c r="H114" s="4">
        <v>155000</v>
      </c>
      <c r="I114" s="9">
        <f t="shared" si="59"/>
        <v>155000</v>
      </c>
      <c r="J114" s="4"/>
      <c r="K114" s="4"/>
      <c r="L114" s="4"/>
      <c r="M114" s="9">
        <f t="shared" si="60"/>
        <v>0</v>
      </c>
      <c r="N114" s="20"/>
      <c r="O114" s="20"/>
      <c r="P114" s="20"/>
      <c r="Q114" s="9">
        <f t="shared" si="61"/>
        <v>0</v>
      </c>
      <c r="R114" s="20"/>
      <c r="S114" s="20"/>
      <c r="T114" s="25">
        <v>195000</v>
      </c>
      <c r="U114" s="21">
        <f t="shared" si="62"/>
        <v>195000</v>
      </c>
      <c r="V114" s="25"/>
      <c r="W114" s="25"/>
      <c r="X114" s="25"/>
      <c r="Y114" s="21">
        <f t="shared" si="63"/>
        <v>0</v>
      </c>
      <c r="Z114" s="4">
        <f t="shared" si="64"/>
        <v>0</v>
      </c>
      <c r="AA114" s="4">
        <f t="shared" si="65"/>
        <v>0</v>
      </c>
      <c r="AB114" s="4">
        <f t="shared" si="66"/>
        <v>350000</v>
      </c>
      <c r="AC114" s="9">
        <f t="shared" si="67"/>
        <v>350000</v>
      </c>
    </row>
    <row r="115" spans="1:29" ht="31.5">
      <c r="A115" s="8">
        <v>32</v>
      </c>
      <c r="B115" s="187"/>
      <c r="C115" s="1" t="s">
        <v>223</v>
      </c>
      <c r="D115" s="4" t="s">
        <v>224</v>
      </c>
      <c r="E115" s="4" t="s">
        <v>17</v>
      </c>
      <c r="F115" s="4"/>
      <c r="G115" s="4"/>
      <c r="H115" s="4">
        <v>155000</v>
      </c>
      <c r="I115" s="9">
        <f t="shared" si="59"/>
        <v>155000</v>
      </c>
      <c r="J115" s="4"/>
      <c r="K115" s="4"/>
      <c r="L115" s="4"/>
      <c r="M115" s="9">
        <f t="shared" si="60"/>
        <v>0</v>
      </c>
      <c r="N115" s="20"/>
      <c r="O115" s="20"/>
      <c r="P115" s="4">
        <v>290000</v>
      </c>
      <c r="Q115" s="9">
        <f t="shared" si="61"/>
        <v>290000</v>
      </c>
      <c r="R115" s="20"/>
      <c r="S115" s="20"/>
      <c r="T115" s="25">
        <v>195000</v>
      </c>
      <c r="U115" s="21">
        <f t="shared" si="62"/>
        <v>195000</v>
      </c>
      <c r="V115" s="25"/>
      <c r="W115" s="25"/>
      <c r="X115" s="25"/>
      <c r="Y115" s="21">
        <f t="shared" si="63"/>
        <v>0</v>
      </c>
      <c r="Z115" s="4">
        <f t="shared" si="64"/>
        <v>0</v>
      </c>
      <c r="AA115" s="4">
        <f t="shared" si="65"/>
        <v>0</v>
      </c>
      <c r="AB115" s="4">
        <f t="shared" si="66"/>
        <v>640000</v>
      </c>
      <c r="AC115" s="9">
        <f t="shared" si="67"/>
        <v>640000</v>
      </c>
    </row>
    <row r="116" spans="1:29" s="38" customFormat="1">
      <c r="A116" s="34"/>
      <c r="B116" s="34"/>
      <c r="C116" s="35" t="s">
        <v>225</v>
      </c>
      <c r="D116" s="37"/>
      <c r="E116" s="37"/>
      <c r="F116" s="37">
        <f>SUM(F84:F115)</f>
        <v>775000</v>
      </c>
      <c r="G116" s="37">
        <f t="shared" ref="G116:AC116" si="68">SUM(G84:G115)</f>
        <v>7149160</v>
      </c>
      <c r="H116" s="37">
        <f t="shared" si="68"/>
        <v>8450814</v>
      </c>
      <c r="I116" s="37">
        <f t="shared" si="68"/>
        <v>16374974</v>
      </c>
      <c r="J116" s="37">
        <f t="shared" si="68"/>
        <v>290000</v>
      </c>
      <c r="K116" s="37">
        <f>SUM(K84:K115)</f>
        <v>12120000</v>
      </c>
      <c r="L116" s="37">
        <f t="shared" si="68"/>
        <v>14070000</v>
      </c>
      <c r="M116" s="37">
        <f t="shared" si="68"/>
        <v>26480000</v>
      </c>
      <c r="N116" s="39">
        <f t="shared" si="68"/>
        <v>0</v>
      </c>
      <c r="O116" s="39">
        <f t="shared" si="68"/>
        <v>3302000</v>
      </c>
      <c r="P116" s="39">
        <f t="shared" si="68"/>
        <v>2864000</v>
      </c>
      <c r="Q116" s="39">
        <f t="shared" si="68"/>
        <v>6166000</v>
      </c>
      <c r="R116" s="39">
        <f t="shared" si="68"/>
        <v>585000</v>
      </c>
      <c r="S116" s="39">
        <f t="shared" si="68"/>
        <v>14900906</v>
      </c>
      <c r="T116" s="39">
        <f t="shared" si="68"/>
        <v>12709450</v>
      </c>
      <c r="U116" s="39">
        <f t="shared" si="68"/>
        <v>28195356</v>
      </c>
      <c r="V116" s="39">
        <f t="shared" si="68"/>
        <v>0</v>
      </c>
      <c r="W116" s="39">
        <f t="shared" si="68"/>
        <v>848400</v>
      </c>
      <c r="X116" s="39">
        <f t="shared" si="68"/>
        <v>2010800</v>
      </c>
      <c r="Y116" s="39">
        <f t="shared" si="68"/>
        <v>2859200</v>
      </c>
      <c r="Z116" s="39">
        <f t="shared" si="68"/>
        <v>1650000</v>
      </c>
      <c r="AA116" s="39">
        <f t="shared" si="68"/>
        <v>38320466</v>
      </c>
      <c r="AB116" s="39">
        <f t="shared" si="68"/>
        <v>40105064</v>
      </c>
      <c r="AC116" s="39">
        <f t="shared" si="68"/>
        <v>80075530</v>
      </c>
    </row>
    <row r="117" spans="1:29" ht="31.5">
      <c r="A117" s="8">
        <v>1</v>
      </c>
      <c r="B117" s="185" t="s">
        <v>226</v>
      </c>
      <c r="C117" s="1" t="s">
        <v>227</v>
      </c>
      <c r="D117" s="5" t="s">
        <v>228</v>
      </c>
      <c r="E117" s="4" t="s">
        <v>226</v>
      </c>
      <c r="F117" s="4"/>
      <c r="G117" s="4"/>
      <c r="H117" s="5"/>
      <c r="I117" s="9">
        <f>SUM(F117:H117)</f>
        <v>0</v>
      </c>
      <c r="J117" s="4"/>
      <c r="K117" s="4"/>
      <c r="L117" s="4"/>
      <c r="M117" s="9">
        <f>SUM(J117:L117)</f>
        <v>0</v>
      </c>
      <c r="N117" s="20">
        <v>290000</v>
      </c>
      <c r="O117" s="20"/>
      <c r="P117" s="4">
        <v>273000</v>
      </c>
      <c r="Q117" s="9">
        <f>SUM(N117:P117)</f>
        <v>563000</v>
      </c>
      <c r="R117" s="20"/>
      <c r="S117" s="20"/>
      <c r="T117" s="25"/>
      <c r="U117" s="21">
        <f>SUM(R117:T117)</f>
        <v>0</v>
      </c>
      <c r="V117" s="25"/>
      <c r="W117" s="25"/>
      <c r="X117" s="25"/>
      <c r="Y117" s="21">
        <f>SUM(V117:X117)</f>
        <v>0</v>
      </c>
      <c r="Z117" s="4">
        <f t="shared" ref="Z117:AB120" si="69">F117+J117+N117+R117+V117</f>
        <v>290000</v>
      </c>
      <c r="AA117" s="4">
        <f t="shared" si="69"/>
        <v>0</v>
      </c>
      <c r="AB117" s="4">
        <f t="shared" si="69"/>
        <v>273000</v>
      </c>
      <c r="AC117" s="9">
        <f>SUM(Z117:AB117)</f>
        <v>563000</v>
      </c>
    </row>
    <row r="118" spans="1:29" ht="47.25">
      <c r="A118" s="8">
        <v>2</v>
      </c>
      <c r="B118" s="186"/>
      <c r="C118" s="1" t="s">
        <v>229</v>
      </c>
      <c r="D118" s="4" t="s">
        <v>230</v>
      </c>
      <c r="E118" s="4" t="s">
        <v>226</v>
      </c>
      <c r="F118" s="4"/>
      <c r="G118" s="4"/>
      <c r="H118" s="5"/>
      <c r="I118" s="9">
        <f>SUM(F118:H118)</f>
        <v>0</v>
      </c>
      <c r="J118" s="76"/>
      <c r="K118" s="76">
        <v>310000</v>
      </c>
      <c r="L118" s="76">
        <v>480000</v>
      </c>
      <c r="M118" s="9">
        <f>SUM(J118:L118)</f>
        <v>790000</v>
      </c>
      <c r="N118" s="20"/>
      <c r="O118" s="20"/>
      <c r="P118" s="4"/>
      <c r="Q118" s="9">
        <f>SUM(N118:P118)</f>
        <v>0</v>
      </c>
      <c r="R118" s="20"/>
      <c r="S118" s="20"/>
      <c r="T118" s="25"/>
      <c r="U118" s="21">
        <f>SUM(R118:T118)</f>
        <v>0</v>
      </c>
      <c r="V118" s="25"/>
      <c r="W118" s="25"/>
      <c r="X118" s="25"/>
      <c r="Y118" s="21">
        <f>SUM(V118:X118)</f>
        <v>0</v>
      </c>
      <c r="Z118" s="4">
        <f t="shared" si="69"/>
        <v>0</v>
      </c>
      <c r="AA118" s="4">
        <f t="shared" si="69"/>
        <v>310000</v>
      </c>
      <c r="AB118" s="4">
        <f t="shared" si="69"/>
        <v>480000</v>
      </c>
      <c r="AC118" s="9">
        <f>SUM(Z118:AB118)</f>
        <v>790000</v>
      </c>
    </row>
    <row r="119" spans="1:29" ht="31.5">
      <c r="A119" s="8">
        <v>3</v>
      </c>
      <c r="B119" s="186"/>
      <c r="C119" s="1" t="s">
        <v>231</v>
      </c>
      <c r="D119" s="4"/>
      <c r="E119" s="4" t="s">
        <v>226</v>
      </c>
      <c r="F119" s="4"/>
      <c r="G119" s="4"/>
      <c r="H119" s="5"/>
      <c r="I119" s="9">
        <f>SUM(F119:H119)</f>
        <v>0</v>
      </c>
      <c r="J119" s="4"/>
      <c r="K119" s="4"/>
      <c r="L119" s="4"/>
      <c r="M119" s="9">
        <f>SUM(J119:L119)</f>
        <v>0</v>
      </c>
      <c r="N119" s="20"/>
      <c r="O119" s="20"/>
      <c r="P119" s="4"/>
      <c r="Q119" s="9">
        <f>SUM(N119:P119)</f>
        <v>0</v>
      </c>
      <c r="R119" s="20"/>
      <c r="S119" s="25">
        <v>330800</v>
      </c>
      <c r="T119" s="25">
        <f>106700+198000</f>
        <v>304700</v>
      </c>
      <c r="U119" s="21">
        <f>SUM(R119:T119)</f>
        <v>635500</v>
      </c>
      <c r="V119" s="25"/>
      <c r="W119" s="25"/>
      <c r="X119" s="25"/>
      <c r="Y119" s="21">
        <f>SUM(V119:X119)</f>
        <v>0</v>
      </c>
      <c r="Z119" s="4">
        <f t="shared" si="69"/>
        <v>0</v>
      </c>
      <c r="AA119" s="4">
        <f t="shared" si="69"/>
        <v>330800</v>
      </c>
      <c r="AB119" s="4">
        <f t="shared" si="69"/>
        <v>304700</v>
      </c>
      <c r="AC119" s="9">
        <f>SUM(Z119:AB119)</f>
        <v>635500</v>
      </c>
    </row>
    <row r="120" spans="1:29" ht="31.5">
      <c r="A120" s="8">
        <v>4</v>
      </c>
      <c r="B120" s="187"/>
      <c r="C120" s="1" t="s">
        <v>232</v>
      </c>
      <c r="D120" s="4" t="s">
        <v>233</v>
      </c>
      <c r="E120" s="4" t="s">
        <v>226</v>
      </c>
      <c r="F120" s="4">
        <v>155000</v>
      </c>
      <c r="G120" s="4"/>
      <c r="H120" s="5"/>
      <c r="I120" s="9">
        <f>SUM(F120:H120)</f>
        <v>155000</v>
      </c>
      <c r="J120" s="4"/>
      <c r="K120" s="4"/>
      <c r="L120" s="4"/>
      <c r="M120" s="9">
        <f>SUM(J120:L120)</f>
        <v>0</v>
      </c>
      <c r="N120" s="20"/>
      <c r="O120" s="20"/>
      <c r="P120" s="20"/>
      <c r="Q120" s="9">
        <f>SUM(N120:P120)</f>
        <v>0</v>
      </c>
      <c r="R120" s="20">
        <v>195000</v>
      </c>
      <c r="S120" s="20"/>
      <c r="T120" s="20"/>
      <c r="U120" s="21">
        <f>SUM(R120:T120)</f>
        <v>195000</v>
      </c>
      <c r="V120" s="25"/>
      <c r="W120" s="25"/>
      <c r="X120" s="25"/>
      <c r="Y120" s="21">
        <f>SUM(V120:X120)</f>
        <v>0</v>
      </c>
      <c r="Z120" s="4">
        <f t="shared" si="69"/>
        <v>350000</v>
      </c>
      <c r="AA120" s="4">
        <f t="shared" si="69"/>
        <v>0</v>
      </c>
      <c r="AB120" s="4">
        <f t="shared" si="69"/>
        <v>0</v>
      </c>
      <c r="AC120" s="9">
        <f>SUM(Z120:AB120)</f>
        <v>350000</v>
      </c>
    </row>
    <row r="121" spans="1:29" s="38" customFormat="1">
      <c r="A121" s="34"/>
      <c r="B121" s="34"/>
      <c r="C121" s="35" t="s">
        <v>234</v>
      </c>
      <c r="D121" s="37"/>
      <c r="E121" s="37"/>
      <c r="F121" s="37">
        <f>SUM(F117:F120)</f>
        <v>155000</v>
      </c>
      <c r="G121" s="37">
        <f t="shared" ref="G121:AC121" si="70">SUM(G117:G120)</f>
        <v>0</v>
      </c>
      <c r="H121" s="37">
        <f t="shared" si="70"/>
        <v>0</v>
      </c>
      <c r="I121" s="37">
        <f t="shared" si="70"/>
        <v>155000</v>
      </c>
      <c r="J121" s="37">
        <f t="shared" si="70"/>
        <v>0</v>
      </c>
      <c r="K121" s="37">
        <f t="shared" si="70"/>
        <v>310000</v>
      </c>
      <c r="L121" s="37">
        <f t="shared" si="70"/>
        <v>480000</v>
      </c>
      <c r="M121" s="37">
        <f t="shared" si="70"/>
        <v>790000</v>
      </c>
      <c r="N121" s="39">
        <f t="shared" si="70"/>
        <v>290000</v>
      </c>
      <c r="O121" s="39">
        <f t="shared" si="70"/>
        <v>0</v>
      </c>
      <c r="P121" s="39">
        <f t="shared" si="70"/>
        <v>273000</v>
      </c>
      <c r="Q121" s="39">
        <f t="shared" si="70"/>
        <v>563000</v>
      </c>
      <c r="R121" s="39">
        <f t="shared" si="70"/>
        <v>195000</v>
      </c>
      <c r="S121" s="39">
        <f t="shared" si="70"/>
        <v>330800</v>
      </c>
      <c r="T121" s="39">
        <f t="shared" si="70"/>
        <v>304700</v>
      </c>
      <c r="U121" s="39">
        <f t="shared" si="70"/>
        <v>830500</v>
      </c>
      <c r="V121" s="39">
        <f t="shared" si="70"/>
        <v>0</v>
      </c>
      <c r="W121" s="39">
        <f t="shared" si="70"/>
        <v>0</v>
      </c>
      <c r="X121" s="39">
        <f t="shared" si="70"/>
        <v>0</v>
      </c>
      <c r="Y121" s="39">
        <f t="shared" si="70"/>
        <v>0</v>
      </c>
      <c r="Z121" s="39">
        <f t="shared" si="70"/>
        <v>640000</v>
      </c>
      <c r="AA121" s="39">
        <f t="shared" si="70"/>
        <v>640800</v>
      </c>
      <c r="AB121" s="39">
        <f t="shared" si="70"/>
        <v>1057700</v>
      </c>
      <c r="AC121" s="39">
        <f t="shared" si="70"/>
        <v>2338500</v>
      </c>
    </row>
    <row r="122" spans="1:29" ht="31.5">
      <c r="A122" s="8">
        <v>1</v>
      </c>
      <c r="B122" s="185" t="s">
        <v>235</v>
      </c>
      <c r="C122" s="1" t="s">
        <v>236</v>
      </c>
      <c r="D122" s="4" t="s">
        <v>237</v>
      </c>
      <c r="E122" s="4" t="s">
        <v>235</v>
      </c>
      <c r="F122" s="4"/>
      <c r="G122" s="4">
        <v>155000</v>
      </c>
      <c r="H122" s="4"/>
      <c r="I122" s="9">
        <f>SUM(F122:H122)</f>
        <v>155000</v>
      </c>
      <c r="J122" s="76"/>
      <c r="K122" s="76">
        <v>290000</v>
      </c>
      <c r="L122" s="76"/>
      <c r="M122" s="9">
        <f>SUM(J122:L122)</f>
        <v>290000</v>
      </c>
      <c r="N122" s="20"/>
      <c r="O122" s="20">
        <v>290000</v>
      </c>
      <c r="P122" s="4">
        <v>175000</v>
      </c>
      <c r="Q122" s="9">
        <f>SUM(N122:P122)</f>
        <v>465000</v>
      </c>
      <c r="R122" s="20"/>
      <c r="S122" s="20"/>
      <c r="T122" s="20"/>
      <c r="U122" s="21">
        <f>SUM(R122:T122)</f>
        <v>0</v>
      </c>
      <c r="V122" s="25"/>
      <c r="W122" s="25"/>
      <c r="X122" s="25"/>
      <c r="Y122" s="21">
        <f>SUM(V122:X122)</f>
        <v>0</v>
      </c>
      <c r="Z122" s="4">
        <f t="shared" ref="Z122:AB123" si="71">F122+J122+N122+R122+V122</f>
        <v>0</v>
      </c>
      <c r="AA122" s="4">
        <f t="shared" si="71"/>
        <v>735000</v>
      </c>
      <c r="AB122" s="4">
        <f t="shared" si="71"/>
        <v>175000</v>
      </c>
      <c r="AC122" s="9">
        <f>SUM(Z122:AB122)</f>
        <v>910000</v>
      </c>
    </row>
    <row r="123" spans="1:29" ht="31.5">
      <c r="A123" s="8">
        <v>2</v>
      </c>
      <c r="B123" s="187"/>
      <c r="C123" s="1" t="s">
        <v>238</v>
      </c>
      <c r="D123" s="4" t="s">
        <v>239</v>
      </c>
      <c r="E123" s="4" t="s">
        <v>235</v>
      </c>
      <c r="F123" s="4"/>
      <c r="G123" s="4"/>
      <c r="H123" s="4">
        <f>155000+31667+20000</f>
        <v>206667</v>
      </c>
      <c r="I123" s="9">
        <f>SUM(F123:H123)</f>
        <v>206667</v>
      </c>
      <c r="J123" s="4"/>
      <c r="K123" s="4"/>
      <c r="L123" s="4"/>
      <c r="M123" s="9">
        <f>SUM(J123:L123)</f>
        <v>0</v>
      </c>
      <c r="N123" s="20"/>
      <c r="O123" s="20"/>
      <c r="P123" s="20"/>
      <c r="Q123" s="9">
        <f>SUM(N123:P123)</f>
        <v>0</v>
      </c>
      <c r="R123" s="20"/>
      <c r="S123" s="20"/>
      <c r="T123" s="20"/>
      <c r="U123" s="21">
        <f>SUM(R123:T123)</f>
        <v>0</v>
      </c>
      <c r="V123" s="25"/>
      <c r="W123" s="25"/>
      <c r="X123" s="25"/>
      <c r="Y123" s="21">
        <f>SUM(V123:X123)</f>
        <v>0</v>
      </c>
      <c r="Z123" s="4">
        <f t="shared" si="71"/>
        <v>0</v>
      </c>
      <c r="AA123" s="4">
        <f t="shared" si="71"/>
        <v>0</v>
      </c>
      <c r="AB123" s="4">
        <f t="shared" si="71"/>
        <v>206667</v>
      </c>
      <c r="AC123" s="9">
        <f>SUM(Z123:AB123)</f>
        <v>206667</v>
      </c>
    </row>
    <row r="124" spans="1:29" s="38" customFormat="1">
      <c r="A124" s="34"/>
      <c r="B124" s="34"/>
      <c r="C124" s="35" t="s">
        <v>240</v>
      </c>
      <c r="D124" s="37"/>
      <c r="E124" s="37"/>
      <c r="F124" s="37">
        <f>SUM(F122:F123)</f>
        <v>0</v>
      </c>
      <c r="G124" s="37">
        <f t="shared" ref="G124:AC124" si="72">SUM(G122:G123)</f>
        <v>155000</v>
      </c>
      <c r="H124" s="37">
        <f t="shared" si="72"/>
        <v>206667</v>
      </c>
      <c r="I124" s="37">
        <f t="shared" si="72"/>
        <v>361667</v>
      </c>
      <c r="J124" s="37">
        <f t="shared" si="72"/>
        <v>0</v>
      </c>
      <c r="K124" s="37">
        <f t="shared" si="72"/>
        <v>290000</v>
      </c>
      <c r="L124" s="37">
        <f t="shared" si="72"/>
        <v>0</v>
      </c>
      <c r="M124" s="37">
        <f t="shared" si="72"/>
        <v>290000</v>
      </c>
      <c r="N124" s="39">
        <f t="shared" si="72"/>
        <v>0</v>
      </c>
      <c r="O124" s="39">
        <f t="shared" si="72"/>
        <v>290000</v>
      </c>
      <c r="P124" s="39">
        <f t="shared" si="72"/>
        <v>175000</v>
      </c>
      <c r="Q124" s="39">
        <f t="shared" si="72"/>
        <v>465000</v>
      </c>
      <c r="R124" s="39">
        <f t="shared" si="72"/>
        <v>0</v>
      </c>
      <c r="S124" s="39">
        <f t="shared" si="72"/>
        <v>0</v>
      </c>
      <c r="T124" s="39">
        <f t="shared" si="72"/>
        <v>0</v>
      </c>
      <c r="U124" s="39">
        <f t="shared" si="72"/>
        <v>0</v>
      </c>
      <c r="V124" s="39">
        <f t="shared" si="72"/>
        <v>0</v>
      </c>
      <c r="W124" s="39">
        <f t="shared" si="72"/>
        <v>0</v>
      </c>
      <c r="X124" s="39">
        <f t="shared" si="72"/>
        <v>0</v>
      </c>
      <c r="Y124" s="39">
        <f t="shared" si="72"/>
        <v>0</v>
      </c>
      <c r="Z124" s="39">
        <f t="shared" si="72"/>
        <v>0</v>
      </c>
      <c r="AA124" s="39">
        <f t="shared" si="72"/>
        <v>735000</v>
      </c>
      <c r="AB124" s="39">
        <f t="shared" si="72"/>
        <v>381667</v>
      </c>
      <c r="AC124" s="39">
        <f t="shared" si="72"/>
        <v>1116667</v>
      </c>
    </row>
    <row r="125" spans="1:29" ht="27.75" customHeight="1">
      <c r="A125" s="8">
        <v>1</v>
      </c>
      <c r="B125" s="82" t="s">
        <v>44</v>
      </c>
      <c r="C125" s="1" t="s">
        <v>10</v>
      </c>
      <c r="D125" s="4" t="s">
        <v>43</v>
      </c>
      <c r="E125" s="4" t="s">
        <v>44</v>
      </c>
      <c r="F125" s="4"/>
      <c r="G125" s="4">
        <v>155000</v>
      </c>
      <c r="H125" s="5"/>
      <c r="I125" s="9">
        <f>SUM(F125:H125)</f>
        <v>155000</v>
      </c>
      <c r="J125" s="4"/>
      <c r="K125" s="4"/>
      <c r="L125" s="4"/>
      <c r="M125" s="9">
        <f>SUM(J125:L125)</f>
        <v>0</v>
      </c>
      <c r="N125" s="20"/>
      <c r="O125" s="20">
        <v>290000</v>
      </c>
      <c r="P125" s="20"/>
      <c r="Q125" s="9">
        <f>SUM(N125:P125)</f>
        <v>290000</v>
      </c>
      <c r="R125" s="20"/>
      <c r="S125" s="20">
        <v>195000</v>
      </c>
      <c r="T125" s="20">
        <v>96000</v>
      </c>
      <c r="U125" s="21">
        <f>SUM(R125:T125)</f>
        <v>291000</v>
      </c>
      <c r="V125" s="25"/>
      <c r="W125" s="25"/>
      <c r="X125" s="25"/>
      <c r="Y125" s="21">
        <f>SUM(V125:X125)</f>
        <v>0</v>
      </c>
      <c r="Z125" s="4">
        <f>F125+J125+N125+R125+V125</f>
        <v>0</v>
      </c>
      <c r="AA125" s="4">
        <f>G125+K125+O125+S125+W125</f>
        <v>640000</v>
      </c>
      <c r="AB125" s="4">
        <f>H125+L125+P125+T125+X125</f>
        <v>96000</v>
      </c>
      <c r="AC125" s="9">
        <f>SUM(Z125:AB125)</f>
        <v>736000</v>
      </c>
    </row>
    <row r="126" spans="1:29" s="38" customFormat="1">
      <c r="A126" s="34"/>
      <c r="B126" s="34"/>
      <c r="C126" s="35" t="s">
        <v>241</v>
      </c>
      <c r="D126" s="37"/>
      <c r="E126" s="37"/>
      <c r="F126" s="37">
        <f>SUM(F125)</f>
        <v>0</v>
      </c>
      <c r="G126" s="37">
        <f t="shared" ref="G126:AC126" si="73">SUM(G125)</f>
        <v>155000</v>
      </c>
      <c r="H126" s="37">
        <f t="shared" si="73"/>
        <v>0</v>
      </c>
      <c r="I126" s="37">
        <f t="shared" si="73"/>
        <v>155000</v>
      </c>
      <c r="J126" s="37">
        <f t="shared" si="73"/>
        <v>0</v>
      </c>
      <c r="K126" s="37">
        <f t="shared" si="73"/>
        <v>0</v>
      </c>
      <c r="L126" s="37">
        <f t="shared" si="73"/>
        <v>0</v>
      </c>
      <c r="M126" s="37">
        <f t="shared" si="73"/>
        <v>0</v>
      </c>
      <c r="N126" s="39">
        <f t="shared" si="73"/>
        <v>0</v>
      </c>
      <c r="O126" s="39">
        <f t="shared" si="73"/>
        <v>290000</v>
      </c>
      <c r="P126" s="39">
        <f t="shared" si="73"/>
        <v>0</v>
      </c>
      <c r="Q126" s="39">
        <f t="shared" si="73"/>
        <v>290000</v>
      </c>
      <c r="R126" s="39">
        <f t="shared" si="73"/>
        <v>0</v>
      </c>
      <c r="S126" s="39">
        <f t="shared" si="73"/>
        <v>195000</v>
      </c>
      <c r="T126" s="39">
        <f t="shared" si="73"/>
        <v>96000</v>
      </c>
      <c r="U126" s="39">
        <f t="shared" si="73"/>
        <v>291000</v>
      </c>
      <c r="V126" s="39">
        <f t="shared" si="73"/>
        <v>0</v>
      </c>
      <c r="W126" s="39">
        <f t="shared" si="73"/>
        <v>0</v>
      </c>
      <c r="X126" s="39">
        <f t="shared" si="73"/>
        <v>0</v>
      </c>
      <c r="Y126" s="39">
        <f t="shared" si="73"/>
        <v>0</v>
      </c>
      <c r="Z126" s="39">
        <f t="shared" si="73"/>
        <v>0</v>
      </c>
      <c r="AA126" s="39">
        <f t="shared" si="73"/>
        <v>640000</v>
      </c>
      <c r="AB126" s="39">
        <f t="shared" si="73"/>
        <v>96000</v>
      </c>
      <c r="AC126" s="39">
        <f t="shared" si="73"/>
        <v>736000</v>
      </c>
    </row>
    <row r="127" spans="1:29" ht="47.25">
      <c r="A127" s="8">
        <v>1</v>
      </c>
      <c r="B127" s="185" t="s">
        <v>61</v>
      </c>
      <c r="C127" s="1" t="s">
        <v>242</v>
      </c>
      <c r="D127" s="4" t="s">
        <v>243</v>
      </c>
      <c r="E127" s="4" t="s">
        <v>244</v>
      </c>
      <c r="F127" s="4"/>
      <c r="G127" s="4"/>
      <c r="H127" s="4">
        <v>155000</v>
      </c>
      <c r="I127" s="9">
        <f t="shared" ref="I127:I142" si="74">SUM(F127:H127)</f>
        <v>155000</v>
      </c>
      <c r="J127" s="4"/>
      <c r="K127" s="4"/>
      <c r="L127" s="4"/>
      <c r="M127" s="9">
        <f t="shared" ref="M127:M142" si="75">SUM(J127:L127)</f>
        <v>0</v>
      </c>
      <c r="N127" s="20"/>
      <c r="O127" s="20"/>
      <c r="P127" s="4">
        <v>290000</v>
      </c>
      <c r="Q127" s="9">
        <f t="shared" ref="Q127:Q142" si="76">SUM(N127:P127)</f>
        <v>290000</v>
      </c>
      <c r="R127" s="20"/>
      <c r="S127" s="25">
        <v>195000</v>
      </c>
      <c r="T127" s="20"/>
      <c r="U127" s="21">
        <f t="shared" ref="U127:U142" si="77">SUM(R127:T127)</f>
        <v>195000</v>
      </c>
      <c r="V127" s="25"/>
      <c r="W127" s="24">
        <f>100000+257600</f>
        <v>357600</v>
      </c>
      <c r="X127" s="25"/>
      <c r="Y127" s="21">
        <f t="shared" ref="Y127:Y142" si="78">SUM(V127:X127)</f>
        <v>357600</v>
      </c>
      <c r="Z127" s="4">
        <f t="shared" ref="Z127:Z142" si="79">F127+J127+N127+R127+V127</f>
        <v>0</v>
      </c>
      <c r="AA127" s="4">
        <f t="shared" ref="AA127:AA142" si="80">G127+K127+O127+S127+W127</f>
        <v>552600</v>
      </c>
      <c r="AB127" s="4">
        <f t="shared" ref="AB127:AB142" si="81">H127+L127+P127+T127+X127</f>
        <v>445000</v>
      </c>
      <c r="AC127" s="9">
        <f t="shared" ref="AC127:AC142" si="82">SUM(Z127:AB127)</f>
        <v>997600</v>
      </c>
    </row>
    <row r="128" spans="1:29">
      <c r="A128" s="8">
        <v>2</v>
      </c>
      <c r="B128" s="186"/>
      <c r="C128" s="1" t="s">
        <v>245</v>
      </c>
      <c r="D128" s="4" t="s">
        <v>246</v>
      </c>
      <c r="E128" s="4" t="s">
        <v>244</v>
      </c>
      <c r="F128" s="4"/>
      <c r="G128" s="4"/>
      <c r="H128" s="5"/>
      <c r="I128" s="9">
        <f t="shared" si="74"/>
        <v>0</v>
      </c>
      <c r="J128" s="76"/>
      <c r="K128" s="76">
        <v>1690000</v>
      </c>
      <c r="L128" s="76">
        <v>1290000</v>
      </c>
      <c r="M128" s="9">
        <f t="shared" si="75"/>
        <v>2980000</v>
      </c>
      <c r="N128" s="20"/>
      <c r="O128" s="26">
        <v>1389000</v>
      </c>
      <c r="P128" s="4">
        <v>1080000</v>
      </c>
      <c r="Q128" s="9">
        <f t="shared" si="76"/>
        <v>2469000</v>
      </c>
      <c r="R128" s="20"/>
      <c r="S128" s="25"/>
      <c r="T128" s="20"/>
      <c r="U128" s="21">
        <f t="shared" si="77"/>
        <v>0</v>
      </c>
      <c r="V128" s="25"/>
      <c r="W128" s="25">
        <v>100000</v>
      </c>
      <c r="X128" s="25">
        <v>540000</v>
      </c>
      <c r="Y128" s="21">
        <f t="shared" si="78"/>
        <v>640000</v>
      </c>
      <c r="Z128" s="4">
        <f t="shared" si="79"/>
        <v>0</v>
      </c>
      <c r="AA128" s="4">
        <f t="shared" si="80"/>
        <v>3179000</v>
      </c>
      <c r="AB128" s="4">
        <f t="shared" si="81"/>
        <v>2910000</v>
      </c>
      <c r="AC128" s="9">
        <f t="shared" si="82"/>
        <v>6089000</v>
      </c>
    </row>
    <row r="129" spans="1:29">
      <c r="A129" s="8">
        <v>3</v>
      </c>
      <c r="B129" s="186"/>
      <c r="C129" s="1" t="s">
        <v>247</v>
      </c>
      <c r="D129" s="4"/>
      <c r="E129" s="4" t="s">
        <v>244</v>
      </c>
      <c r="F129" s="4"/>
      <c r="G129" s="4"/>
      <c r="H129" s="5"/>
      <c r="I129" s="9">
        <f t="shared" si="74"/>
        <v>0</v>
      </c>
      <c r="J129" s="4"/>
      <c r="K129" s="72"/>
      <c r="L129" s="4"/>
      <c r="M129" s="9">
        <f t="shared" si="75"/>
        <v>0</v>
      </c>
      <c r="N129" s="20"/>
      <c r="O129" s="20"/>
      <c r="P129" s="4"/>
      <c r="Q129" s="9">
        <f t="shared" si="76"/>
        <v>0</v>
      </c>
      <c r="R129" s="20"/>
      <c r="S129" s="25">
        <v>438200</v>
      </c>
      <c r="T129" s="25">
        <v>274300</v>
      </c>
      <c r="U129" s="21">
        <f t="shared" si="77"/>
        <v>712500</v>
      </c>
      <c r="V129" s="25"/>
      <c r="W129" s="25">
        <v>100000</v>
      </c>
      <c r="X129" s="25"/>
      <c r="Y129" s="21">
        <f t="shared" si="78"/>
        <v>100000</v>
      </c>
      <c r="Z129" s="4">
        <f t="shared" si="79"/>
        <v>0</v>
      </c>
      <c r="AA129" s="4">
        <f t="shared" si="80"/>
        <v>538200</v>
      </c>
      <c r="AB129" s="4">
        <f t="shared" si="81"/>
        <v>274300</v>
      </c>
      <c r="AC129" s="9">
        <f t="shared" si="82"/>
        <v>812500</v>
      </c>
    </row>
    <row r="130" spans="1:29" ht="31.5">
      <c r="A130" s="8">
        <v>4</v>
      </c>
      <c r="B130" s="186"/>
      <c r="C130" s="1" t="s">
        <v>248</v>
      </c>
      <c r="D130" s="46" t="s">
        <v>249</v>
      </c>
      <c r="E130" s="4" t="s">
        <v>244</v>
      </c>
      <c r="F130" s="4"/>
      <c r="G130" s="4"/>
      <c r="H130" s="5"/>
      <c r="I130" s="9">
        <f t="shared" si="74"/>
        <v>0</v>
      </c>
      <c r="J130" s="76">
        <v>290000</v>
      </c>
      <c r="K130" s="76">
        <v>1830000</v>
      </c>
      <c r="L130" s="76">
        <v>1500000</v>
      </c>
      <c r="M130" s="9">
        <f t="shared" si="75"/>
        <v>3620000</v>
      </c>
      <c r="N130" s="20">
        <v>290000</v>
      </c>
      <c r="O130" s="26">
        <v>2142000</v>
      </c>
      <c r="P130" s="4">
        <v>840000</v>
      </c>
      <c r="Q130" s="9">
        <f t="shared" si="76"/>
        <v>3272000</v>
      </c>
      <c r="R130" s="20">
        <v>195000</v>
      </c>
      <c r="S130" s="25">
        <v>1226050</v>
      </c>
      <c r="T130" s="25">
        <v>607150</v>
      </c>
      <c r="U130" s="21">
        <f t="shared" si="77"/>
        <v>2028200</v>
      </c>
      <c r="V130" s="25"/>
      <c r="W130" s="25">
        <v>100000</v>
      </c>
      <c r="X130" s="25">
        <v>522000</v>
      </c>
      <c r="Y130" s="21">
        <f t="shared" si="78"/>
        <v>622000</v>
      </c>
      <c r="Z130" s="4">
        <f t="shared" si="79"/>
        <v>775000</v>
      </c>
      <c r="AA130" s="4">
        <f t="shared" si="80"/>
        <v>5298050</v>
      </c>
      <c r="AB130" s="4">
        <f t="shared" si="81"/>
        <v>3469150</v>
      </c>
      <c r="AC130" s="9">
        <f t="shared" si="82"/>
        <v>9542200</v>
      </c>
    </row>
    <row r="131" spans="1:29" ht="31.5">
      <c r="A131" s="8">
        <v>5</v>
      </c>
      <c r="B131" s="186"/>
      <c r="C131" s="1" t="s">
        <v>250</v>
      </c>
      <c r="D131" s="4" t="s">
        <v>251</v>
      </c>
      <c r="E131" s="4" t="s">
        <v>244</v>
      </c>
      <c r="F131" s="4"/>
      <c r="G131" s="4"/>
      <c r="H131" s="5"/>
      <c r="I131" s="9">
        <f t="shared" si="74"/>
        <v>0</v>
      </c>
      <c r="J131" s="76"/>
      <c r="K131" s="76">
        <v>290000</v>
      </c>
      <c r="L131" s="76"/>
      <c r="M131" s="9">
        <f t="shared" si="75"/>
        <v>290000</v>
      </c>
      <c r="N131" s="20"/>
      <c r="O131" s="20"/>
      <c r="P131" s="4"/>
      <c r="Q131" s="9">
        <f t="shared" si="76"/>
        <v>0</v>
      </c>
      <c r="R131" s="20"/>
      <c r="S131" s="25"/>
      <c r="T131" s="25"/>
      <c r="U131" s="21">
        <f t="shared" si="77"/>
        <v>0</v>
      </c>
      <c r="V131" s="25"/>
      <c r="W131" s="25"/>
      <c r="X131" s="25"/>
      <c r="Y131" s="21">
        <f t="shared" si="78"/>
        <v>0</v>
      </c>
      <c r="Z131" s="4">
        <f t="shared" si="79"/>
        <v>0</v>
      </c>
      <c r="AA131" s="4">
        <f t="shared" si="80"/>
        <v>290000</v>
      </c>
      <c r="AB131" s="4">
        <f t="shared" si="81"/>
        <v>0</v>
      </c>
      <c r="AC131" s="9">
        <f t="shared" si="82"/>
        <v>290000</v>
      </c>
    </row>
    <row r="132" spans="1:29" ht="47.25">
      <c r="A132" s="8">
        <v>6</v>
      </c>
      <c r="B132" s="186"/>
      <c r="C132" s="1" t="s">
        <v>252</v>
      </c>
      <c r="D132" s="4" t="s">
        <v>253</v>
      </c>
      <c r="E132" s="4" t="s">
        <v>25</v>
      </c>
      <c r="F132" s="4">
        <v>155000</v>
      </c>
      <c r="G132" s="4"/>
      <c r="H132" s="4">
        <f>891000+110000</f>
        <v>1001000</v>
      </c>
      <c r="I132" s="9">
        <f t="shared" si="74"/>
        <v>1156000</v>
      </c>
      <c r="J132" s="76">
        <v>290000</v>
      </c>
      <c r="K132" s="76"/>
      <c r="L132" s="76">
        <v>1800000</v>
      </c>
      <c r="M132" s="9">
        <f t="shared" si="75"/>
        <v>2090000</v>
      </c>
      <c r="N132" s="20"/>
      <c r="O132" s="20"/>
      <c r="P132" s="4"/>
      <c r="Q132" s="9">
        <f t="shared" si="76"/>
        <v>0</v>
      </c>
      <c r="R132" s="20"/>
      <c r="S132" s="20"/>
      <c r="T132" s="20"/>
      <c r="U132" s="21">
        <f t="shared" si="77"/>
        <v>0</v>
      </c>
      <c r="V132" s="25"/>
      <c r="W132" s="24">
        <v>100000</v>
      </c>
      <c r="X132" s="25"/>
      <c r="Y132" s="21">
        <f t="shared" si="78"/>
        <v>100000</v>
      </c>
      <c r="Z132" s="4">
        <f t="shared" si="79"/>
        <v>445000</v>
      </c>
      <c r="AA132" s="4">
        <f t="shared" si="80"/>
        <v>100000</v>
      </c>
      <c r="AB132" s="4">
        <f t="shared" si="81"/>
        <v>2801000</v>
      </c>
      <c r="AC132" s="9">
        <f t="shared" si="82"/>
        <v>3346000</v>
      </c>
    </row>
    <row r="133" spans="1:29" ht="31.5">
      <c r="A133" s="8">
        <v>7</v>
      </c>
      <c r="B133" s="186"/>
      <c r="C133" s="1" t="s">
        <v>2</v>
      </c>
      <c r="D133" s="43" t="s">
        <v>243</v>
      </c>
      <c r="E133" s="4" t="s">
        <v>25</v>
      </c>
      <c r="F133" s="4"/>
      <c r="G133" s="4"/>
      <c r="H133" s="4"/>
      <c r="I133" s="9">
        <f t="shared" si="74"/>
        <v>0</v>
      </c>
      <c r="J133" s="4"/>
      <c r="K133" s="72"/>
      <c r="L133" s="4"/>
      <c r="M133" s="9">
        <f t="shared" si="75"/>
        <v>0</v>
      </c>
      <c r="N133" s="20"/>
      <c r="O133" s="20">
        <v>290000</v>
      </c>
      <c r="P133" s="4">
        <v>-290000</v>
      </c>
      <c r="Q133" s="9">
        <f t="shared" si="76"/>
        <v>0</v>
      </c>
      <c r="R133" s="20"/>
      <c r="S133" s="25">
        <v>195000</v>
      </c>
      <c r="T133" s="20"/>
      <c r="U133" s="21">
        <f t="shared" si="77"/>
        <v>195000</v>
      </c>
      <c r="V133" s="25"/>
      <c r="W133" s="25"/>
      <c r="X133" s="25"/>
      <c r="Y133" s="21">
        <f t="shared" si="78"/>
        <v>0</v>
      </c>
      <c r="Z133" s="4">
        <f t="shared" si="79"/>
        <v>0</v>
      </c>
      <c r="AA133" s="4">
        <f t="shared" si="80"/>
        <v>485000</v>
      </c>
      <c r="AB133" s="4">
        <f t="shared" si="81"/>
        <v>-290000</v>
      </c>
      <c r="AC133" s="9">
        <f t="shared" si="82"/>
        <v>195000</v>
      </c>
    </row>
    <row r="134" spans="1:29">
      <c r="A134" s="8">
        <v>8</v>
      </c>
      <c r="B134" s="186"/>
      <c r="C134" s="40" t="s">
        <v>254</v>
      </c>
      <c r="D134" s="41" t="s">
        <v>255</v>
      </c>
      <c r="E134" s="4" t="s">
        <v>25</v>
      </c>
      <c r="F134" s="4"/>
      <c r="G134" s="4"/>
      <c r="H134" s="4"/>
      <c r="I134" s="9">
        <f t="shared" si="74"/>
        <v>0</v>
      </c>
      <c r="J134" s="76">
        <v>290000</v>
      </c>
      <c r="K134" s="76">
        <v>1200000</v>
      </c>
      <c r="L134" s="76">
        <v>2060000</v>
      </c>
      <c r="M134" s="9">
        <f t="shared" si="75"/>
        <v>3550000</v>
      </c>
      <c r="N134" s="20"/>
      <c r="O134" s="20">
        <v>290000</v>
      </c>
      <c r="P134" s="4">
        <v>1008000</v>
      </c>
      <c r="Q134" s="9">
        <f t="shared" si="76"/>
        <v>1298000</v>
      </c>
      <c r="R134" s="20"/>
      <c r="S134" s="25"/>
      <c r="T134" s="20"/>
      <c r="U134" s="21">
        <f t="shared" si="77"/>
        <v>0</v>
      </c>
      <c r="V134" s="25"/>
      <c r="W134" s="25"/>
      <c r="X134" s="25"/>
      <c r="Y134" s="21">
        <f t="shared" si="78"/>
        <v>0</v>
      </c>
      <c r="Z134" s="4">
        <f t="shared" si="79"/>
        <v>290000</v>
      </c>
      <c r="AA134" s="4">
        <f t="shared" si="80"/>
        <v>1490000</v>
      </c>
      <c r="AB134" s="4">
        <f t="shared" si="81"/>
        <v>3068000</v>
      </c>
      <c r="AC134" s="9">
        <f t="shared" si="82"/>
        <v>4848000</v>
      </c>
    </row>
    <row r="135" spans="1:29">
      <c r="A135" s="8"/>
      <c r="B135" s="186"/>
      <c r="C135" s="40" t="s">
        <v>474</v>
      </c>
      <c r="D135" s="41"/>
      <c r="E135" s="4" t="s">
        <v>25</v>
      </c>
      <c r="F135" s="4"/>
      <c r="G135" s="4"/>
      <c r="H135" s="4"/>
      <c r="I135" s="9">
        <f t="shared" si="74"/>
        <v>0</v>
      </c>
      <c r="J135" s="76"/>
      <c r="K135" s="76"/>
      <c r="L135" s="76">
        <v>-200000</v>
      </c>
      <c r="M135" s="9">
        <f t="shared" si="75"/>
        <v>-200000</v>
      </c>
      <c r="N135" s="20"/>
      <c r="O135" s="20"/>
      <c r="P135" s="4"/>
      <c r="Q135" s="9">
        <f t="shared" si="76"/>
        <v>0</v>
      </c>
      <c r="R135" s="20"/>
      <c r="S135" s="25"/>
      <c r="T135" s="20"/>
      <c r="U135" s="21">
        <f t="shared" si="77"/>
        <v>0</v>
      </c>
      <c r="V135" s="25"/>
      <c r="W135" s="25"/>
      <c r="X135" s="25"/>
      <c r="Y135" s="21">
        <f t="shared" si="78"/>
        <v>0</v>
      </c>
      <c r="Z135" s="4">
        <f t="shared" si="79"/>
        <v>0</v>
      </c>
      <c r="AA135" s="4">
        <f t="shared" si="80"/>
        <v>0</v>
      </c>
      <c r="AB135" s="4">
        <f t="shared" si="81"/>
        <v>-200000</v>
      </c>
      <c r="AC135" s="9">
        <f t="shared" si="82"/>
        <v>-200000</v>
      </c>
    </row>
    <row r="136" spans="1:29" ht="31.5">
      <c r="A136" s="8">
        <v>9</v>
      </c>
      <c r="B136" s="186"/>
      <c r="C136" s="1" t="s">
        <v>256</v>
      </c>
      <c r="D136" s="4" t="s">
        <v>257</v>
      </c>
      <c r="E136" s="4" t="s">
        <v>258</v>
      </c>
      <c r="F136" s="4"/>
      <c r="G136" s="4">
        <v>298000</v>
      </c>
      <c r="H136" s="4">
        <v>60000</v>
      </c>
      <c r="I136" s="9">
        <f t="shared" si="74"/>
        <v>358000</v>
      </c>
      <c r="J136" s="4"/>
      <c r="K136" s="72"/>
      <c r="L136" s="4"/>
      <c r="M136" s="9">
        <f t="shared" si="75"/>
        <v>0</v>
      </c>
      <c r="N136" s="20"/>
      <c r="O136" s="20"/>
      <c r="P136" s="20"/>
      <c r="Q136" s="9">
        <f t="shared" si="76"/>
        <v>0</v>
      </c>
      <c r="R136" s="20"/>
      <c r="S136" s="25">
        <v>330800</v>
      </c>
      <c r="T136" s="20"/>
      <c r="U136" s="21">
        <f t="shared" si="77"/>
        <v>330800</v>
      </c>
      <c r="V136" s="25"/>
      <c r="W136" s="25"/>
      <c r="X136" s="25"/>
      <c r="Y136" s="21">
        <f t="shared" si="78"/>
        <v>0</v>
      </c>
      <c r="Z136" s="4">
        <f t="shared" si="79"/>
        <v>0</v>
      </c>
      <c r="AA136" s="4">
        <f t="shared" si="80"/>
        <v>628800</v>
      </c>
      <c r="AB136" s="4">
        <f t="shared" si="81"/>
        <v>60000</v>
      </c>
      <c r="AC136" s="9">
        <f t="shared" si="82"/>
        <v>688800</v>
      </c>
    </row>
    <row r="137" spans="1:29" ht="31.5">
      <c r="A137" s="8">
        <v>10</v>
      </c>
      <c r="B137" s="186"/>
      <c r="C137" s="1" t="s">
        <v>259</v>
      </c>
      <c r="D137" s="4" t="s">
        <v>260</v>
      </c>
      <c r="E137" s="4" t="s">
        <v>258</v>
      </c>
      <c r="F137" s="4">
        <v>155000</v>
      </c>
      <c r="G137" s="4">
        <v>789000</v>
      </c>
      <c r="H137" s="4">
        <f>71500+71500</f>
        <v>143000</v>
      </c>
      <c r="I137" s="9">
        <f t="shared" si="74"/>
        <v>1087000</v>
      </c>
      <c r="J137" s="4"/>
      <c r="K137" s="72"/>
      <c r="L137" s="4"/>
      <c r="M137" s="9">
        <f t="shared" si="75"/>
        <v>0</v>
      </c>
      <c r="N137" s="20"/>
      <c r="O137" s="20"/>
      <c r="P137" s="20"/>
      <c r="Q137" s="9">
        <f t="shared" si="76"/>
        <v>0</v>
      </c>
      <c r="R137" s="20"/>
      <c r="S137" s="25">
        <v>1145600</v>
      </c>
      <c r="T137" s="25">
        <v>916650</v>
      </c>
      <c r="U137" s="21">
        <f t="shared" si="77"/>
        <v>2062250</v>
      </c>
      <c r="V137" s="25"/>
      <c r="W137" s="25"/>
      <c r="X137" s="25">
        <v>100000</v>
      </c>
      <c r="Y137" s="21">
        <f t="shared" si="78"/>
        <v>100000</v>
      </c>
      <c r="Z137" s="4">
        <f t="shared" si="79"/>
        <v>155000</v>
      </c>
      <c r="AA137" s="4">
        <f t="shared" si="80"/>
        <v>1934600</v>
      </c>
      <c r="AB137" s="4">
        <f t="shared" si="81"/>
        <v>1159650</v>
      </c>
      <c r="AC137" s="9">
        <f t="shared" si="82"/>
        <v>3249250</v>
      </c>
    </row>
    <row r="138" spans="1:29" ht="31.5">
      <c r="A138" s="8">
        <v>11</v>
      </c>
      <c r="B138" s="186"/>
      <c r="C138" s="1" t="s">
        <v>259</v>
      </c>
      <c r="D138" s="4" t="s">
        <v>246</v>
      </c>
      <c r="E138" s="4" t="s">
        <v>258</v>
      </c>
      <c r="F138" s="4"/>
      <c r="G138" s="4"/>
      <c r="H138" s="4">
        <f>155000+453000</f>
        <v>608000</v>
      </c>
      <c r="I138" s="9">
        <f t="shared" si="74"/>
        <v>608000</v>
      </c>
      <c r="J138" s="4"/>
      <c r="K138" s="72"/>
      <c r="L138" s="4"/>
      <c r="M138" s="9">
        <f t="shared" si="75"/>
        <v>0</v>
      </c>
      <c r="N138" s="20"/>
      <c r="O138" s="20"/>
      <c r="P138" s="20"/>
      <c r="Q138" s="9">
        <f t="shared" si="76"/>
        <v>0</v>
      </c>
      <c r="R138" s="20"/>
      <c r="S138" s="20"/>
      <c r="T138" s="20"/>
      <c r="U138" s="21">
        <f t="shared" si="77"/>
        <v>0</v>
      </c>
      <c r="V138" s="25"/>
      <c r="W138" s="25"/>
      <c r="X138" s="25"/>
      <c r="Y138" s="21">
        <f t="shared" si="78"/>
        <v>0</v>
      </c>
      <c r="Z138" s="4">
        <f t="shared" si="79"/>
        <v>0</v>
      </c>
      <c r="AA138" s="4">
        <f t="shared" si="80"/>
        <v>0</v>
      </c>
      <c r="AB138" s="4">
        <f t="shared" si="81"/>
        <v>608000</v>
      </c>
      <c r="AC138" s="9">
        <f t="shared" si="82"/>
        <v>608000</v>
      </c>
    </row>
    <row r="139" spans="1:29">
      <c r="A139" s="8">
        <v>12</v>
      </c>
      <c r="B139" s="186"/>
      <c r="C139" s="42" t="s">
        <v>261</v>
      </c>
      <c r="D139" s="43" t="s">
        <v>262</v>
      </c>
      <c r="E139" s="4" t="s">
        <v>258</v>
      </c>
      <c r="F139" s="4"/>
      <c r="G139" s="4"/>
      <c r="H139" s="4"/>
      <c r="I139" s="9">
        <f t="shared" si="74"/>
        <v>0</v>
      </c>
      <c r="J139" s="4"/>
      <c r="K139" s="72"/>
      <c r="L139" s="4"/>
      <c r="M139" s="9">
        <f t="shared" si="75"/>
        <v>0</v>
      </c>
      <c r="N139" s="20"/>
      <c r="O139" s="20"/>
      <c r="P139" s="4">
        <v>290000</v>
      </c>
      <c r="Q139" s="9">
        <f t="shared" si="76"/>
        <v>290000</v>
      </c>
      <c r="R139" s="20"/>
      <c r="S139" s="20"/>
      <c r="T139" s="20"/>
      <c r="U139" s="21">
        <f t="shared" si="77"/>
        <v>0</v>
      </c>
      <c r="V139" s="25"/>
      <c r="W139" s="25"/>
      <c r="X139" s="25"/>
      <c r="Y139" s="21">
        <f t="shared" si="78"/>
        <v>0</v>
      </c>
      <c r="Z139" s="4">
        <f t="shared" si="79"/>
        <v>0</v>
      </c>
      <c r="AA139" s="4">
        <f t="shared" si="80"/>
        <v>0</v>
      </c>
      <c r="AB139" s="4">
        <f t="shared" si="81"/>
        <v>290000</v>
      </c>
      <c r="AC139" s="9">
        <f t="shared" si="82"/>
        <v>290000</v>
      </c>
    </row>
    <row r="140" spans="1:29">
      <c r="A140" s="8">
        <v>13</v>
      </c>
      <c r="B140" s="186"/>
      <c r="C140" s="44" t="s">
        <v>263</v>
      </c>
      <c r="D140" s="45" t="s">
        <v>264</v>
      </c>
      <c r="E140" s="4" t="s">
        <v>258</v>
      </c>
      <c r="F140" s="4"/>
      <c r="G140" s="4"/>
      <c r="H140" s="4"/>
      <c r="I140" s="9">
        <f t="shared" si="74"/>
        <v>0</v>
      </c>
      <c r="J140" s="76"/>
      <c r="K140" s="76"/>
      <c r="L140" s="76">
        <v>430000</v>
      </c>
      <c r="M140" s="9">
        <f t="shared" si="75"/>
        <v>430000</v>
      </c>
      <c r="N140" s="20"/>
      <c r="O140" s="20"/>
      <c r="P140" s="20"/>
      <c r="Q140" s="9">
        <f t="shared" si="76"/>
        <v>0</v>
      </c>
      <c r="R140" s="20"/>
      <c r="S140" s="20"/>
      <c r="T140" s="20"/>
      <c r="U140" s="21">
        <f t="shared" si="77"/>
        <v>0</v>
      </c>
      <c r="V140" s="25"/>
      <c r="W140" s="25"/>
      <c r="X140" s="25"/>
      <c r="Y140" s="21">
        <f t="shared" si="78"/>
        <v>0</v>
      </c>
      <c r="Z140" s="4">
        <f t="shared" si="79"/>
        <v>0</v>
      </c>
      <c r="AA140" s="4">
        <f t="shared" si="80"/>
        <v>0</v>
      </c>
      <c r="AB140" s="4">
        <f t="shared" si="81"/>
        <v>430000</v>
      </c>
      <c r="AC140" s="9">
        <f t="shared" si="82"/>
        <v>430000</v>
      </c>
    </row>
    <row r="141" spans="1:29">
      <c r="A141" s="8">
        <v>14</v>
      </c>
      <c r="B141" s="186"/>
      <c r="C141" s="40" t="s">
        <v>265</v>
      </c>
      <c r="D141" s="47" t="s">
        <v>266</v>
      </c>
      <c r="E141" s="4" t="s">
        <v>258</v>
      </c>
      <c r="F141" s="4"/>
      <c r="G141" s="4"/>
      <c r="H141" s="4"/>
      <c r="I141" s="9">
        <f t="shared" si="74"/>
        <v>0</v>
      </c>
      <c r="J141" s="76"/>
      <c r="K141" s="76">
        <v>1890000</v>
      </c>
      <c r="L141" s="76">
        <v>200000</v>
      </c>
      <c r="M141" s="9">
        <f t="shared" si="75"/>
        <v>2090000</v>
      </c>
      <c r="N141" s="20"/>
      <c r="O141" s="20"/>
      <c r="P141" s="20"/>
      <c r="Q141" s="9">
        <f t="shared" si="76"/>
        <v>0</v>
      </c>
      <c r="R141" s="20"/>
      <c r="S141" s="20"/>
      <c r="T141" s="20"/>
      <c r="U141" s="21">
        <f t="shared" si="77"/>
        <v>0</v>
      </c>
      <c r="V141" s="25"/>
      <c r="W141" s="25"/>
      <c r="X141" s="25">
        <v>100000</v>
      </c>
      <c r="Y141" s="21">
        <f t="shared" si="78"/>
        <v>100000</v>
      </c>
      <c r="Z141" s="4">
        <f t="shared" si="79"/>
        <v>0</v>
      </c>
      <c r="AA141" s="4">
        <f t="shared" si="80"/>
        <v>1890000</v>
      </c>
      <c r="AB141" s="4">
        <f t="shared" si="81"/>
        <v>300000</v>
      </c>
      <c r="AC141" s="9">
        <f t="shared" si="82"/>
        <v>2190000</v>
      </c>
    </row>
    <row r="142" spans="1:29" ht="31.5">
      <c r="A142" s="8">
        <v>15</v>
      </c>
      <c r="B142" s="187"/>
      <c r="C142" s="1" t="s">
        <v>267</v>
      </c>
      <c r="D142" s="4" t="s">
        <v>268</v>
      </c>
      <c r="E142" s="4" t="s">
        <v>25</v>
      </c>
      <c r="F142" s="4"/>
      <c r="G142" s="4">
        <v>776500</v>
      </c>
      <c r="H142" s="4">
        <f>82500+159500+341000</f>
        <v>583000</v>
      </c>
      <c r="I142" s="9">
        <f t="shared" si="74"/>
        <v>1359500</v>
      </c>
      <c r="J142" s="76"/>
      <c r="K142" s="76">
        <v>1510000</v>
      </c>
      <c r="L142" s="76">
        <v>1530000</v>
      </c>
      <c r="M142" s="9">
        <f t="shared" si="75"/>
        <v>3040000</v>
      </c>
      <c r="N142" s="20"/>
      <c r="O142" s="20"/>
      <c r="P142" s="20"/>
      <c r="Q142" s="9">
        <f t="shared" si="76"/>
        <v>0</v>
      </c>
      <c r="R142" s="20"/>
      <c r="S142" s="25">
        <v>898250</v>
      </c>
      <c r="T142" s="25">
        <v>572300</v>
      </c>
      <c r="U142" s="21">
        <f t="shared" si="77"/>
        <v>1470550</v>
      </c>
      <c r="V142" s="25"/>
      <c r="W142" s="25"/>
      <c r="X142" s="25"/>
      <c r="Y142" s="21">
        <f t="shared" si="78"/>
        <v>0</v>
      </c>
      <c r="Z142" s="4">
        <f t="shared" si="79"/>
        <v>0</v>
      </c>
      <c r="AA142" s="4">
        <f t="shared" si="80"/>
        <v>3184750</v>
      </c>
      <c r="AB142" s="4">
        <f t="shared" si="81"/>
        <v>2685300</v>
      </c>
      <c r="AC142" s="9">
        <f t="shared" si="82"/>
        <v>5870050</v>
      </c>
    </row>
    <row r="143" spans="1:29" s="38" customFormat="1">
      <c r="A143" s="34"/>
      <c r="B143" s="34"/>
      <c r="C143" s="35" t="s">
        <v>269</v>
      </c>
      <c r="D143" s="37"/>
      <c r="E143" s="37"/>
      <c r="F143" s="37">
        <f>SUM(F127:F142)</f>
        <v>310000</v>
      </c>
      <c r="G143" s="37">
        <f t="shared" ref="G143:AC143" si="83">SUM(G127:G142)</f>
        <v>1863500</v>
      </c>
      <c r="H143" s="37">
        <f t="shared" si="83"/>
        <v>2550000</v>
      </c>
      <c r="I143" s="37">
        <f t="shared" si="83"/>
        <v>4723500</v>
      </c>
      <c r="J143" s="37">
        <f t="shared" si="83"/>
        <v>870000</v>
      </c>
      <c r="K143" s="37">
        <f>SUM(K127:K142)</f>
        <v>8410000</v>
      </c>
      <c r="L143" s="37">
        <f t="shared" si="83"/>
        <v>8610000</v>
      </c>
      <c r="M143" s="37">
        <f t="shared" si="83"/>
        <v>17890000</v>
      </c>
      <c r="N143" s="39">
        <f t="shared" si="83"/>
        <v>290000</v>
      </c>
      <c r="O143" s="39">
        <f t="shared" si="83"/>
        <v>4111000</v>
      </c>
      <c r="P143" s="39">
        <f t="shared" si="83"/>
        <v>3218000</v>
      </c>
      <c r="Q143" s="39">
        <f t="shared" si="83"/>
        <v>7619000</v>
      </c>
      <c r="R143" s="39">
        <f t="shared" si="83"/>
        <v>195000</v>
      </c>
      <c r="S143" s="39">
        <f t="shared" si="83"/>
        <v>4428900</v>
      </c>
      <c r="T143" s="39">
        <f t="shared" si="83"/>
        <v>2370400</v>
      </c>
      <c r="U143" s="39">
        <f t="shared" si="83"/>
        <v>6994300</v>
      </c>
      <c r="V143" s="39">
        <f t="shared" si="83"/>
        <v>0</v>
      </c>
      <c r="W143" s="39">
        <f t="shared" si="83"/>
        <v>757600</v>
      </c>
      <c r="X143" s="39">
        <f t="shared" si="83"/>
        <v>1262000</v>
      </c>
      <c r="Y143" s="39">
        <f t="shared" si="83"/>
        <v>2019600</v>
      </c>
      <c r="Z143" s="39">
        <f t="shared" si="83"/>
        <v>1665000</v>
      </c>
      <c r="AA143" s="39">
        <f t="shared" si="83"/>
        <v>19571000</v>
      </c>
      <c r="AB143" s="39">
        <f t="shared" si="83"/>
        <v>18010400</v>
      </c>
      <c r="AC143" s="39">
        <f t="shared" si="83"/>
        <v>39246400</v>
      </c>
    </row>
    <row r="144" spans="1:29">
      <c r="A144" s="8">
        <v>1</v>
      </c>
      <c r="B144" s="185" t="s">
        <v>38</v>
      </c>
      <c r="C144" s="1" t="s">
        <v>1</v>
      </c>
      <c r="D144" s="4"/>
      <c r="E144" s="4" t="s">
        <v>38</v>
      </c>
      <c r="F144" s="4"/>
      <c r="G144" s="4"/>
      <c r="H144" s="5"/>
      <c r="I144" s="9">
        <f>SUM(F144:H144)</f>
        <v>0</v>
      </c>
      <c r="J144" s="4"/>
      <c r="K144" s="4"/>
      <c r="L144" s="4"/>
      <c r="M144" s="9">
        <f>SUM(J144:L144)</f>
        <v>0</v>
      </c>
      <c r="N144" s="20"/>
      <c r="O144" s="20"/>
      <c r="P144" s="20"/>
      <c r="Q144" s="9">
        <f>SUM(N144:P144)</f>
        <v>0</v>
      </c>
      <c r="R144" s="20"/>
      <c r="S144" s="25">
        <v>694100</v>
      </c>
      <c r="T144" s="25">
        <v>478450</v>
      </c>
      <c r="U144" s="21">
        <f>SUM(R144:T144)</f>
        <v>1172550</v>
      </c>
      <c r="V144" s="25"/>
      <c r="W144" s="25"/>
      <c r="X144" s="25"/>
      <c r="Y144" s="21">
        <f>SUM(V144:X144)</f>
        <v>0</v>
      </c>
      <c r="Z144" s="4">
        <f t="shared" ref="Z144:AB145" si="84">F144+J144+N144+R144+V144</f>
        <v>0</v>
      </c>
      <c r="AA144" s="4">
        <f t="shared" si="84"/>
        <v>694100</v>
      </c>
      <c r="AB144" s="4">
        <f t="shared" si="84"/>
        <v>478450</v>
      </c>
      <c r="AC144" s="9">
        <f>SUM(Z144:AB144)</f>
        <v>1172550</v>
      </c>
    </row>
    <row r="145" spans="1:29">
      <c r="A145" s="8">
        <v>2</v>
      </c>
      <c r="B145" s="187"/>
      <c r="C145" s="1" t="s">
        <v>6</v>
      </c>
      <c r="D145" s="4" t="s">
        <v>37</v>
      </c>
      <c r="E145" s="4" t="s">
        <v>38</v>
      </c>
      <c r="F145" s="4"/>
      <c r="G145" s="4">
        <v>155000</v>
      </c>
      <c r="H145" s="4">
        <f>47000+98000+209000</f>
        <v>354000</v>
      </c>
      <c r="I145" s="9">
        <f>SUM(F145:H145)</f>
        <v>509000</v>
      </c>
      <c r="J145" s="4"/>
      <c r="K145" s="4"/>
      <c r="L145" s="4"/>
      <c r="M145" s="9">
        <f>SUM(J145:L145)</f>
        <v>0</v>
      </c>
      <c r="N145" s="20"/>
      <c r="O145" s="20"/>
      <c r="P145" s="20"/>
      <c r="Q145" s="9">
        <f>SUM(N145:P145)</f>
        <v>0</v>
      </c>
      <c r="R145" s="20"/>
      <c r="S145" s="20">
        <v>287625</v>
      </c>
      <c r="T145" s="25">
        <v>488550</v>
      </c>
      <c r="U145" s="21">
        <f>SUM(R145:T145)</f>
        <v>776175</v>
      </c>
      <c r="V145" s="25"/>
      <c r="W145" s="25"/>
      <c r="X145" s="25"/>
      <c r="Y145" s="21">
        <f>SUM(V145:X145)</f>
        <v>0</v>
      </c>
      <c r="Z145" s="4">
        <f t="shared" si="84"/>
        <v>0</v>
      </c>
      <c r="AA145" s="4">
        <f t="shared" si="84"/>
        <v>442625</v>
      </c>
      <c r="AB145" s="4">
        <f t="shared" si="84"/>
        <v>842550</v>
      </c>
      <c r="AC145" s="9">
        <f>SUM(Z145:AB145)</f>
        <v>1285175</v>
      </c>
    </row>
    <row r="146" spans="1:29" s="38" customFormat="1">
      <c r="A146" s="34"/>
      <c r="B146" s="34"/>
      <c r="C146" s="35" t="s">
        <v>270</v>
      </c>
      <c r="D146" s="37"/>
      <c r="E146" s="37"/>
      <c r="F146" s="37">
        <f>SUM(F144:F145)</f>
        <v>0</v>
      </c>
      <c r="G146" s="37">
        <f t="shared" ref="G146:AC146" si="85">SUM(G144:G145)</f>
        <v>155000</v>
      </c>
      <c r="H146" s="37">
        <f t="shared" si="85"/>
        <v>354000</v>
      </c>
      <c r="I146" s="37">
        <f t="shared" si="85"/>
        <v>509000</v>
      </c>
      <c r="J146" s="37">
        <f t="shared" si="85"/>
        <v>0</v>
      </c>
      <c r="K146" s="37">
        <f t="shared" si="85"/>
        <v>0</v>
      </c>
      <c r="L146" s="37">
        <f t="shared" si="85"/>
        <v>0</v>
      </c>
      <c r="M146" s="37">
        <f t="shared" si="85"/>
        <v>0</v>
      </c>
      <c r="N146" s="39">
        <f t="shared" si="85"/>
        <v>0</v>
      </c>
      <c r="O146" s="39">
        <f t="shared" si="85"/>
        <v>0</v>
      </c>
      <c r="P146" s="39">
        <f t="shared" si="85"/>
        <v>0</v>
      </c>
      <c r="Q146" s="39">
        <f t="shared" si="85"/>
        <v>0</v>
      </c>
      <c r="R146" s="39">
        <f t="shared" si="85"/>
        <v>0</v>
      </c>
      <c r="S146" s="39">
        <f t="shared" si="85"/>
        <v>981725</v>
      </c>
      <c r="T146" s="39">
        <f t="shared" si="85"/>
        <v>967000</v>
      </c>
      <c r="U146" s="39">
        <f t="shared" si="85"/>
        <v>1948725</v>
      </c>
      <c r="V146" s="39">
        <f t="shared" si="85"/>
        <v>0</v>
      </c>
      <c r="W146" s="39">
        <f t="shared" si="85"/>
        <v>0</v>
      </c>
      <c r="X146" s="39">
        <f t="shared" si="85"/>
        <v>0</v>
      </c>
      <c r="Y146" s="39">
        <f t="shared" si="85"/>
        <v>0</v>
      </c>
      <c r="Z146" s="39">
        <f t="shared" si="85"/>
        <v>0</v>
      </c>
      <c r="AA146" s="39">
        <f t="shared" si="85"/>
        <v>1136725</v>
      </c>
      <c r="AB146" s="39">
        <f t="shared" si="85"/>
        <v>1321000</v>
      </c>
      <c r="AC146" s="39">
        <f t="shared" si="85"/>
        <v>2457725</v>
      </c>
    </row>
    <row r="147" spans="1:29" ht="31.5">
      <c r="A147" s="8">
        <v>1</v>
      </c>
      <c r="B147" s="82" t="s">
        <v>271</v>
      </c>
      <c r="C147" s="44" t="s">
        <v>272</v>
      </c>
      <c r="D147" s="45" t="s">
        <v>271</v>
      </c>
      <c r="E147" s="45" t="s">
        <v>273</v>
      </c>
      <c r="F147" s="4"/>
      <c r="G147" s="4"/>
      <c r="H147" s="5"/>
      <c r="I147" s="9">
        <f>SUM(F147:H147)</f>
        <v>0</v>
      </c>
      <c r="J147" s="76"/>
      <c r="K147" s="76"/>
      <c r="L147" s="76">
        <v>290000</v>
      </c>
      <c r="M147" s="9">
        <f>SUM(J147:L147)</f>
        <v>290000</v>
      </c>
      <c r="N147" s="20"/>
      <c r="O147" s="20"/>
      <c r="P147" s="20"/>
      <c r="Q147" s="9">
        <f>SUM(N147:P147)</f>
        <v>0</v>
      </c>
      <c r="R147" s="20"/>
      <c r="S147" s="20"/>
      <c r="T147" s="25"/>
      <c r="U147" s="21">
        <f>SUM(R147:T147)</f>
        <v>0</v>
      </c>
      <c r="V147" s="25"/>
      <c r="W147" s="25"/>
      <c r="X147" s="25"/>
      <c r="Y147" s="21">
        <f>SUM(V147:X147)</f>
        <v>0</v>
      </c>
      <c r="Z147" s="4">
        <f>F147+J147+N147+R147+V147</f>
        <v>0</v>
      </c>
      <c r="AA147" s="4">
        <f>G147+K147+O147+S147+W147</f>
        <v>0</v>
      </c>
      <c r="AB147" s="4">
        <f>H147+L147+P147+T147+X147</f>
        <v>290000</v>
      </c>
      <c r="AC147" s="9">
        <f>SUM(Z147:AB147)</f>
        <v>290000</v>
      </c>
    </row>
    <row r="148" spans="1:29" s="38" customFormat="1">
      <c r="A148" s="34"/>
      <c r="B148" s="34"/>
      <c r="C148" s="48" t="s">
        <v>274</v>
      </c>
      <c r="D148" s="49"/>
      <c r="E148" s="49"/>
      <c r="F148" s="37">
        <f>SUM(F147)</f>
        <v>0</v>
      </c>
      <c r="G148" s="37">
        <f t="shared" ref="G148:AC148" si="86">SUM(G147)</f>
        <v>0</v>
      </c>
      <c r="H148" s="37">
        <f t="shared" si="86"/>
        <v>0</v>
      </c>
      <c r="I148" s="37">
        <f t="shared" si="86"/>
        <v>0</v>
      </c>
      <c r="J148" s="37">
        <f t="shared" si="86"/>
        <v>0</v>
      </c>
      <c r="K148" s="37">
        <f t="shared" si="86"/>
        <v>0</v>
      </c>
      <c r="L148" s="37">
        <f t="shared" si="86"/>
        <v>290000</v>
      </c>
      <c r="M148" s="37">
        <f t="shared" si="86"/>
        <v>290000</v>
      </c>
      <c r="N148" s="39">
        <f t="shared" si="86"/>
        <v>0</v>
      </c>
      <c r="O148" s="39">
        <f t="shared" si="86"/>
        <v>0</v>
      </c>
      <c r="P148" s="39">
        <f t="shared" si="86"/>
        <v>0</v>
      </c>
      <c r="Q148" s="39">
        <f t="shared" si="86"/>
        <v>0</v>
      </c>
      <c r="R148" s="39">
        <f t="shared" si="86"/>
        <v>0</v>
      </c>
      <c r="S148" s="39">
        <f t="shared" si="86"/>
        <v>0</v>
      </c>
      <c r="T148" s="39">
        <f t="shared" si="86"/>
        <v>0</v>
      </c>
      <c r="U148" s="39">
        <f t="shared" si="86"/>
        <v>0</v>
      </c>
      <c r="V148" s="39">
        <f t="shared" si="86"/>
        <v>0</v>
      </c>
      <c r="W148" s="39">
        <f t="shared" si="86"/>
        <v>0</v>
      </c>
      <c r="X148" s="39">
        <f t="shared" si="86"/>
        <v>0</v>
      </c>
      <c r="Y148" s="39">
        <f t="shared" si="86"/>
        <v>0</v>
      </c>
      <c r="Z148" s="39">
        <f t="shared" si="86"/>
        <v>0</v>
      </c>
      <c r="AA148" s="39">
        <f t="shared" si="86"/>
        <v>0</v>
      </c>
      <c r="AB148" s="39">
        <f t="shared" si="86"/>
        <v>290000</v>
      </c>
      <c r="AC148" s="39">
        <f t="shared" si="86"/>
        <v>290000</v>
      </c>
    </row>
    <row r="149" spans="1:29">
      <c r="A149" s="8">
        <v>1</v>
      </c>
      <c r="B149" s="189" t="s">
        <v>275</v>
      </c>
      <c r="C149" s="1" t="s">
        <v>276</v>
      </c>
      <c r="D149" s="4" t="s">
        <v>277</v>
      </c>
      <c r="E149" s="4" t="s">
        <v>275</v>
      </c>
      <c r="F149" s="4"/>
      <c r="G149" s="4">
        <v>705000</v>
      </c>
      <c r="H149" s="4">
        <f>110000+65000+265000</f>
        <v>440000</v>
      </c>
      <c r="I149" s="9">
        <f t="shared" ref="I149:I154" si="87">SUM(F149:H149)</f>
        <v>1145000</v>
      </c>
      <c r="J149" s="4"/>
      <c r="K149" s="4"/>
      <c r="L149" s="4"/>
      <c r="M149" s="9">
        <f t="shared" ref="M149:M154" si="88">SUM(J149:L149)</f>
        <v>0</v>
      </c>
      <c r="N149" s="20"/>
      <c r="O149" s="20">
        <v>1340000</v>
      </c>
      <c r="P149" s="4">
        <v>826000</v>
      </c>
      <c r="Q149" s="9">
        <f t="shared" ref="Q149:Q154" si="89">SUM(N149:P149)</f>
        <v>2166000</v>
      </c>
      <c r="R149" s="20"/>
      <c r="S149" s="25">
        <v>1068000</v>
      </c>
      <c r="T149" s="25">
        <v>582000</v>
      </c>
      <c r="U149" s="21">
        <f t="shared" ref="U149:U154" si="90">SUM(R149:T149)</f>
        <v>1650000</v>
      </c>
      <c r="V149" s="25"/>
      <c r="W149" s="25"/>
      <c r="X149" s="25"/>
      <c r="Y149" s="21">
        <f t="shared" ref="Y149:Y154" si="91">SUM(V149:X149)</f>
        <v>0</v>
      </c>
      <c r="Z149" s="4">
        <f t="shared" ref="Z149:AB154" si="92">F149+J149+N149+R149+V149</f>
        <v>0</v>
      </c>
      <c r="AA149" s="4">
        <f t="shared" si="92"/>
        <v>3113000</v>
      </c>
      <c r="AB149" s="4">
        <f t="shared" si="92"/>
        <v>1848000</v>
      </c>
      <c r="AC149" s="9">
        <f t="shared" ref="AC149:AC154" si="93">SUM(Z149:AB149)</f>
        <v>4961000</v>
      </c>
    </row>
    <row r="150" spans="1:29" ht="31.5">
      <c r="A150" s="8">
        <v>2</v>
      </c>
      <c r="B150" s="190"/>
      <c r="C150" s="40" t="s">
        <v>278</v>
      </c>
      <c r="D150" s="41" t="s">
        <v>279</v>
      </c>
      <c r="E150" s="4" t="s">
        <v>275</v>
      </c>
      <c r="F150" s="4"/>
      <c r="G150" s="4"/>
      <c r="H150" s="4"/>
      <c r="I150" s="9">
        <f t="shared" si="87"/>
        <v>0</v>
      </c>
      <c r="J150" s="76"/>
      <c r="K150" s="76"/>
      <c r="L150" s="76">
        <v>360000</v>
      </c>
      <c r="M150" s="9">
        <f t="shared" si="88"/>
        <v>360000</v>
      </c>
      <c r="N150" s="20"/>
      <c r="O150" s="20"/>
      <c r="P150" s="20"/>
      <c r="Q150" s="9">
        <f t="shared" si="89"/>
        <v>0</v>
      </c>
      <c r="R150" s="20"/>
      <c r="S150" s="25"/>
      <c r="T150" s="25"/>
      <c r="U150" s="21">
        <f t="shared" si="90"/>
        <v>0</v>
      </c>
      <c r="V150" s="25"/>
      <c r="W150" s="25"/>
      <c r="X150" s="25"/>
      <c r="Y150" s="21">
        <f t="shared" si="91"/>
        <v>0</v>
      </c>
      <c r="Z150" s="4">
        <f t="shared" si="92"/>
        <v>0</v>
      </c>
      <c r="AA150" s="4">
        <f t="shared" si="92"/>
        <v>0</v>
      </c>
      <c r="AB150" s="4">
        <f t="shared" si="92"/>
        <v>360000</v>
      </c>
      <c r="AC150" s="9">
        <f t="shared" si="93"/>
        <v>360000</v>
      </c>
    </row>
    <row r="151" spans="1:29">
      <c r="A151" s="8">
        <v>3</v>
      </c>
      <c r="B151" s="190"/>
      <c r="C151" s="1" t="s">
        <v>280</v>
      </c>
      <c r="D151" s="4"/>
      <c r="E151" s="4" t="s">
        <v>275</v>
      </c>
      <c r="F151" s="4"/>
      <c r="G151" s="4"/>
      <c r="H151" s="4">
        <v>-155000</v>
      </c>
      <c r="I151" s="9">
        <f t="shared" si="87"/>
        <v>-155000</v>
      </c>
      <c r="J151" s="4"/>
      <c r="K151" s="4"/>
      <c r="L151" s="4"/>
      <c r="M151" s="9">
        <f t="shared" si="88"/>
        <v>0</v>
      </c>
      <c r="N151" s="20"/>
      <c r="O151" s="22">
        <v>290000</v>
      </c>
      <c r="P151" s="20"/>
      <c r="Q151" s="9">
        <f t="shared" si="89"/>
        <v>290000</v>
      </c>
      <c r="R151" s="20"/>
      <c r="S151" s="25">
        <f>195000-195000</f>
        <v>0</v>
      </c>
      <c r="T151" s="20"/>
      <c r="U151" s="21">
        <f t="shared" si="90"/>
        <v>0</v>
      </c>
      <c r="V151" s="25"/>
      <c r="W151" s="25"/>
      <c r="X151" s="25"/>
      <c r="Y151" s="21">
        <f t="shared" si="91"/>
        <v>0</v>
      </c>
      <c r="Z151" s="4">
        <f t="shared" si="92"/>
        <v>0</v>
      </c>
      <c r="AA151" s="4">
        <f t="shared" si="92"/>
        <v>290000</v>
      </c>
      <c r="AB151" s="4">
        <f t="shared" si="92"/>
        <v>-155000</v>
      </c>
      <c r="AC151" s="9">
        <f t="shared" si="93"/>
        <v>135000</v>
      </c>
    </row>
    <row r="152" spans="1:29">
      <c r="A152" s="8">
        <v>4</v>
      </c>
      <c r="B152" s="190"/>
      <c r="C152" s="1" t="s">
        <v>281</v>
      </c>
      <c r="D152" s="4" t="s">
        <v>282</v>
      </c>
      <c r="E152" s="4" t="s">
        <v>275</v>
      </c>
      <c r="F152" s="4"/>
      <c r="G152" s="4">
        <v>155000</v>
      </c>
      <c r="H152" s="4"/>
      <c r="I152" s="9">
        <f t="shared" si="87"/>
        <v>155000</v>
      </c>
      <c r="J152" s="4"/>
      <c r="K152" s="4"/>
      <c r="L152" s="4"/>
      <c r="M152" s="9">
        <f t="shared" si="88"/>
        <v>0</v>
      </c>
      <c r="N152" s="20"/>
      <c r="O152" s="20"/>
      <c r="P152" s="20"/>
      <c r="Q152" s="9">
        <f t="shared" si="89"/>
        <v>0</v>
      </c>
      <c r="R152" s="20"/>
      <c r="S152" s="20"/>
      <c r="T152" s="20"/>
      <c r="U152" s="21">
        <f t="shared" si="90"/>
        <v>0</v>
      </c>
      <c r="V152" s="25"/>
      <c r="W152" s="25"/>
      <c r="X152" s="25"/>
      <c r="Y152" s="21">
        <f t="shared" si="91"/>
        <v>0</v>
      </c>
      <c r="Z152" s="4">
        <f t="shared" si="92"/>
        <v>0</v>
      </c>
      <c r="AA152" s="4">
        <f t="shared" si="92"/>
        <v>155000</v>
      </c>
      <c r="AB152" s="4">
        <f t="shared" si="92"/>
        <v>0</v>
      </c>
      <c r="AC152" s="9">
        <f t="shared" si="93"/>
        <v>155000</v>
      </c>
    </row>
    <row r="153" spans="1:29" ht="31.5">
      <c r="A153" s="8">
        <v>5</v>
      </c>
      <c r="B153" s="190"/>
      <c r="C153" s="1" t="s">
        <v>283</v>
      </c>
      <c r="D153" s="4" t="s">
        <v>284</v>
      </c>
      <c r="E153" s="4" t="s">
        <v>275</v>
      </c>
      <c r="F153" s="4">
        <v>155000</v>
      </c>
      <c r="G153" s="4">
        <v>152000</v>
      </c>
      <c r="H153" s="4">
        <v>514500</v>
      </c>
      <c r="I153" s="9">
        <f t="shared" si="87"/>
        <v>821500</v>
      </c>
      <c r="J153" s="4"/>
      <c r="K153" s="4"/>
      <c r="L153" s="4"/>
      <c r="M153" s="9">
        <f t="shared" si="88"/>
        <v>0</v>
      </c>
      <c r="N153" s="20"/>
      <c r="O153" s="20"/>
      <c r="P153" s="20"/>
      <c r="Q153" s="9">
        <f t="shared" si="89"/>
        <v>0</v>
      </c>
      <c r="R153" s="20"/>
      <c r="S153" s="20"/>
      <c r="T153" s="25">
        <f>195000-195000</f>
        <v>0</v>
      </c>
      <c r="U153" s="21">
        <f t="shared" si="90"/>
        <v>0</v>
      </c>
      <c r="V153" s="25"/>
      <c r="W153" s="25"/>
      <c r="X153" s="25"/>
      <c r="Y153" s="21">
        <f t="shared" si="91"/>
        <v>0</v>
      </c>
      <c r="Z153" s="4">
        <f t="shared" si="92"/>
        <v>155000</v>
      </c>
      <c r="AA153" s="4">
        <f t="shared" si="92"/>
        <v>152000</v>
      </c>
      <c r="AB153" s="4">
        <f t="shared" si="92"/>
        <v>514500</v>
      </c>
      <c r="AC153" s="9">
        <f t="shared" si="93"/>
        <v>821500</v>
      </c>
    </row>
    <row r="154" spans="1:29">
      <c r="A154" s="50">
        <v>6</v>
      </c>
      <c r="B154" s="190"/>
      <c r="C154" s="1" t="s">
        <v>285</v>
      </c>
      <c r="D154" s="51" t="s">
        <v>286</v>
      </c>
      <c r="E154" s="51" t="s">
        <v>275</v>
      </c>
      <c r="F154" s="51"/>
      <c r="G154" s="51"/>
      <c r="H154" s="51"/>
      <c r="I154" s="9">
        <f t="shared" si="87"/>
        <v>0</v>
      </c>
      <c r="J154" s="51"/>
      <c r="K154" s="51"/>
      <c r="L154" s="51"/>
      <c r="M154" s="9">
        <f t="shared" si="88"/>
        <v>0</v>
      </c>
      <c r="N154" s="52"/>
      <c r="O154" s="52"/>
      <c r="P154" s="52"/>
      <c r="Q154" s="9">
        <f t="shared" si="89"/>
        <v>0</v>
      </c>
      <c r="R154" s="52"/>
      <c r="S154" s="52"/>
      <c r="T154" s="53"/>
      <c r="U154" s="21">
        <f t="shared" si="90"/>
        <v>0</v>
      </c>
      <c r="V154" s="53"/>
      <c r="W154" s="53"/>
      <c r="X154" s="53"/>
      <c r="Y154" s="21">
        <f t="shared" si="91"/>
        <v>0</v>
      </c>
      <c r="Z154" s="4">
        <f t="shared" si="92"/>
        <v>0</v>
      </c>
      <c r="AA154" s="4">
        <f t="shared" si="92"/>
        <v>0</v>
      </c>
      <c r="AB154" s="4">
        <f t="shared" si="92"/>
        <v>0</v>
      </c>
      <c r="AC154" s="9">
        <f t="shared" si="93"/>
        <v>0</v>
      </c>
    </row>
    <row r="155" spans="1:29" s="36" customFormat="1">
      <c r="A155" s="34"/>
      <c r="B155" s="34"/>
      <c r="C155" s="35" t="s">
        <v>287</v>
      </c>
      <c r="D155" s="37"/>
      <c r="E155" s="37"/>
      <c r="F155" s="37">
        <f>SUM(F149:F154)</f>
        <v>155000</v>
      </c>
      <c r="G155" s="37">
        <f t="shared" ref="G155:AB155" si="94">SUM(G149:G154)</f>
        <v>1012000</v>
      </c>
      <c r="H155" s="37">
        <f t="shared" si="94"/>
        <v>799500</v>
      </c>
      <c r="I155" s="37">
        <f t="shared" si="94"/>
        <v>1966500</v>
      </c>
      <c r="J155" s="37">
        <f t="shared" si="94"/>
        <v>0</v>
      </c>
      <c r="K155" s="37">
        <f t="shared" si="94"/>
        <v>0</v>
      </c>
      <c r="L155" s="37">
        <f t="shared" si="94"/>
        <v>360000</v>
      </c>
      <c r="M155" s="37">
        <f t="shared" si="94"/>
        <v>360000</v>
      </c>
      <c r="N155" s="39">
        <f t="shared" si="94"/>
        <v>0</v>
      </c>
      <c r="O155" s="39">
        <f t="shared" si="94"/>
        <v>1630000</v>
      </c>
      <c r="P155" s="39">
        <f t="shared" si="94"/>
        <v>826000</v>
      </c>
      <c r="Q155" s="39">
        <f t="shared" si="94"/>
        <v>2456000</v>
      </c>
      <c r="R155" s="39">
        <f t="shared" si="94"/>
        <v>0</v>
      </c>
      <c r="S155" s="39">
        <f t="shared" si="94"/>
        <v>1068000</v>
      </c>
      <c r="T155" s="39">
        <f t="shared" si="94"/>
        <v>582000</v>
      </c>
      <c r="U155" s="39">
        <f t="shared" si="94"/>
        <v>1650000</v>
      </c>
      <c r="V155" s="39">
        <f t="shared" si="94"/>
        <v>0</v>
      </c>
      <c r="W155" s="39">
        <f t="shared" si="94"/>
        <v>0</v>
      </c>
      <c r="X155" s="39">
        <f t="shared" si="94"/>
        <v>0</v>
      </c>
      <c r="Y155" s="39">
        <f t="shared" si="94"/>
        <v>0</v>
      </c>
      <c r="Z155" s="39">
        <f t="shared" si="94"/>
        <v>155000</v>
      </c>
      <c r="AA155" s="39">
        <f t="shared" si="94"/>
        <v>3710000</v>
      </c>
      <c r="AB155" s="39">
        <f t="shared" si="94"/>
        <v>2567500</v>
      </c>
      <c r="AC155" s="39">
        <f>SUM(AC149:AC154)</f>
        <v>6432500</v>
      </c>
    </row>
    <row r="156" spans="1:29" ht="31.5">
      <c r="A156" s="54">
        <v>1</v>
      </c>
      <c r="B156" s="189" t="s">
        <v>21</v>
      </c>
      <c r="C156" s="55" t="s">
        <v>288</v>
      </c>
      <c r="D156" s="56" t="s">
        <v>289</v>
      </c>
      <c r="E156" s="56" t="s">
        <v>21</v>
      </c>
      <c r="F156" s="56"/>
      <c r="G156" s="56">
        <v>155000</v>
      </c>
      <c r="H156" s="56">
        <f>100000+50000</f>
        <v>150000</v>
      </c>
      <c r="I156" s="9">
        <f t="shared" ref="I156:I164" si="95">SUM(F156:H156)</f>
        <v>305000</v>
      </c>
      <c r="J156" s="56"/>
      <c r="K156" s="56"/>
      <c r="L156" s="56"/>
      <c r="M156" s="9">
        <f t="shared" ref="M156:M164" si="96">SUM(J156:L156)</f>
        <v>0</v>
      </c>
      <c r="N156" s="57"/>
      <c r="O156" s="57"/>
      <c r="P156" s="57"/>
      <c r="Q156" s="9">
        <f t="shared" ref="Q156:Q164" si="97">SUM(N156:P156)</f>
        <v>0</v>
      </c>
      <c r="R156" s="57"/>
      <c r="S156" s="57"/>
      <c r="T156" s="57"/>
      <c r="U156" s="21">
        <f t="shared" ref="U156:U164" si="98">SUM(R156:T156)</f>
        <v>0</v>
      </c>
      <c r="V156" s="58"/>
      <c r="W156" s="58"/>
      <c r="X156" s="58">
        <v>100000</v>
      </c>
      <c r="Y156" s="21">
        <f t="shared" ref="Y156:Y164" si="99">SUM(V156:X156)</f>
        <v>100000</v>
      </c>
      <c r="Z156" s="4">
        <f t="shared" ref="Z156:Z164" si="100">F156+J156+N156+R156+V156</f>
        <v>0</v>
      </c>
      <c r="AA156" s="4">
        <f t="shared" ref="AA156:AA164" si="101">G156+K156+O156+S156+W156</f>
        <v>155000</v>
      </c>
      <c r="AB156" s="4">
        <f t="shared" ref="AB156:AB164" si="102">H156+L156+P156+T156+X156</f>
        <v>250000</v>
      </c>
      <c r="AC156" s="9">
        <f t="shared" ref="AC156:AC164" si="103">SUM(Z156:AB156)</f>
        <v>405000</v>
      </c>
    </row>
    <row r="157" spans="1:29" ht="31.5">
      <c r="A157" s="8">
        <v>2</v>
      </c>
      <c r="B157" s="190"/>
      <c r="C157" s="1" t="s">
        <v>290</v>
      </c>
      <c r="D157" s="4"/>
      <c r="E157" s="4" t="s">
        <v>21</v>
      </c>
      <c r="F157" s="4"/>
      <c r="G157" s="4"/>
      <c r="H157" s="5"/>
      <c r="I157" s="9">
        <f t="shared" si="95"/>
        <v>0</v>
      </c>
      <c r="J157" s="4"/>
      <c r="K157" s="4"/>
      <c r="L157" s="4"/>
      <c r="M157" s="9">
        <f t="shared" si="96"/>
        <v>0</v>
      </c>
      <c r="N157" s="20"/>
      <c r="O157" s="20"/>
      <c r="P157" s="20"/>
      <c r="Q157" s="9">
        <f t="shared" si="97"/>
        <v>0</v>
      </c>
      <c r="R157" s="20"/>
      <c r="S157" s="20">
        <v>256750</v>
      </c>
      <c r="T157" s="25">
        <v>340750</v>
      </c>
      <c r="U157" s="21">
        <f t="shared" si="98"/>
        <v>597500</v>
      </c>
      <c r="V157" s="25"/>
      <c r="W157" s="25"/>
      <c r="X157" s="25"/>
      <c r="Y157" s="21">
        <f t="shared" si="99"/>
        <v>0</v>
      </c>
      <c r="Z157" s="4">
        <f t="shared" si="100"/>
        <v>0</v>
      </c>
      <c r="AA157" s="4">
        <f t="shared" si="101"/>
        <v>256750</v>
      </c>
      <c r="AB157" s="4">
        <f t="shared" si="102"/>
        <v>340750</v>
      </c>
      <c r="AC157" s="9">
        <f t="shared" si="103"/>
        <v>597500</v>
      </c>
    </row>
    <row r="158" spans="1:29" ht="47.25">
      <c r="A158" s="8">
        <v>3</v>
      </c>
      <c r="B158" s="190"/>
      <c r="C158" s="42" t="s">
        <v>291</v>
      </c>
      <c r="D158" s="43" t="s">
        <v>292</v>
      </c>
      <c r="E158" s="4" t="s">
        <v>21</v>
      </c>
      <c r="F158" s="4"/>
      <c r="G158" s="4"/>
      <c r="H158" s="5"/>
      <c r="I158" s="9">
        <f t="shared" si="95"/>
        <v>0</v>
      </c>
      <c r="J158" s="4"/>
      <c r="K158" s="4"/>
      <c r="L158" s="4"/>
      <c r="M158" s="9">
        <f t="shared" si="96"/>
        <v>0</v>
      </c>
      <c r="N158" s="20"/>
      <c r="O158" s="20"/>
      <c r="P158" s="4">
        <v>471935</v>
      </c>
      <c r="Q158" s="9">
        <f t="shared" si="97"/>
        <v>471935</v>
      </c>
      <c r="R158" s="20"/>
      <c r="S158" s="20"/>
      <c r="T158" s="25"/>
      <c r="U158" s="21">
        <f t="shared" si="98"/>
        <v>0</v>
      </c>
      <c r="V158" s="25"/>
      <c r="W158" s="25"/>
      <c r="X158" s="25"/>
      <c r="Y158" s="21">
        <f t="shared" si="99"/>
        <v>0</v>
      </c>
      <c r="Z158" s="4">
        <f t="shared" si="100"/>
        <v>0</v>
      </c>
      <c r="AA158" s="4">
        <f t="shared" si="101"/>
        <v>0</v>
      </c>
      <c r="AB158" s="4">
        <f t="shared" si="102"/>
        <v>471935</v>
      </c>
      <c r="AC158" s="9">
        <f t="shared" si="103"/>
        <v>471935</v>
      </c>
    </row>
    <row r="159" spans="1:29">
      <c r="A159" s="8">
        <v>4</v>
      </c>
      <c r="B159" s="190"/>
      <c r="C159" s="1" t="s">
        <v>293</v>
      </c>
      <c r="D159" s="4"/>
      <c r="E159" s="4" t="s">
        <v>21</v>
      </c>
      <c r="F159" s="4"/>
      <c r="G159" s="4"/>
      <c r="H159" s="5"/>
      <c r="I159" s="9">
        <f t="shared" si="95"/>
        <v>0</v>
      </c>
      <c r="J159" s="4"/>
      <c r="K159" s="4"/>
      <c r="L159" s="4"/>
      <c r="M159" s="9">
        <f t="shared" si="96"/>
        <v>0</v>
      </c>
      <c r="N159" s="20"/>
      <c r="O159" s="20"/>
      <c r="P159" s="4"/>
      <c r="Q159" s="9">
        <f t="shared" si="97"/>
        <v>0</v>
      </c>
      <c r="R159" s="20"/>
      <c r="S159" s="20"/>
      <c r="T159" s="25"/>
      <c r="U159" s="21">
        <f t="shared" si="98"/>
        <v>0</v>
      </c>
      <c r="V159" s="25"/>
      <c r="W159" s="25"/>
      <c r="X159" s="25"/>
      <c r="Y159" s="21">
        <f t="shared" si="99"/>
        <v>0</v>
      </c>
      <c r="Z159" s="4">
        <f t="shared" si="100"/>
        <v>0</v>
      </c>
      <c r="AA159" s="4">
        <f t="shared" si="101"/>
        <v>0</v>
      </c>
      <c r="AB159" s="4">
        <f t="shared" si="102"/>
        <v>0</v>
      </c>
      <c r="AC159" s="9">
        <f t="shared" si="103"/>
        <v>0</v>
      </c>
    </row>
    <row r="160" spans="1:29" ht="30">
      <c r="A160" s="8">
        <v>5</v>
      </c>
      <c r="B160" s="190"/>
      <c r="C160" s="2" t="s">
        <v>15</v>
      </c>
      <c r="D160" s="13" t="s">
        <v>41</v>
      </c>
      <c r="E160" s="4" t="s">
        <v>21</v>
      </c>
      <c r="F160" s="4"/>
      <c r="G160" s="4"/>
      <c r="H160" s="5"/>
      <c r="I160" s="9">
        <f t="shared" si="95"/>
        <v>0</v>
      </c>
      <c r="J160" s="4"/>
      <c r="K160" s="4"/>
      <c r="L160" s="4"/>
      <c r="M160" s="9">
        <f t="shared" si="96"/>
        <v>0</v>
      </c>
      <c r="N160" s="20"/>
      <c r="O160" s="20"/>
      <c r="P160" s="4"/>
      <c r="Q160" s="9">
        <f t="shared" si="97"/>
        <v>0</v>
      </c>
      <c r="R160" s="20"/>
      <c r="S160" s="20"/>
      <c r="T160" s="25"/>
      <c r="U160" s="21">
        <f t="shared" si="98"/>
        <v>0</v>
      </c>
      <c r="V160" s="25"/>
      <c r="W160" s="25">
        <v>100000</v>
      </c>
      <c r="X160" s="25">
        <v>248400</v>
      </c>
      <c r="Y160" s="21">
        <f t="shared" si="99"/>
        <v>348400</v>
      </c>
      <c r="Z160" s="4">
        <f t="shared" si="100"/>
        <v>0</v>
      </c>
      <c r="AA160" s="4">
        <f t="shared" si="101"/>
        <v>100000</v>
      </c>
      <c r="AB160" s="4">
        <f t="shared" si="102"/>
        <v>248400</v>
      </c>
      <c r="AC160" s="9">
        <f t="shared" si="103"/>
        <v>348400</v>
      </c>
    </row>
    <row r="161" spans="1:29" ht="31.5">
      <c r="A161" s="8">
        <v>7</v>
      </c>
      <c r="B161" s="190"/>
      <c r="C161" s="1" t="s">
        <v>294</v>
      </c>
      <c r="D161" s="4"/>
      <c r="E161" s="4" t="s">
        <v>21</v>
      </c>
      <c r="F161" s="4"/>
      <c r="G161" s="4"/>
      <c r="H161" s="5"/>
      <c r="I161" s="9">
        <f t="shared" si="95"/>
        <v>0</v>
      </c>
      <c r="J161" s="4"/>
      <c r="K161" s="4"/>
      <c r="L161" s="4"/>
      <c r="M161" s="9">
        <f t="shared" si="96"/>
        <v>0</v>
      </c>
      <c r="N161" s="20"/>
      <c r="O161" s="20"/>
      <c r="P161" s="4"/>
      <c r="Q161" s="9">
        <f t="shared" si="97"/>
        <v>0</v>
      </c>
      <c r="R161" s="20"/>
      <c r="S161" s="25">
        <v>394250</v>
      </c>
      <c r="T161" s="25">
        <v>480150</v>
      </c>
      <c r="U161" s="21">
        <f t="shared" si="98"/>
        <v>874400</v>
      </c>
      <c r="V161" s="25"/>
      <c r="W161" s="25"/>
      <c r="X161" s="25"/>
      <c r="Y161" s="21">
        <f t="shared" si="99"/>
        <v>0</v>
      </c>
      <c r="Z161" s="4">
        <f t="shared" si="100"/>
        <v>0</v>
      </c>
      <c r="AA161" s="4">
        <f t="shared" si="101"/>
        <v>394250</v>
      </c>
      <c r="AB161" s="4">
        <f t="shared" si="102"/>
        <v>480150</v>
      </c>
      <c r="AC161" s="9">
        <f t="shared" si="103"/>
        <v>874400</v>
      </c>
    </row>
    <row r="162" spans="1:29" ht="31.5">
      <c r="A162" s="8">
        <v>8</v>
      </c>
      <c r="B162" s="190"/>
      <c r="C162" s="40" t="s">
        <v>295</v>
      </c>
      <c r="D162" s="41" t="s">
        <v>296</v>
      </c>
      <c r="E162" s="4" t="s">
        <v>21</v>
      </c>
      <c r="F162" s="4"/>
      <c r="G162" s="4"/>
      <c r="H162" s="5"/>
      <c r="I162" s="9">
        <f t="shared" si="95"/>
        <v>0</v>
      </c>
      <c r="J162" s="76">
        <v>290000</v>
      </c>
      <c r="K162" s="76">
        <v>1230000</v>
      </c>
      <c r="L162" s="76">
        <v>1610000</v>
      </c>
      <c r="M162" s="9">
        <f t="shared" si="96"/>
        <v>3130000</v>
      </c>
      <c r="N162" s="20">
        <v>290000</v>
      </c>
      <c r="O162" s="26">
        <v>609000</v>
      </c>
      <c r="P162" s="4">
        <v>2842000</v>
      </c>
      <c r="Q162" s="9">
        <f t="shared" si="97"/>
        <v>3741000</v>
      </c>
      <c r="R162" s="20"/>
      <c r="S162" s="25"/>
      <c r="T162" s="25"/>
      <c r="U162" s="21">
        <f t="shared" si="98"/>
        <v>0</v>
      </c>
      <c r="V162" s="25"/>
      <c r="W162" s="25"/>
      <c r="X162" s="25"/>
      <c r="Y162" s="21">
        <f t="shared" si="99"/>
        <v>0</v>
      </c>
      <c r="Z162" s="4">
        <f t="shared" si="100"/>
        <v>580000</v>
      </c>
      <c r="AA162" s="4">
        <f t="shared" si="101"/>
        <v>1839000</v>
      </c>
      <c r="AB162" s="4">
        <f t="shared" si="102"/>
        <v>4452000</v>
      </c>
      <c r="AC162" s="9">
        <f t="shared" si="103"/>
        <v>6871000</v>
      </c>
    </row>
    <row r="163" spans="1:29" ht="31.5">
      <c r="A163" s="8">
        <v>9</v>
      </c>
      <c r="B163" s="190"/>
      <c r="C163" s="1" t="s">
        <v>297</v>
      </c>
      <c r="D163" s="4"/>
      <c r="E163" s="4" t="s">
        <v>21</v>
      </c>
      <c r="F163" s="4"/>
      <c r="G163" s="4"/>
      <c r="H163" s="5"/>
      <c r="I163" s="9">
        <f t="shared" si="95"/>
        <v>0</v>
      </c>
      <c r="J163" s="76"/>
      <c r="K163" s="76"/>
      <c r="L163" s="76"/>
      <c r="M163" s="9">
        <f t="shared" si="96"/>
        <v>0</v>
      </c>
      <c r="N163" s="20"/>
      <c r="O163" s="20"/>
      <c r="P163" s="4"/>
      <c r="Q163" s="9">
        <f t="shared" si="97"/>
        <v>0</v>
      </c>
      <c r="R163" s="20"/>
      <c r="S163" s="25">
        <v>195000</v>
      </c>
      <c r="T163" s="25">
        <f>238250+30000</f>
        <v>268250</v>
      </c>
      <c r="U163" s="21">
        <f t="shared" si="98"/>
        <v>463250</v>
      </c>
      <c r="V163" s="25"/>
      <c r="W163" s="25"/>
      <c r="X163" s="25"/>
      <c r="Y163" s="21">
        <f t="shared" si="99"/>
        <v>0</v>
      </c>
      <c r="Z163" s="4">
        <f t="shared" si="100"/>
        <v>0</v>
      </c>
      <c r="AA163" s="4">
        <f t="shared" si="101"/>
        <v>195000</v>
      </c>
      <c r="AB163" s="4">
        <f t="shared" si="102"/>
        <v>268250</v>
      </c>
      <c r="AC163" s="9">
        <f t="shared" si="103"/>
        <v>463250</v>
      </c>
    </row>
    <row r="164" spans="1:29" ht="31.5">
      <c r="A164" s="8">
        <v>10</v>
      </c>
      <c r="B164" s="191"/>
      <c r="C164" s="42" t="s">
        <v>298</v>
      </c>
      <c r="D164" s="43" t="s">
        <v>299</v>
      </c>
      <c r="E164" s="4" t="s">
        <v>21</v>
      </c>
      <c r="F164" s="4"/>
      <c r="G164" s="4"/>
      <c r="H164" s="5"/>
      <c r="I164" s="9">
        <f t="shared" si="95"/>
        <v>0</v>
      </c>
      <c r="J164" s="4"/>
      <c r="K164" s="4"/>
      <c r="L164" s="4"/>
      <c r="M164" s="9">
        <f t="shared" si="96"/>
        <v>0</v>
      </c>
      <c r="N164" s="20"/>
      <c r="O164" s="20"/>
      <c r="P164" s="4">
        <v>439000</v>
      </c>
      <c r="Q164" s="9">
        <f t="shared" si="97"/>
        <v>439000</v>
      </c>
      <c r="R164" s="20"/>
      <c r="S164" s="25"/>
      <c r="T164" s="25"/>
      <c r="U164" s="21">
        <f t="shared" si="98"/>
        <v>0</v>
      </c>
      <c r="V164" s="25"/>
      <c r="W164" s="25"/>
      <c r="X164" s="25"/>
      <c r="Y164" s="21">
        <f t="shared" si="99"/>
        <v>0</v>
      </c>
      <c r="Z164" s="4">
        <f t="shared" si="100"/>
        <v>0</v>
      </c>
      <c r="AA164" s="4">
        <f t="shared" si="101"/>
        <v>0</v>
      </c>
      <c r="AB164" s="4">
        <f t="shared" si="102"/>
        <v>439000</v>
      </c>
      <c r="AC164" s="9">
        <f t="shared" si="103"/>
        <v>439000</v>
      </c>
    </row>
    <row r="165" spans="1:29" s="38" customFormat="1">
      <c r="A165" s="34"/>
      <c r="B165" s="34"/>
      <c r="C165" s="59" t="s">
        <v>300</v>
      </c>
      <c r="D165" s="60"/>
      <c r="E165" s="37"/>
      <c r="F165" s="37">
        <f>SUM(F156:F164)</f>
        <v>0</v>
      </c>
      <c r="G165" s="37">
        <f t="shared" ref="G165:AC165" si="104">SUM(G156:G164)</f>
        <v>155000</v>
      </c>
      <c r="H165" s="37">
        <f t="shared" si="104"/>
        <v>150000</v>
      </c>
      <c r="I165" s="37">
        <f t="shared" si="104"/>
        <v>305000</v>
      </c>
      <c r="J165" s="37">
        <f t="shared" si="104"/>
        <v>290000</v>
      </c>
      <c r="K165" s="37">
        <f t="shared" si="104"/>
        <v>1230000</v>
      </c>
      <c r="L165" s="37">
        <f t="shared" si="104"/>
        <v>1610000</v>
      </c>
      <c r="M165" s="37">
        <f t="shared" si="104"/>
        <v>3130000</v>
      </c>
      <c r="N165" s="39">
        <f t="shared" si="104"/>
        <v>290000</v>
      </c>
      <c r="O165" s="39">
        <f t="shared" si="104"/>
        <v>609000</v>
      </c>
      <c r="P165" s="39">
        <f t="shared" si="104"/>
        <v>3752935</v>
      </c>
      <c r="Q165" s="39">
        <f t="shared" si="104"/>
        <v>4651935</v>
      </c>
      <c r="R165" s="39">
        <f t="shared" si="104"/>
        <v>0</v>
      </c>
      <c r="S165" s="39">
        <f t="shared" si="104"/>
        <v>846000</v>
      </c>
      <c r="T165" s="39">
        <f t="shared" si="104"/>
        <v>1089150</v>
      </c>
      <c r="U165" s="39">
        <f t="shared" si="104"/>
        <v>1935150</v>
      </c>
      <c r="V165" s="39">
        <f t="shared" si="104"/>
        <v>0</v>
      </c>
      <c r="W165" s="39">
        <f t="shared" si="104"/>
        <v>100000</v>
      </c>
      <c r="X165" s="39">
        <f t="shared" si="104"/>
        <v>348400</v>
      </c>
      <c r="Y165" s="39">
        <f t="shared" si="104"/>
        <v>448400</v>
      </c>
      <c r="Z165" s="39">
        <f t="shared" si="104"/>
        <v>580000</v>
      </c>
      <c r="AA165" s="39">
        <f t="shared" si="104"/>
        <v>2940000</v>
      </c>
      <c r="AB165" s="39">
        <f t="shared" si="104"/>
        <v>6950485</v>
      </c>
      <c r="AC165" s="39">
        <f t="shared" si="104"/>
        <v>10470485</v>
      </c>
    </row>
    <row r="166" spans="1:29">
      <c r="A166" s="8">
        <v>1</v>
      </c>
      <c r="B166" s="185" t="s">
        <v>32</v>
      </c>
      <c r="C166" s="1" t="s">
        <v>4</v>
      </c>
      <c r="D166" s="4"/>
      <c r="E166" s="4" t="s">
        <v>32</v>
      </c>
      <c r="F166" s="4"/>
      <c r="G166" s="4"/>
      <c r="H166" s="5"/>
      <c r="I166" s="9">
        <f>SUM(F166:H166)</f>
        <v>0</v>
      </c>
      <c r="J166" s="4"/>
      <c r="K166" s="4"/>
      <c r="L166" s="4"/>
      <c r="M166" s="9">
        <f>SUM(J166:L166)</f>
        <v>0</v>
      </c>
      <c r="N166" s="20"/>
      <c r="O166" s="20"/>
      <c r="P166" s="20"/>
      <c r="Q166" s="9">
        <f>SUM(N166:P166)</f>
        <v>0</v>
      </c>
      <c r="R166" s="20"/>
      <c r="S166" s="25">
        <v>423800</v>
      </c>
      <c r="T166" s="25">
        <v>729850</v>
      </c>
      <c r="U166" s="21">
        <f>SUM(R166:T166)</f>
        <v>1153650</v>
      </c>
      <c r="V166" s="25"/>
      <c r="W166" s="25"/>
      <c r="X166" s="25"/>
      <c r="Y166" s="21">
        <f>SUM(V166:X166)</f>
        <v>0</v>
      </c>
      <c r="Z166" s="4">
        <f t="shared" ref="Z166:AB170" si="105">F166+J166+N166+R166+V166</f>
        <v>0</v>
      </c>
      <c r="AA166" s="4">
        <f t="shared" si="105"/>
        <v>423800</v>
      </c>
      <c r="AB166" s="4">
        <f t="shared" si="105"/>
        <v>729850</v>
      </c>
      <c r="AC166" s="9">
        <f>SUM(Z166:AB166)</f>
        <v>1153650</v>
      </c>
    </row>
    <row r="167" spans="1:29" ht="31.5">
      <c r="A167" s="8">
        <v>2</v>
      </c>
      <c r="B167" s="186"/>
      <c r="C167" s="1" t="s">
        <v>301</v>
      </c>
      <c r="D167" s="46" t="s">
        <v>302</v>
      </c>
      <c r="E167" s="4" t="s">
        <v>32</v>
      </c>
      <c r="F167" s="4"/>
      <c r="G167" s="4"/>
      <c r="H167" s="5"/>
      <c r="I167" s="9">
        <f>SUM(F167:H167)</f>
        <v>0</v>
      </c>
      <c r="J167" s="76"/>
      <c r="K167" s="76"/>
      <c r="L167" s="76"/>
      <c r="M167" s="9">
        <f>SUM(J167:L167)</f>
        <v>0</v>
      </c>
      <c r="N167" s="20"/>
      <c r="O167" s="20"/>
      <c r="P167" s="20"/>
      <c r="Q167" s="9">
        <f>SUM(N167:P167)</f>
        <v>0</v>
      </c>
      <c r="R167" s="20">
        <v>195000</v>
      </c>
      <c r="S167" s="25">
        <v>733900</v>
      </c>
      <c r="T167" s="25">
        <v>649900</v>
      </c>
      <c r="U167" s="21">
        <f>SUM(R167:T167)</f>
        <v>1578800</v>
      </c>
      <c r="V167" s="25"/>
      <c r="W167" s="25"/>
      <c r="X167" s="25"/>
      <c r="Y167" s="21">
        <f>SUM(V167:X167)</f>
        <v>0</v>
      </c>
      <c r="Z167" s="4">
        <f t="shared" si="105"/>
        <v>195000</v>
      </c>
      <c r="AA167" s="4">
        <f t="shared" si="105"/>
        <v>733900</v>
      </c>
      <c r="AB167" s="4">
        <f t="shared" si="105"/>
        <v>649900</v>
      </c>
      <c r="AC167" s="9">
        <f>SUM(Z167:AB167)</f>
        <v>1578800</v>
      </c>
    </row>
    <row r="168" spans="1:29" ht="31.5">
      <c r="A168" s="8">
        <v>3</v>
      </c>
      <c r="B168" s="186"/>
      <c r="C168" s="1" t="s">
        <v>303</v>
      </c>
      <c r="D168" s="46" t="s">
        <v>304</v>
      </c>
      <c r="E168" s="4" t="s">
        <v>32</v>
      </c>
      <c r="F168" s="4"/>
      <c r="G168" s="4"/>
      <c r="H168" s="5"/>
      <c r="I168" s="9">
        <f>SUM(F168:H168)</f>
        <v>0</v>
      </c>
      <c r="J168" s="76"/>
      <c r="K168" s="76"/>
      <c r="L168" s="76">
        <v>1490000</v>
      </c>
      <c r="M168" s="9">
        <f>SUM(J168:L168)</f>
        <v>1490000</v>
      </c>
      <c r="N168" s="20"/>
      <c r="O168" s="20"/>
      <c r="P168" s="20"/>
      <c r="Q168" s="9">
        <f>SUM(N168:P168)</f>
        <v>0</v>
      </c>
      <c r="R168" s="20"/>
      <c r="S168" s="25">
        <v>1184650</v>
      </c>
      <c r="T168" s="25">
        <v>994500</v>
      </c>
      <c r="U168" s="21">
        <f>SUM(R168:T168)</f>
        <v>2179150</v>
      </c>
      <c r="V168" s="25"/>
      <c r="W168" s="25">
        <v>100000</v>
      </c>
      <c r="X168" s="25">
        <v>253600</v>
      </c>
      <c r="Y168" s="21">
        <f>SUM(V168:X168)</f>
        <v>353600</v>
      </c>
      <c r="Z168" s="4">
        <f t="shared" si="105"/>
        <v>0</v>
      </c>
      <c r="AA168" s="4">
        <f t="shared" si="105"/>
        <v>1284650</v>
      </c>
      <c r="AB168" s="4">
        <f t="shared" si="105"/>
        <v>2738100</v>
      </c>
      <c r="AC168" s="9">
        <f>SUM(Z168:AB168)</f>
        <v>4022750</v>
      </c>
    </row>
    <row r="169" spans="1:29">
      <c r="A169" s="8"/>
      <c r="B169" s="186"/>
      <c r="C169" s="42" t="s">
        <v>305</v>
      </c>
      <c r="D169" s="46" t="s">
        <v>304</v>
      </c>
      <c r="E169" s="4" t="s">
        <v>32</v>
      </c>
      <c r="F169" s="4"/>
      <c r="G169" s="4"/>
      <c r="H169" s="5"/>
      <c r="I169" s="9">
        <f>SUM(F169:H169)</f>
        <v>0</v>
      </c>
      <c r="J169" s="4"/>
      <c r="K169" s="4"/>
      <c r="L169" s="27"/>
      <c r="M169" s="9">
        <f>SUM(J169:L169)</f>
        <v>0</v>
      </c>
      <c r="N169" s="20"/>
      <c r="O169" s="20"/>
      <c r="P169" s="4">
        <v>500000</v>
      </c>
      <c r="Q169" s="9">
        <f>SUM(N169:P169)</f>
        <v>500000</v>
      </c>
      <c r="R169" s="20"/>
      <c r="S169" s="25"/>
      <c r="T169" s="25"/>
      <c r="U169" s="21">
        <f>SUM(R169:T169)</f>
        <v>0</v>
      </c>
      <c r="V169" s="25"/>
      <c r="W169" s="25"/>
      <c r="X169" s="25"/>
      <c r="Y169" s="21">
        <f>SUM(V169:X169)</f>
        <v>0</v>
      </c>
      <c r="Z169" s="4">
        <f t="shared" si="105"/>
        <v>0</v>
      </c>
      <c r="AA169" s="4">
        <f t="shared" si="105"/>
        <v>0</v>
      </c>
      <c r="AB169" s="4">
        <f t="shared" si="105"/>
        <v>500000</v>
      </c>
      <c r="AC169" s="9">
        <f>SUM(Z169:AB169)</f>
        <v>500000</v>
      </c>
    </row>
    <row r="170" spans="1:29">
      <c r="A170" s="8">
        <v>4</v>
      </c>
      <c r="B170" s="187"/>
      <c r="C170" s="1" t="s">
        <v>306</v>
      </c>
      <c r="D170" s="46"/>
      <c r="E170" s="4" t="s">
        <v>32</v>
      </c>
      <c r="F170" s="4"/>
      <c r="G170" s="4"/>
      <c r="H170" s="5"/>
      <c r="I170" s="9">
        <f>SUM(F170:H170)</f>
        <v>0</v>
      </c>
      <c r="J170" s="76">
        <v>290000</v>
      </c>
      <c r="K170" s="76">
        <v>1860000</v>
      </c>
      <c r="L170" s="76">
        <v>270000</v>
      </c>
      <c r="M170" s="9">
        <f>SUM(J170:L170)</f>
        <v>2420000</v>
      </c>
      <c r="N170" s="20"/>
      <c r="O170" s="20"/>
      <c r="P170" s="20"/>
      <c r="Q170" s="9">
        <f>SUM(N170:P170)</f>
        <v>0</v>
      </c>
      <c r="R170" s="20"/>
      <c r="S170" s="25">
        <v>733350</v>
      </c>
      <c r="T170" s="25">
        <v>388000</v>
      </c>
      <c r="U170" s="21">
        <f>SUM(R170:T170)</f>
        <v>1121350</v>
      </c>
      <c r="V170" s="25"/>
      <c r="W170" s="25"/>
      <c r="X170" s="25"/>
      <c r="Y170" s="21">
        <f>SUM(V170:X170)</f>
        <v>0</v>
      </c>
      <c r="Z170" s="4">
        <f t="shared" si="105"/>
        <v>290000</v>
      </c>
      <c r="AA170" s="4">
        <f t="shared" si="105"/>
        <v>2593350</v>
      </c>
      <c r="AB170" s="4">
        <f t="shared" si="105"/>
        <v>658000</v>
      </c>
      <c r="AC170" s="9">
        <f>SUM(Z170:AB170)</f>
        <v>3541350</v>
      </c>
    </row>
    <row r="171" spans="1:29" s="38" customFormat="1">
      <c r="A171" s="34"/>
      <c r="B171" s="34"/>
      <c r="C171" s="35" t="s">
        <v>307</v>
      </c>
      <c r="D171" s="36"/>
      <c r="E171" s="37"/>
      <c r="F171" s="37">
        <f>SUM(F166:F170)</f>
        <v>0</v>
      </c>
      <c r="G171" s="37">
        <f t="shared" ref="G171:AC171" si="106">SUM(G166:G170)</f>
        <v>0</v>
      </c>
      <c r="H171" s="37">
        <f t="shared" si="106"/>
        <v>0</v>
      </c>
      <c r="I171" s="37">
        <f t="shared" si="106"/>
        <v>0</v>
      </c>
      <c r="J171" s="37">
        <f t="shared" si="106"/>
        <v>290000</v>
      </c>
      <c r="K171" s="37">
        <f t="shared" si="106"/>
        <v>1860000</v>
      </c>
      <c r="L171" s="37">
        <f>SUM(L166:L170)</f>
        <v>1760000</v>
      </c>
      <c r="M171" s="37">
        <f t="shared" si="106"/>
        <v>3910000</v>
      </c>
      <c r="N171" s="39">
        <f t="shared" si="106"/>
        <v>0</v>
      </c>
      <c r="O171" s="39">
        <f t="shared" si="106"/>
        <v>0</v>
      </c>
      <c r="P171" s="39">
        <f t="shared" si="106"/>
        <v>500000</v>
      </c>
      <c r="Q171" s="39">
        <f t="shared" si="106"/>
        <v>500000</v>
      </c>
      <c r="R171" s="39">
        <f t="shared" si="106"/>
        <v>195000</v>
      </c>
      <c r="S171" s="39">
        <f t="shared" si="106"/>
        <v>3075700</v>
      </c>
      <c r="T171" s="39">
        <f t="shared" si="106"/>
        <v>2762250</v>
      </c>
      <c r="U171" s="39">
        <f t="shared" si="106"/>
        <v>6032950</v>
      </c>
      <c r="V171" s="39">
        <f t="shared" si="106"/>
        <v>0</v>
      </c>
      <c r="W171" s="39">
        <f t="shared" si="106"/>
        <v>100000</v>
      </c>
      <c r="X171" s="39">
        <f t="shared" si="106"/>
        <v>253600</v>
      </c>
      <c r="Y171" s="39">
        <f t="shared" si="106"/>
        <v>353600</v>
      </c>
      <c r="Z171" s="39">
        <f t="shared" si="106"/>
        <v>485000</v>
      </c>
      <c r="AA171" s="39">
        <f t="shared" si="106"/>
        <v>5035700</v>
      </c>
      <c r="AB171" s="39">
        <f t="shared" si="106"/>
        <v>5275850</v>
      </c>
      <c r="AC171" s="39">
        <f t="shared" si="106"/>
        <v>10796550</v>
      </c>
    </row>
    <row r="172" spans="1:29">
      <c r="A172" s="8">
        <v>1</v>
      </c>
      <c r="B172" s="189" t="s">
        <v>24</v>
      </c>
      <c r="C172" s="1" t="s">
        <v>308</v>
      </c>
      <c r="D172" s="61" t="s">
        <v>309</v>
      </c>
      <c r="E172" s="4" t="s">
        <v>24</v>
      </c>
      <c r="F172" s="4"/>
      <c r="G172" s="4"/>
      <c r="H172" s="5"/>
      <c r="I172" s="9">
        <f t="shared" ref="I172:I207" si="107">SUM(F172:H172)</f>
        <v>0</v>
      </c>
      <c r="J172" s="4"/>
      <c r="K172" s="4"/>
      <c r="L172" s="4"/>
      <c r="M172" s="9">
        <f t="shared" ref="M172:M207" si="108">SUM(J172:L172)</f>
        <v>0</v>
      </c>
      <c r="N172" s="20"/>
      <c r="O172" s="20"/>
      <c r="P172" s="20"/>
      <c r="Q172" s="9">
        <f t="shared" ref="Q172:Q207" si="109">SUM(N172:P172)</f>
        <v>0</v>
      </c>
      <c r="R172" s="20">
        <v>195000</v>
      </c>
      <c r="S172" s="25">
        <v>271600</v>
      </c>
      <c r="T172" s="24">
        <v>38800</v>
      </c>
      <c r="U172" s="21">
        <f t="shared" ref="U172:U207" si="110">SUM(R172:T172)</f>
        <v>505400</v>
      </c>
      <c r="V172" s="25"/>
      <c r="W172" s="25"/>
      <c r="X172" s="25"/>
      <c r="Y172" s="21">
        <f t="shared" ref="Y172:Y207" si="111">SUM(V172:X172)</f>
        <v>0</v>
      </c>
      <c r="Z172" s="4">
        <f t="shared" ref="Z172:Z207" si="112">F172+J172+N172+R172+V172</f>
        <v>195000</v>
      </c>
      <c r="AA172" s="4">
        <f t="shared" ref="AA172:AA207" si="113">G172+K172+O172+S172+W172</f>
        <v>271600</v>
      </c>
      <c r="AB172" s="4">
        <f t="shared" ref="AB172:AB207" si="114">H172+L172+P172+T172+X172</f>
        <v>38800</v>
      </c>
      <c r="AC172" s="9">
        <f t="shared" ref="AC172:AC207" si="115">SUM(Z172:AB172)</f>
        <v>505400</v>
      </c>
    </row>
    <row r="173" spans="1:29">
      <c r="A173" s="8">
        <v>2</v>
      </c>
      <c r="B173" s="190"/>
      <c r="C173" s="1" t="s">
        <v>310</v>
      </c>
      <c r="D173" s="12" t="s">
        <v>311</v>
      </c>
      <c r="E173" s="4" t="s">
        <v>24</v>
      </c>
      <c r="F173" s="4">
        <v>155000</v>
      </c>
      <c r="G173" s="4">
        <v>881000</v>
      </c>
      <c r="H173" s="4">
        <f>110000+110000+330000</f>
        <v>550000</v>
      </c>
      <c r="I173" s="9">
        <f t="shared" si="107"/>
        <v>1586000</v>
      </c>
      <c r="J173" s="4"/>
      <c r="K173" s="4"/>
      <c r="L173" s="4"/>
      <c r="M173" s="9">
        <f t="shared" si="108"/>
        <v>0</v>
      </c>
      <c r="N173" s="20"/>
      <c r="O173" s="20"/>
      <c r="P173" s="20"/>
      <c r="Q173" s="9">
        <f t="shared" si="109"/>
        <v>0</v>
      </c>
      <c r="R173" s="20"/>
      <c r="S173" s="25">
        <v>1020900</v>
      </c>
      <c r="T173" s="24">
        <v>621200</v>
      </c>
      <c r="U173" s="21">
        <f t="shared" si="110"/>
        <v>1642100</v>
      </c>
      <c r="V173" s="25"/>
      <c r="W173" s="25">
        <v>100000</v>
      </c>
      <c r="X173" s="25">
        <f>218150+257600</f>
        <v>475750</v>
      </c>
      <c r="Y173" s="21">
        <f t="shared" si="111"/>
        <v>575750</v>
      </c>
      <c r="Z173" s="4">
        <f t="shared" si="112"/>
        <v>155000</v>
      </c>
      <c r="AA173" s="4">
        <f t="shared" si="113"/>
        <v>2001900</v>
      </c>
      <c r="AB173" s="4">
        <f t="shared" si="114"/>
        <v>1646950</v>
      </c>
      <c r="AC173" s="9">
        <f t="shared" si="115"/>
        <v>3803850</v>
      </c>
    </row>
    <row r="174" spans="1:29" ht="30">
      <c r="A174" s="8">
        <v>3</v>
      </c>
      <c r="B174" s="190"/>
      <c r="C174" s="2" t="s">
        <v>312</v>
      </c>
      <c r="D174" s="13" t="s">
        <v>313</v>
      </c>
      <c r="E174" s="4" t="s">
        <v>24</v>
      </c>
      <c r="F174" s="4"/>
      <c r="G174" s="4"/>
      <c r="H174" s="4"/>
      <c r="I174" s="9">
        <f t="shared" si="107"/>
        <v>0</v>
      </c>
      <c r="J174" s="4"/>
      <c r="K174" s="4"/>
      <c r="L174" s="4"/>
      <c r="M174" s="9">
        <f t="shared" si="108"/>
        <v>0</v>
      </c>
      <c r="N174" s="20"/>
      <c r="O174" s="20"/>
      <c r="P174" s="20"/>
      <c r="Q174" s="9">
        <f t="shared" si="109"/>
        <v>0</v>
      </c>
      <c r="R174" s="20"/>
      <c r="S174" s="25"/>
      <c r="T174" s="24"/>
      <c r="U174" s="21">
        <f t="shared" si="110"/>
        <v>0</v>
      </c>
      <c r="V174" s="25"/>
      <c r="W174" s="25">
        <v>100000</v>
      </c>
      <c r="X174" s="25">
        <v>276000</v>
      </c>
      <c r="Y174" s="21">
        <f t="shared" si="111"/>
        <v>376000</v>
      </c>
      <c r="Z174" s="4">
        <f t="shared" si="112"/>
        <v>0</v>
      </c>
      <c r="AA174" s="4">
        <f t="shared" si="113"/>
        <v>100000</v>
      </c>
      <c r="AB174" s="4">
        <f t="shared" si="114"/>
        <v>276000</v>
      </c>
      <c r="AC174" s="9">
        <f t="shared" si="115"/>
        <v>376000</v>
      </c>
    </row>
    <row r="175" spans="1:29">
      <c r="A175" s="8">
        <v>4</v>
      </c>
      <c r="B175" s="190"/>
      <c r="C175" s="1" t="s">
        <v>314</v>
      </c>
      <c r="D175" s="12" t="s">
        <v>26</v>
      </c>
      <c r="E175" s="4" t="s">
        <v>24</v>
      </c>
      <c r="F175" s="4"/>
      <c r="G175" s="4">
        <v>155000</v>
      </c>
      <c r="H175" s="4">
        <f>368500+47500+82500</f>
        <v>498500</v>
      </c>
      <c r="I175" s="9">
        <f t="shared" si="107"/>
        <v>653500</v>
      </c>
      <c r="J175" s="4"/>
      <c r="K175" s="4"/>
      <c r="L175" s="4"/>
      <c r="M175" s="9">
        <f t="shared" si="108"/>
        <v>0</v>
      </c>
      <c r="N175" s="20"/>
      <c r="O175" s="20"/>
      <c r="P175" s="20"/>
      <c r="Q175" s="9">
        <f t="shared" si="109"/>
        <v>0</v>
      </c>
      <c r="R175" s="20"/>
      <c r="S175" s="25">
        <v>607050</v>
      </c>
      <c r="T175" s="24">
        <v>506100</v>
      </c>
      <c r="U175" s="21">
        <f t="shared" si="110"/>
        <v>1113150</v>
      </c>
      <c r="V175" s="25"/>
      <c r="W175" s="25"/>
      <c r="X175" s="25"/>
      <c r="Y175" s="21">
        <f t="shared" si="111"/>
        <v>0</v>
      </c>
      <c r="Z175" s="4">
        <f t="shared" si="112"/>
        <v>0</v>
      </c>
      <c r="AA175" s="4">
        <f t="shared" si="113"/>
        <v>762050</v>
      </c>
      <c r="AB175" s="4">
        <f t="shared" si="114"/>
        <v>1004600</v>
      </c>
      <c r="AC175" s="9">
        <f t="shared" si="115"/>
        <v>1766650</v>
      </c>
    </row>
    <row r="176" spans="1:29">
      <c r="A176" s="8">
        <v>5</v>
      </c>
      <c r="B176" s="190"/>
      <c r="C176" s="1" t="s">
        <v>315</v>
      </c>
      <c r="D176" s="12" t="s">
        <v>316</v>
      </c>
      <c r="E176" s="4" t="s">
        <v>24</v>
      </c>
      <c r="F176" s="4"/>
      <c r="G176" s="4"/>
      <c r="H176" s="4">
        <v>155000</v>
      </c>
      <c r="I176" s="9">
        <f t="shared" si="107"/>
        <v>155000</v>
      </c>
      <c r="J176" s="4"/>
      <c r="K176" s="4"/>
      <c r="L176" s="4"/>
      <c r="M176" s="9">
        <f t="shared" si="108"/>
        <v>0</v>
      </c>
      <c r="N176" s="20"/>
      <c r="O176" s="20"/>
      <c r="P176" s="20"/>
      <c r="Q176" s="9">
        <f t="shared" si="109"/>
        <v>0</v>
      </c>
      <c r="R176" s="20"/>
      <c r="S176" s="25">
        <v>195000</v>
      </c>
      <c r="T176" s="24">
        <v>377200</v>
      </c>
      <c r="U176" s="21">
        <f t="shared" si="110"/>
        <v>572200</v>
      </c>
      <c r="V176" s="25"/>
      <c r="W176" s="25">
        <v>100000</v>
      </c>
      <c r="X176" s="25">
        <v>276000</v>
      </c>
      <c r="Y176" s="21">
        <f t="shared" si="111"/>
        <v>376000</v>
      </c>
      <c r="Z176" s="4">
        <f t="shared" si="112"/>
        <v>0</v>
      </c>
      <c r="AA176" s="4">
        <f t="shared" si="113"/>
        <v>295000</v>
      </c>
      <c r="AB176" s="4">
        <f t="shared" si="114"/>
        <v>808200</v>
      </c>
      <c r="AC176" s="9">
        <f t="shared" si="115"/>
        <v>1103200</v>
      </c>
    </row>
    <row r="177" spans="1:29" ht="21" customHeight="1">
      <c r="A177" s="8">
        <v>6</v>
      </c>
      <c r="B177" s="190"/>
      <c r="C177" s="44" t="s">
        <v>317</v>
      </c>
      <c r="D177" s="62" t="s">
        <v>318</v>
      </c>
      <c r="E177" s="4" t="s">
        <v>24</v>
      </c>
      <c r="F177" s="4"/>
      <c r="G177" s="4"/>
      <c r="H177" s="4"/>
      <c r="I177" s="9">
        <f t="shared" si="107"/>
        <v>0</v>
      </c>
      <c r="J177" s="76"/>
      <c r="K177" s="76"/>
      <c r="L177" s="76">
        <v>290000</v>
      </c>
      <c r="M177" s="9">
        <f t="shared" si="108"/>
        <v>290000</v>
      </c>
      <c r="N177" s="20"/>
      <c r="O177" s="20"/>
      <c r="P177" s="20"/>
      <c r="Q177" s="9">
        <f t="shared" si="109"/>
        <v>0</v>
      </c>
      <c r="R177" s="20"/>
      <c r="S177" s="25"/>
      <c r="T177" s="24"/>
      <c r="U177" s="21">
        <f t="shared" si="110"/>
        <v>0</v>
      </c>
      <c r="V177" s="25"/>
      <c r="W177" s="25"/>
      <c r="X177" s="25"/>
      <c r="Y177" s="21">
        <f t="shared" si="111"/>
        <v>0</v>
      </c>
      <c r="Z177" s="4">
        <f t="shared" si="112"/>
        <v>0</v>
      </c>
      <c r="AA177" s="4">
        <f t="shared" si="113"/>
        <v>0</v>
      </c>
      <c r="AB177" s="4">
        <f t="shared" si="114"/>
        <v>290000</v>
      </c>
      <c r="AC177" s="9">
        <f t="shared" si="115"/>
        <v>290000</v>
      </c>
    </row>
    <row r="178" spans="1:29">
      <c r="A178" s="8">
        <v>7</v>
      </c>
      <c r="B178" s="190"/>
      <c r="C178" s="1" t="s">
        <v>319</v>
      </c>
      <c r="D178" s="12" t="s">
        <v>320</v>
      </c>
      <c r="E178" s="4" t="s">
        <v>24</v>
      </c>
      <c r="F178" s="4"/>
      <c r="G178" s="4">
        <v>155000</v>
      </c>
      <c r="H178" s="4"/>
      <c r="I178" s="9">
        <f t="shared" si="107"/>
        <v>155000</v>
      </c>
      <c r="J178" s="4"/>
      <c r="K178" s="4"/>
      <c r="L178" s="4"/>
      <c r="M178" s="9">
        <f t="shared" si="108"/>
        <v>0</v>
      </c>
      <c r="N178" s="20"/>
      <c r="O178" s="20"/>
      <c r="P178" s="20"/>
      <c r="Q178" s="9">
        <f t="shared" si="109"/>
        <v>0</v>
      </c>
      <c r="R178" s="20"/>
      <c r="S178" s="20">
        <v>345350</v>
      </c>
      <c r="T178" s="24">
        <v>155200</v>
      </c>
      <c r="U178" s="21">
        <f t="shared" si="110"/>
        <v>500550</v>
      </c>
      <c r="V178" s="25"/>
      <c r="W178" s="25"/>
      <c r="X178" s="25"/>
      <c r="Y178" s="21">
        <f t="shared" si="111"/>
        <v>0</v>
      </c>
      <c r="Z178" s="4">
        <f t="shared" si="112"/>
        <v>0</v>
      </c>
      <c r="AA178" s="4">
        <f t="shared" si="113"/>
        <v>500350</v>
      </c>
      <c r="AB178" s="4">
        <f t="shared" si="114"/>
        <v>155200</v>
      </c>
      <c r="AC178" s="9">
        <f t="shared" si="115"/>
        <v>655550</v>
      </c>
    </row>
    <row r="179" spans="1:29">
      <c r="A179" s="8">
        <v>8</v>
      </c>
      <c r="B179" s="190"/>
      <c r="C179" s="1" t="s">
        <v>321</v>
      </c>
      <c r="D179" s="12" t="s">
        <v>313</v>
      </c>
      <c r="E179" s="4" t="s">
        <v>24</v>
      </c>
      <c r="F179" s="4"/>
      <c r="G179" s="4">
        <v>255000</v>
      </c>
      <c r="H179" s="4">
        <f>52000+60500+209000+77000</f>
        <v>398500</v>
      </c>
      <c r="I179" s="9">
        <f t="shared" si="107"/>
        <v>653500</v>
      </c>
      <c r="J179" s="4"/>
      <c r="K179" s="4"/>
      <c r="L179" s="4"/>
      <c r="M179" s="9">
        <f t="shared" si="108"/>
        <v>0</v>
      </c>
      <c r="N179" s="20"/>
      <c r="O179" s="20"/>
      <c r="P179" s="20"/>
      <c r="Q179" s="9">
        <f t="shared" si="109"/>
        <v>0</v>
      </c>
      <c r="R179" s="20"/>
      <c r="S179" s="25">
        <v>392250</v>
      </c>
      <c r="T179" s="24">
        <v>664450</v>
      </c>
      <c r="U179" s="21">
        <f t="shared" si="110"/>
        <v>1056700</v>
      </c>
      <c r="V179" s="25"/>
      <c r="W179" s="25">
        <v>100000</v>
      </c>
      <c r="X179" s="25">
        <v>276000</v>
      </c>
      <c r="Y179" s="21">
        <f t="shared" si="111"/>
        <v>376000</v>
      </c>
      <c r="Z179" s="4">
        <f t="shared" si="112"/>
        <v>0</v>
      </c>
      <c r="AA179" s="4">
        <f t="shared" si="113"/>
        <v>747250</v>
      </c>
      <c r="AB179" s="4">
        <f t="shared" si="114"/>
        <v>1338950</v>
      </c>
      <c r="AC179" s="9">
        <f t="shared" si="115"/>
        <v>2086200</v>
      </c>
    </row>
    <row r="180" spans="1:29" ht="47.25">
      <c r="A180" s="8">
        <v>9</v>
      </c>
      <c r="B180" s="190"/>
      <c r="C180" s="1" t="s">
        <v>322</v>
      </c>
      <c r="D180" s="12" t="s">
        <v>323</v>
      </c>
      <c r="E180" s="4" t="s">
        <v>24</v>
      </c>
      <c r="F180" s="4">
        <v>155000</v>
      </c>
      <c r="G180" s="4">
        <v>137500</v>
      </c>
      <c r="H180" s="4">
        <f>115500+38500+44000+33000</f>
        <v>231000</v>
      </c>
      <c r="I180" s="9">
        <f t="shared" si="107"/>
        <v>523500</v>
      </c>
      <c r="J180" s="4"/>
      <c r="K180" s="4"/>
      <c r="L180" s="4"/>
      <c r="M180" s="9">
        <f t="shared" si="108"/>
        <v>0</v>
      </c>
      <c r="N180" s="20">
        <v>290000</v>
      </c>
      <c r="O180" s="20"/>
      <c r="P180" s="4">
        <v>1218000</v>
      </c>
      <c r="Q180" s="9">
        <f t="shared" si="109"/>
        <v>1508000</v>
      </c>
      <c r="R180" s="20">
        <v>195000</v>
      </c>
      <c r="S180" s="25">
        <v>359450</v>
      </c>
      <c r="T180" s="24">
        <v>55200</v>
      </c>
      <c r="U180" s="21">
        <f t="shared" si="110"/>
        <v>609650</v>
      </c>
      <c r="V180" s="25"/>
      <c r="W180" s="25"/>
      <c r="X180" s="25"/>
      <c r="Y180" s="21">
        <f t="shared" si="111"/>
        <v>0</v>
      </c>
      <c r="Z180" s="4">
        <f t="shared" si="112"/>
        <v>640000</v>
      </c>
      <c r="AA180" s="4">
        <f t="shared" si="113"/>
        <v>496950</v>
      </c>
      <c r="AB180" s="4">
        <f t="shared" si="114"/>
        <v>1504200</v>
      </c>
      <c r="AC180" s="9">
        <f t="shared" si="115"/>
        <v>2641150</v>
      </c>
    </row>
    <row r="181" spans="1:29">
      <c r="A181" s="8">
        <v>10</v>
      </c>
      <c r="B181" s="190"/>
      <c r="C181" s="1" t="s">
        <v>324</v>
      </c>
      <c r="D181" s="12" t="s">
        <v>26</v>
      </c>
      <c r="E181" s="4" t="s">
        <v>24</v>
      </c>
      <c r="F181" s="4"/>
      <c r="G181" s="4"/>
      <c r="H181" s="4"/>
      <c r="I181" s="9">
        <f t="shared" si="107"/>
        <v>0</v>
      </c>
      <c r="J181" s="4"/>
      <c r="K181" s="4"/>
      <c r="L181" s="4"/>
      <c r="M181" s="9">
        <f t="shared" si="108"/>
        <v>0</v>
      </c>
      <c r="N181" s="20">
        <v>290000</v>
      </c>
      <c r="O181" s="20"/>
      <c r="P181" s="4">
        <v>252000</v>
      </c>
      <c r="Q181" s="9">
        <f t="shared" si="109"/>
        <v>542000</v>
      </c>
      <c r="R181" s="20"/>
      <c r="S181" s="25"/>
      <c r="T181" s="24"/>
      <c r="U181" s="21">
        <f t="shared" si="110"/>
        <v>0</v>
      </c>
      <c r="V181" s="25"/>
      <c r="W181" s="25"/>
      <c r="X181" s="25"/>
      <c r="Y181" s="21">
        <f t="shared" si="111"/>
        <v>0</v>
      </c>
      <c r="Z181" s="4">
        <f t="shared" si="112"/>
        <v>290000</v>
      </c>
      <c r="AA181" s="4">
        <f t="shared" si="113"/>
        <v>0</v>
      </c>
      <c r="AB181" s="4">
        <f t="shared" si="114"/>
        <v>252000</v>
      </c>
      <c r="AC181" s="9">
        <f t="shared" si="115"/>
        <v>542000</v>
      </c>
    </row>
    <row r="182" spans="1:29">
      <c r="A182" s="8">
        <v>11</v>
      </c>
      <c r="B182" s="190"/>
      <c r="C182" s="1" t="s">
        <v>325</v>
      </c>
      <c r="D182" s="61" t="s">
        <v>326</v>
      </c>
      <c r="E182" s="4" t="s">
        <v>24</v>
      </c>
      <c r="F182" s="4"/>
      <c r="G182" s="4"/>
      <c r="H182" s="4"/>
      <c r="I182" s="9">
        <f t="shared" si="107"/>
        <v>0</v>
      </c>
      <c r="J182" s="4"/>
      <c r="K182" s="4"/>
      <c r="L182" s="4"/>
      <c r="M182" s="9">
        <f t="shared" si="108"/>
        <v>0</v>
      </c>
      <c r="N182" s="20">
        <v>290000</v>
      </c>
      <c r="O182" s="22">
        <v>931000</v>
      </c>
      <c r="P182" s="4">
        <v>112000</v>
      </c>
      <c r="Q182" s="9">
        <f t="shared" si="109"/>
        <v>1333000</v>
      </c>
      <c r="R182" s="20">
        <v>195000</v>
      </c>
      <c r="S182" s="25">
        <v>557300</v>
      </c>
      <c r="T182" s="24">
        <v>216700</v>
      </c>
      <c r="U182" s="21">
        <f t="shared" si="110"/>
        <v>969000</v>
      </c>
      <c r="V182" s="25"/>
      <c r="W182" s="25"/>
      <c r="X182" s="25"/>
      <c r="Y182" s="21">
        <f t="shared" si="111"/>
        <v>0</v>
      </c>
      <c r="Z182" s="4">
        <f t="shared" si="112"/>
        <v>485000</v>
      </c>
      <c r="AA182" s="4">
        <f t="shared" si="113"/>
        <v>1488300</v>
      </c>
      <c r="AB182" s="4">
        <f t="shared" si="114"/>
        <v>328700</v>
      </c>
      <c r="AC182" s="9">
        <f t="shared" si="115"/>
        <v>2302000</v>
      </c>
    </row>
    <row r="183" spans="1:29">
      <c r="A183" s="8">
        <v>12</v>
      </c>
      <c r="B183" s="190"/>
      <c r="C183" s="1" t="s">
        <v>327</v>
      </c>
      <c r="D183" s="12" t="s">
        <v>328</v>
      </c>
      <c r="E183" s="4" t="s">
        <v>24</v>
      </c>
      <c r="F183" s="4"/>
      <c r="G183" s="4">
        <v>155000</v>
      </c>
      <c r="H183" s="4">
        <f>155000+64000+60000</f>
        <v>279000</v>
      </c>
      <c r="I183" s="9">
        <f t="shared" si="107"/>
        <v>434000</v>
      </c>
      <c r="J183" s="4"/>
      <c r="K183" s="4"/>
      <c r="L183" s="4"/>
      <c r="M183" s="9">
        <f t="shared" si="108"/>
        <v>0</v>
      </c>
      <c r="N183" s="20"/>
      <c r="O183" s="20"/>
      <c r="P183" s="4"/>
      <c r="Q183" s="9">
        <f t="shared" si="109"/>
        <v>0</v>
      </c>
      <c r="R183" s="20"/>
      <c r="S183" s="20">
        <v>258750</v>
      </c>
      <c r="T183" s="24">
        <v>388150</v>
      </c>
      <c r="U183" s="21">
        <f t="shared" si="110"/>
        <v>646900</v>
      </c>
      <c r="V183" s="25"/>
      <c r="W183" s="25"/>
      <c r="X183" s="25"/>
      <c r="Y183" s="21">
        <f t="shared" si="111"/>
        <v>0</v>
      </c>
      <c r="Z183" s="4">
        <f t="shared" si="112"/>
        <v>0</v>
      </c>
      <c r="AA183" s="4">
        <f t="shared" si="113"/>
        <v>413750</v>
      </c>
      <c r="AB183" s="4">
        <f t="shared" si="114"/>
        <v>667150</v>
      </c>
      <c r="AC183" s="9">
        <f t="shared" si="115"/>
        <v>1080900</v>
      </c>
    </row>
    <row r="184" spans="1:29">
      <c r="A184" s="8">
        <v>13</v>
      </c>
      <c r="B184" s="190"/>
      <c r="C184" s="1" t="s">
        <v>329</v>
      </c>
      <c r="D184" s="12" t="s">
        <v>330</v>
      </c>
      <c r="E184" s="4" t="s">
        <v>24</v>
      </c>
      <c r="F184" s="4">
        <v>155000</v>
      </c>
      <c r="G184" s="4">
        <v>1039000</v>
      </c>
      <c r="H184" s="4">
        <f>220000+297000+80000</f>
        <v>597000</v>
      </c>
      <c r="I184" s="9">
        <f t="shared" si="107"/>
        <v>1791000</v>
      </c>
      <c r="J184" s="76"/>
      <c r="K184" s="76">
        <v>1010000</v>
      </c>
      <c r="L184" s="76">
        <v>1670000</v>
      </c>
      <c r="M184" s="9">
        <f t="shared" si="108"/>
        <v>2680000</v>
      </c>
      <c r="N184" s="20"/>
      <c r="O184" s="22">
        <v>899000</v>
      </c>
      <c r="P184" s="4">
        <v>870000</v>
      </c>
      <c r="Q184" s="9">
        <f t="shared" si="109"/>
        <v>1769000</v>
      </c>
      <c r="R184" s="20">
        <v>195000</v>
      </c>
      <c r="S184" s="25">
        <v>1164700</v>
      </c>
      <c r="T184" s="24">
        <v>483750</v>
      </c>
      <c r="U184" s="21">
        <f t="shared" si="110"/>
        <v>1843450</v>
      </c>
      <c r="V184" s="25"/>
      <c r="W184" s="24">
        <f>100000+276000</f>
        <v>376000</v>
      </c>
      <c r="X184" s="25"/>
      <c r="Y184" s="21">
        <f t="shared" si="111"/>
        <v>376000</v>
      </c>
      <c r="Z184" s="4">
        <f t="shared" si="112"/>
        <v>350000</v>
      </c>
      <c r="AA184" s="4">
        <f t="shared" si="113"/>
        <v>4488700</v>
      </c>
      <c r="AB184" s="4">
        <f t="shared" si="114"/>
        <v>3620750</v>
      </c>
      <c r="AC184" s="9">
        <f t="shared" si="115"/>
        <v>8459450</v>
      </c>
    </row>
    <row r="185" spans="1:29">
      <c r="A185" s="8">
        <v>14</v>
      </c>
      <c r="B185" s="190"/>
      <c r="C185" s="1" t="s">
        <v>331</v>
      </c>
      <c r="D185" s="4"/>
      <c r="E185" s="4" t="s">
        <v>24</v>
      </c>
      <c r="F185" s="4"/>
      <c r="G185" s="4"/>
      <c r="H185" s="4"/>
      <c r="I185" s="9">
        <f t="shared" si="107"/>
        <v>0</v>
      </c>
      <c r="J185" s="4"/>
      <c r="K185" s="4"/>
      <c r="L185" s="4"/>
      <c r="M185" s="9">
        <f t="shared" si="108"/>
        <v>0</v>
      </c>
      <c r="N185" s="20"/>
      <c r="O185" s="20"/>
      <c r="P185" s="4"/>
      <c r="Q185" s="9">
        <f t="shared" si="109"/>
        <v>0</v>
      </c>
      <c r="R185" s="20"/>
      <c r="S185" s="25">
        <v>195000</v>
      </c>
      <c r="T185" s="24">
        <v>275000</v>
      </c>
      <c r="U185" s="21">
        <f t="shared" si="110"/>
        <v>470000</v>
      </c>
      <c r="V185" s="25"/>
      <c r="W185" s="25">
        <v>100000</v>
      </c>
      <c r="X185" s="25">
        <v>239200</v>
      </c>
      <c r="Y185" s="21">
        <f t="shared" si="111"/>
        <v>339200</v>
      </c>
      <c r="Z185" s="4">
        <f t="shared" si="112"/>
        <v>0</v>
      </c>
      <c r="AA185" s="4">
        <f t="shared" si="113"/>
        <v>295000</v>
      </c>
      <c r="AB185" s="4">
        <f t="shared" si="114"/>
        <v>514200</v>
      </c>
      <c r="AC185" s="9">
        <f t="shared" si="115"/>
        <v>809200</v>
      </c>
    </row>
    <row r="186" spans="1:29">
      <c r="A186" s="8">
        <v>15</v>
      </c>
      <c r="B186" s="190"/>
      <c r="C186" s="1" t="s">
        <v>332</v>
      </c>
      <c r="D186" s="4" t="s">
        <v>333</v>
      </c>
      <c r="E186" s="4" t="s">
        <v>24</v>
      </c>
      <c r="F186" s="4"/>
      <c r="G186" s="4">
        <v>741983</v>
      </c>
      <c r="H186" s="4">
        <f>88000+110000+220000</f>
        <v>418000</v>
      </c>
      <c r="I186" s="9">
        <f t="shared" si="107"/>
        <v>1159983</v>
      </c>
      <c r="J186" s="4"/>
      <c r="K186" s="4"/>
      <c r="L186" s="4"/>
      <c r="M186" s="9">
        <f t="shared" si="108"/>
        <v>0</v>
      </c>
      <c r="N186" s="20"/>
      <c r="O186" s="22">
        <v>1078065</v>
      </c>
      <c r="P186" s="4">
        <v>2130000</v>
      </c>
      <c r="Q186" s="9">
        <f t="shared" si="109"/>
        <v>3208065</v>
      </c>
      <c r="R186" s="20"/>
      <c r="S186" s="25">
        <v>1012650</v>
      </c>
      <c r="T186" s="24">
        <v>477000</v>
      </c>
      <c r="U186" s="21">
        <f t="shared" si="110"/>
        <v>1489650</v>
      </c>
      <c r="V186" s="25"/>
      <c r="W186" s="25"/>
      <c r="X186" s="25"/>
      <c r="Y186" s="21">
        <f t="shared" si="111"/>
        <v>0</v>
      </c>
      <c r="Z186" s="4">
        <f t="shared" si="112"/>
        <v>0</v>
      </c>
      <c r="AA186" s="4">
        <f t="shared" si="113"/>
        <v>2832698</v>
      </c>
      <c r="AB186" s="4">
        <f t="shared" si="114"/>
        <v>3025000</v>
      </c>
      <c r="AC186" s="9">
        <f t="shared" si="115"/>
        <v>5857698</v>
      </c>
    </row>
    <row r="187" spans="1:29">
      <c r="A187" s="8">
        <v>16</v>
      </c>
      <c r="B187" s="190"/>
      <c r="C187" s="1" t="s">
        <v>334</v>
      </c>
      <c r="D187" s="4" t="s">
        <v>335</v>
      </c>
      <c r="E187" s="4" t="s">
        <v>24</v>
      </c>
      <c r="F187" s="4"/>
      <c r="G187" s="4">
        <v>155000</v>
      </c>
      <c r="H187" s="4"/>
      <c r="I187" s="9">
        <f t="shared" si="107"/>
        <v>155000</v>
      </c>
      <c r="J187" s="4"/>
      <c r="K187" s="4"/>
      <c r="L187" s="4"/>
      <c r="M187" s="9">
        <f t="shared" si="108"/>
        <v>0</v>
      </c>
      <c r="N187" s="20"/>
      <c r="O187" s="20"/>
      <c r="P187" s="20"/>
      <c r="Q187" s="9">
        <f t="shared" si="109"/>
        <v>0</v>
      </c>
      <c r="R187" s="20"/>
      <c r="S187" s="25">
        <v>841750</v>
      </c>
      <c r="T187" s="20"/>
      <c r="U187" s="21">
        <f t="shared" si="110"/>
        <v>841750</v>
      </c>
      <c r="V187" s="25"/>
      <c r="W187" s="25">
        <v>100000</v>
      </c>
      <c r="X187" s="25"/>
      <c r="Y187" s="21">
        <f t="shared" si="111"/>
        <v>100000</v>
      </c>
      <c r="Z187" s="4">
        <f t="shared" si="112"/>
        <v>0</v>
      </c>
      <c r="AA187" s="4">
        <f t="shared" si="113"/>
        <v>1096750</v>
      </c>
      <c r="AB187" s="4">
        <f t="shared" si="114"/>
        <v>0</v>
      </c>
      <c r="AC187" s="9">
        <f t="shared" si="115"/>
        <v>1096750</v>
      </c>
    </row>
    <row r="188" spans="1:29">
      <c r="A188" s="8">
        <v>17</v>
      </c>
      <c r="B188" s="190"/>
      <c r="C188" s="1" t="s">
        <v>336</v>
      </c>
      <c r="D188" s="4" t="s">
        <v>26</v>
      </c>
      <c r="E188" s="4" t="s">
        <v>24</v>
      </c>
      <c r="F188" s="4">
        <v>155000</v>
      </c>
      <c r="G188" s="4">
        <v>412000</v>
      </c>
      <c r="H188" s="4">
        <f>38500+209000</f>
        <v>247500</v>
      </c>
      <c r="I188" s="9">
        <f t="shared" si="107"/>
        <v>814500</v>
      </c>
      <c r="J188" s="4"/>
      <c r="K188" s="4"/>
      <c r="L188" s="4"/>
      <c r="M188" s="9">
        <f t="shared" si="108"/>
        <v>0</v>
      </c>
      <c r="N188" s="20"/>
      <c r="O188" s="20"/>
      <c r="P188" s="20"/>
      <c r="Q188" s="9">
        <f t="shared" si="109"/>
        <v>0</v>
      </c>
      <c r="R188" s="20">
        <v>195000</v>
      </c>
      <c r="S188" s="25">
        <v>689400</v>
      </c>
      <c r="T188" s="24">
        <v>235500</v>
      </c>
      <c r="U188" s="21">
        <f t="shared" si="110"/>
        <v>1119900</v>
      </c>
      <c r="V188" s="25"/>
      <c r="W188" s="25">
        <v>100000</v>
      </c>
      <c r="X188" s="25">
        <v>432000</v>
      </c>
      <c r="Y188" s="21">
        <f t="shared" si="111"/>
        <v>532000</v>
      </c>
      <c r="Z188" s="4">
        <f t="shared" si="112"/>
        <v>350000</v>
      </c>
      <c r="AA188" s="4">
        <f t="shared" si="113"/>
        <v>1201400</v>
      </c>
      <c r="AB188" s="4">
        <f t="shared" si="114"/>
        <v>915000</v>
      </c>
      <c r="AC188" s="9">
        <f t="shared" si="115"/>
        <v>2466400</v>
      </c>
    </row>
    <row r="189" spans="1:29">
      <c r="A189" s="8">
        <v>18</v>
      </c>
      <c r="B189" s="190"/>
      <c r="C189" s="1" t="s">
        <v>337</v>
      </c>
      <c r="D189" s="4"/>
      <c r="E189" s="4" t="s">
        <v>24</v>
      </c>
      <c r="F189" s="4"/>
      <c r="G189" s="4"/>
      <c r="H189" s="4"/>
      <c r="I189" s="9">
        <f t="shared" si="107"/>
        <v>0</v>
      </c>
      <c r="J189" s="4"/>
      <c r="K189" s="4"/>
      <c r="L189" s="4"/>
      <c r="M189" s="9">
        <f t="shared" si="108"/>
        <v>0</v>
      </c>
      <c r="N189" s="20"/>
      <c r="O189" s="20"/>
      <c r="P189" s="20"/>
      <c r="Q189" s="9">
        <f t="shared" si="109"/>
        <v>0</v>
      </c>
      <c r="R189" s="20"/>
      <c r="S189" s="25">
        <v>195000</v>
      </c>
      <c r="T189" s="20"/>
      <c r="U189" s="21">
        <f t="shared" si="110"/>
        <v>195000</v>
      </c>
      <c r="V189" s="25"/>
      <c r="W189" s="25"/>
      <c r="X189" s="25"/>
      <c r="Y189" s="21">
        <f t="shared" si="111"/>
        <v>0</v>
      </c>
      <c r="Z189" s="4">
        <f t="shared" si="112"/>
        <v>0</v>
      </c>
      <c r="AA189" s="4">
        <f t="shared" si="113"/>
        <v>195000</v>
      </c>
      <c r="AB189" s="4">
        <f t="shared" si="114"/>
        <v>0</v>
      </c>
      <c r="AC189" s="9">
        <f t="shared" si="115"/>
        <v>195000</v>
      </c>
    </row>
    <row r="190" spans="1:29" ht="31.5">
      <c r="A190" s="8">
        <v>19</v>
      </c>
      <c r="B190" s="190"/>
      <c r="C190" s="1" t="s">
        <v>338</v>
      </c>
      <c r="D190" s="4" t="s">
        <v>26</v>
      </c>
      <c r="E190" s="4" t="s">
        <v>24</v>
      </c>
      <c r="F190" s="4">
        <v>155000</v>
      </c>
      <c r="G190" s="4">
        <v>343000</v>
      </c>
      <c r="H190" s="4">
        <f>77000+38500</f>
        <v>115500</v>
      </c>
      <c r="I190" s="9">
        <f t="shared" si="107"/>
        <v>613500</v>
      </c>
      <c r="J190" s="4"/>
      <c r="K190" s="4"/>
      <c r="L190" s="4"/>
      <c r="M190" s="9">
        <f t="shared" si="108"/>
        <v>0</v>
      </c>
      <c r="N190" s="20"/>
      <c r="O190" s="20"/>
      <c r="P190" s="20"/>
      <c r="Q190" s="9">
        <f t="shared" si="109"/>
        <v>0</v>
      </c>
      <c r="R190" s="20">
        <v>195000</v>
      </c>
      <c r="S190" s="25">
        <v>835150</v>
      </c>
      <c r="T190" s="24">
        <v>494400</v>
      </c>
      <c r="U190" s="21">
        <f t="shared" si="110"/>
        <v>1524550</v>
      </c>
      <c r="V190" s="25"/>
      <c r="W190" s="25"/>
      <c r="X190" s="25"/>
      <c r="Y190" s="21">
        <f t="shared" si="111"/>
        <v>0</v>
      </c>
      <c r="Z190" s="4">
        <f t="shared" si="112"/>
        <v>350000</v>
      </c>
      <c r="AA190" s="4">
        <f t="shared" si="113"/>
        <v>1178150</v>
      </c>
      <c r="AB190" s="4">
        <f t="shared" si="114"/>
        <v>609900</v>
      </c>
      <c r="AC190" s="9">
        <f t="shared" si="115"/>
        <v>2138050</v>
      </c>
    </row>
    <row r="191" spans="1:29">
      <c r="A191" s="8">
        <v>20</v>
      </c>
      <c r="B191" s="190"/>
      <c r="C191" s="1" t="s">
        <v>339</v>
      </c>
      <c r="D191" s="4" t="s">
        <v>335</v>
      </c>
      <c r="E191" s="4" t="s">
        <v>24</v>
      </c>
      <c r="F191" s="4"/>
      <c r="G191" s="4">
        <v>155000</v>
      </c>
      <c r="H191" s="4">
        <f>397500+88000</f>
        <v>485500</v>
      </c>
      <c r="I191" s="9">
        <f t="shared" si="107"/>
        <v>640500</v>
      </c>
      <c r="J191" s="4"/>
      <c r="K191" s="4"/>
      <c r="L191" s="4"/>
      <c r="M191" s="9">
        <f t="shared" si="108"/>
        <v>0</v>
      </c>
      <c r="N191" s="20"/>
      <c r="O191" s="20"/>
      <c r="P191" s="20"/>
      <c r="Q191" s="9">
        <f t="shared" si="109"/>
        <v>0</v>
      </c>
      <c r="R191" s="20"/>
      <c r="S191" s="20"/>
      <c r="T191" s="20"/>
      <c r="U191" s="21">
        <f t="shared" si="110"/>
        <v>0</v>
      </c>
      <c r="V191" s="25"/>
      <c r="W191" s="25"/>
      <c r="X191" s="25">
        <v>100000</v>
      </c>
      <c r="Y191" s="21">
        <f t="shared" si="111"/>
        <v>100000</v>
      </c>
      <c r="Z191" s="4">
        <f t="shared" si="112"/>
        <v>0</v>
      </c>
      <c r="AA191" s="4">
        <f t="shared" si="113"/>
        <v>155000</v>
      </c>
      <c r="AB191" s="4">
        <f t="shared" si="114"/>
        <v>585500</v>
      </c>
      <c r="AC191" s="9">
        <f t="shared" si="115"/>
        <v>740500</v>
      </c>
    </row>
    <row r="192" spans="1:29">
      <c r="A192" s="8">
        <v>21</v>
      </c>
      <c r="B192" s="190"/>
      <c r="C192" s="1" t="s">
        <v>340</v>
      </c>
      <c r="D192" s="4" t="s">
        <v>341</v>
      </c>
      <c r="E192" s="4" t="s">
        <v>24</v>
      </c>
      <c r="F192" s="4">
        <v>155000</v>
      </c>
      <c r="G192" s="4">
        <v>762000</v>
      </c>
      <c r="H192" s="4">
        <f>93500+187000+291500</f>
        <v>572000</v>
      </c>
      <c r="I192" s="9">
        <f t="shared" si="107"/>
        <v>1489000</v>
      </c>
      <c r="J192" s="76"/>
      <c r="K192" s="76">
        <v>290000</v>
      </c>
      <c r="L192" s="76">
        <v>800000</v>
      </c>
      <c r="M192" s="9">
        <f t="shared" si="108"/>
        <v>1090000</v>
      </c>
      <c r="N192" s="20"/>
      <c r="O192" s="20"/>
      <c r="P192" s="20"/>
      <c r="Q192" s="9">
        <f t="shared" si="109"/>
        <v>0</v>
      </c>
      <c r="R192" s="20">
        <v>195000</v>
      </c>
      <c r="S192" s="25">
        <v>953000</v>
      </c>
      <c r="T192" s="24">
        <v>722650</v>
      </c>
      <c r="U192" s="21">
        <f t="shared" si="110"/>
        <v>1870650</v>
      </c>
      <c r="V192" s="25"/>
      <c r="W192" s="25"/>
      <c r="X192" s="25"/>
      <c r="Y192" s="21">
        <f t="shared" si="111"/>
        <v>0</v>
      </c>
      <c r="Z192" s="4">
        <f t="shared" si="112"/>
        <v>350000</v>
      </c>
      <c r="AA192" s="4">
        <f t="shared" si="113"/>
        <v>2005000</v>
      </c>
      <c r="AB192" s="4">
        <f t="shared" si="114"/>
        <v>2094650</v>
      </c>
      <c r="AC192" s="9">
        <f t="shared" si="115"/>
        <v>4449650</v>
      </c>
    </row>
    <row r="193" spans="1:29" ht="31.5">
      <c r="A193" s="8">
        <v>22</v>
      </c>
      <c r="B193" s="190"/>
      <c r="C193" s="1" t="s">
        <v>342</v>
      </c>
      <c r="D193" s="4" t="s">
        <v>343</v>
      </c>
      <c r="E193" s="4" t="s">
        <v>24</v>
      </c>
      <c r="F193" s="4"/>
      <c r="G193" s="4">
        <v>155000</v>
      </c>
      <c r="H193" s="4">
        <f>341000+214500</f>
        <v>555500</v>
      </c>
      <c r="I193" s="9">
        <f t="shared" si="107"/>
        <v>710500</v>
      </c>
      <c r="J193" s="76"/>
      <c r="K193" s="76">
        <v>1140000</v>
      </c>
      <c r="L193" s="76">
        <v>670000</v>
      </c>
      <c r="M193" s="9">
        <f t="shared" si="108"/>
        <v>1810000</v>
      </c>
      <c r="N193" s="20"/>
      <c r="O193" s="20"/>
      <c r="P193" s="20"/>
      <c r="Q193" s="9">
        <f t="shared" si="109"/>
        <v>0</v>
      </c>
      <c r="R193" s="20"/>
      <c r="S193" s="20"/>
      <c r="T193" s="20"/>
      <c r="U193" s="21">
        <f t="shared" si="110"/>
        <v>0</v>
      </c>
      <c r="V193" s="25"/>
      <c r="W193" s="25"/>
      <c r="X193" s="25"/>
      <c r="Y193" s="21">
        <f t="shared" si="111"/>
        <v>0</v>
      </c>
      <c r="Z193" s="4">
        <f t="shared" si="112"/>
        <v>0</v>
      </c>
      <c r="AA193" s="4">
        <f t="shared" si="113"/>
        <v>1295000</v>
      </c>
      <c r="AB193" s="4">
        <f t="shared" si="114"/>
        <v>1225500</v>
      </c>
      <c r="AC193" s="9">
        <f t="shared" si="115"/>
        <v>2520500</v>
      </c>
    </row>
    <row r="194" spans="1:29" ht="47.25">
      <c r="A194" s="8">
        <v>23</v>
      </c>
      <c r="B194" s="190"/>
      <c r="C194" s="1" t="s">
        <v>344</v>
      </c>
      <c r="D194" s="4" t="s">
        <v>345</v>
      </c>
      <c r="E194" s="4" t="s">
        <v>24</v>
      </c>
      <c r="F194" s="4"/>
      <c r="G194" s="4"/>
      <c r="H194" s="4">
        <v>155000</v>
      </c>
      <c r="I194" s="9">
        <f t="shared" si="107"/>
        <v>155000</v>
      </c>
      <c r="J194" s="4"/>
      <c r="K194" s="4"/>
      <c r="L194" s="4"/>
      <c r="M194" s="9">
        <f t="shared" si="108"/>
        <v>0</v>
      </c>
      <c r="N194" s="20"/>
      <c r="O194" s="20"/>
      <c r="P194" s="20"/>
      <c r="Q194" s="9">
        <f t="shared" si="109"/>
        <v>0</v>
      </c>
      <c r="R194" s="20"/>
      <c r="S194" s="20">
        <v>195000</v>
      </c>
      <c r="T194" s="20"/>
      <c r="U194" s="21">
        <f t="shared" si="110"/>
        <v>195000</v>
      </c>
      <c r="V194" s="25"/>
      <c r="W194" s="25"/>
      <c r="X194" s="25"/>
      <c r="Y194" s="21">
        <f t="shared" si="111"/>
        <v>0</v>
      </c>
      <c r="Z194" s="4">
        <f t="shared" si="112"/>
        <v>0</v>
      </c>
      <c r="AA194" s="4">
        <f t="shared" si="113"/>
        <v>195000</v>
      </c>
      <c r="AB194" s="4">
        <f t="shared" si="114"/>
        <v>155000</v>
      </c>
      <c r="AC194" s="9">
        <f t="shared" si="115"/>
        <v>350000</v>
      </c>
    </row>
    <row r="195" spans="1:29">
      <c r="A195" s="8">
        <v>24</v>
      </c>
      <c r="B195" s="190"/>
      <c r="C195" s="1" t="s">
        <v>346</v>
      </c>
      <c r="D195" s="4" t="s">
        <v>347</v>
      </c>
      <c r="E195" s="4" t="s">
        <v>24</v>
      </c>
      <c r="F195" s="4">
        <v>155000</v>
      </c>
      <c r="G195" s="4">
        <v>927000</v>
      </c>
      <c r="H195" s="4">
        <f>209000+313500</f>
        <v>522500</v>
      </c>
      <c r="I195" s="9">
        <f t="shared" si="107"/>
        <v>1604500</v>
      </c>
      <c r="J195" s="76"/>
      <c r="K195" s="76">
        <v>1340000</v>
      </c>
      <c r="L195" s="76">
        <v>980000</v>
      </c>
      <c r="M195" s="9">
        <f t="shared" si="108"/>
        <v>2320000</v>
      </c>
      <c r="N195" s="20">
        <v>290000</v>
      </c>
      <c r="O195" s="22">
        <v>1323000</v>
      </c>
      <c r="P195" s="4">
        <v>741000</v>
      </c>
      <c r="Q195" s="9">
        <f t="shared" si="109"/>
        <v>2354000</v>
      </c>
      <c r="R195" s="20"/>
      <c r="S195" s="20">
        <v>195000</v>
      </c>
      <c r="T195" s="24">
        <v>297250</v>
      </c>
      <c r="U195" s="21">
        <f t="shared" si="110"/>
        <v>492250</v>
      </c>
      <c r="V195" s="25"/>
      <c r="W195" s="25">
        <v>100000</v>
      </c>
      <c r="X195" s="25">
        <v>220800</v>
      </c>
      <c r="Y195" s="21">
        <f t="shared" si="111"/>
        <v>320800</v>
      </c>
      <c r="Z195" s="4">
        <f t="shared" si="112"/>
        <v>445000</v>
      </c>
      <c r="AA195" s="4">
        <f t="shared" si="113"/>
        <v>3885000</v>
      </c>
      <c r="AB195" s="4">
        <f t="shared" si="114"/>
        <v>2761550</v>
      </c>
      <c r="AC195" s="9">
        <f t="shared" si="115"/>
        <v>7091550</v>
      </c>
    </row>
    <row r="196" spans="1:29">
      <c r="A196" s="8">
        <v>25</v>
      </c>
      <c r="B196" s="190"/>
      <c r="C196" s="1" t="s">
        <v>348</v>
      </c>
      <c r="D196" s="4"/>
      <c r="E196" s="4" t="s">
        <v>24</v>
      </c>
      <c r="F196" s="4"/>
      <c r="G196" s="4"/>
      <c r="H196" s="4"/>
      <c r="I196" s="9">
        <f t="shared" si="107"/>
        <v>0</v>
      </c>
      <c r="J196" s="4"/>
      <c r="K196" s="4"/>
      <c r="L196" s="4"/>
      <c r="M196" s="9">
        <f t="shared" si="108"/>
        <v>0</v>
      </c>
      <c r="N196" s="20"/>
      <c r="O196" s="20"/>
      <c r="P196" s="20"/>
      <c r="Q196" s="9">
        <f t="shared" si="109"/>
        <v>0</v>
      </c>
      <c r="R196" s="20"/>
      <c r="S196" s="20">
        <v>195000</v>
      </c>
      <c r="T196" s="24"/>
      <c r="U196" s="21">
        <f t="shared" si="110"/>
        <v>195000</v>
      </c>
      <c r="V196" s="25"/>
      <c r="W196" s="25"/>
      <c r="X196" s="25"/>
      <c r="Y196" s="21">
        <f t="shared" si="111"/>
        <v>0</v>
      </c>
      <c r="Z196" s="4">
        <f t="shared" si="112"/>
        <v>0</v>
      </c>
      <c r="AA196" s="4">
        <f t="shared" si="113"/>
        <v>195000</v>
      </c>
      <c r="AB196" s="4">
        <f t="shared" si="114"/>
        <v>0</v>
      </c>
      <c r="AC196" s="9">
        <f t="shared" si="115"/>
        <v>195000</v>
      </c>
    </row>
    <row r="197" spans="1:29">
      <c r="A197" s="8"/>
      <c r="B197" s="190"/>
      <c r="C197" s="63" t="s">
        <v>349</v>
      </c>
      <c r="D197" s="4"/>
      <c r="E197" s="4" t="s">
        <v>24</v>
      </c>
      <c r="F197" s="4"/>
      <c r="G197" s="4"/>
      <c r="H197" s="4"/>
      <c r="I197" s="9">
        <f t="shared" si="107"/>
        <v>0</v>
      </c>
      <c r="J197" s="4"/>
      <c r="K197" s="4"/>
      <c r="L197" s="4"/>
      <c r="M197" s="9">
        <f t="shared" si="108"/>
        <v>0</v>
      </c>
      <c r="N197" s="20"/>
      <c r="O197" s="20"/>
      <c r="P197" s="20"/>
      <c r="Q197" s="9">
        <f t="shared" si="109"/>
        <v>0</v>
      </c>
      <c r="R197" s="20"/>
      <c r="S197" s="20">
        <v>258750</v>
      </c>
      <c r="T197" s="24">
        <v>359000</v>
      </c>
      <c r="U197" s="21">
        <f t="shared" si="110"/>
        <v>617750</v>
      </c>
      <c r="V197" s="25"/>
      <c r="W197" s="25"/>
      <c r="X197" s="25"/>
      <c r="Y197" s="21">
        <f t="shared" si="111"/>
        <v>0</v>
      </c>
      <c r="Z197" s="4">
        <f t="shared" si="112"/>
        <v>0</v>
      </c>
      <c r="AA197" s="4">
        <f t="shared" si="113"/>
        <v>258750</v>
      </c>
      <c r="AB197" s="4">
        <f t="shared" si="114"/>
        <v>359000</v>
      </c>
      <c r="AC197" s="9">
        <f t="shared" si="115"/>
        <v>617750</v>
      </c>
    </row>
    <row r="198" spans="1:29">
      <c r="A198" s="8">
        <v>26</v>
      </c>
      <c r="B198" s="190"/>
      <c r="C198" s="2" t="s">
        <v>350</v>
      </c>
      <c r="D198" s="4" t="s">
        <v>347</v>
      </c>
      <c r="E198" s="4" t="s">
        <v>24</v>
      </c>
      <c r="F198" s="4"/>
      <c r="G198" s="4"/>
      <c r="H198" s="4"/>
      <c r="I198" s="9">
        <f t="shared" si="107"/>
        <v>0</v>
      </c>
      <c r="J198" s="4"/>
      <c r="K198" s="4"/>
      <c r="L198" s="4"/>
      <c r="M198" s="9">
        <f t="shared" si="108"/>
        <v>0</v>
      </c>
      <c r="N198" s="20"/>
      <c r="O198" s="20"/>
      <c r="P198" s="20"/>
      <c r="Q198" s="9">
        <f t="shared" si="109"/>
        <v>0</v>
      </c>
      <c r="R198" s="20"/>
      <c r="S198" s="20"/>
      <c r="T198" s="24"/>
      <c r="U198" s="21">
        <f t="shared" si="110"/>
        <v>0</v>
      </c>
      <c r="V198" s="25"/>
      <c r="W198" s="25">
        <v>100000</v>
      </c>
      <c r="X198" s="25">
        <v>540000</v>
      </c>
      <c r="Y198" s="21">
        <f t="shared" si="111"/>
        <v>640000</v>
      </c>
      <c r="Z198" s="4">
        <f t="shared" si="112"/>
        <v>0</v>
      </c>
      <c r="AA198" s="4">
        <f t="shared" si="113"/>
        <v>100000</v>
      </c>
      <c r="AB198" s="4">
        <f t="shared" si="114"/>
        <v>540000</v>
      </c>
      <c r="AC198" s="9">
        <f t="shared" si="115"/>
        <v>640000</v>
      </c>
    </row>
    <row r="199" spans="1:29" ht="31.5">
      <c r="A199" s="8">
        <v>27</v>
      </c>
      <c r="B199" s="190"/>
      <c r="C199" s="1" t="s">
        <v>351</v>
      </c>
      <c r="D199" s="4"/>
      <c r="E199" s="4" t="s">
        <v>24</v>
      </c>
      <c r="F199" s="4"/>
      <c r="G199" s="4"/>
      <c r="H199" s="4"/>
      <c r="I199" s="9">
        <f t="shared" si="107"/>
        <v>0</v>
      </c>
      <c r="J199" s="4"/>
      <c r="K199" s="4"/>
      <c r="L199" s="4"/>
      <c r="M199" s="9">
        <f t="shared" si="108"/>
        <v>0</v>
      </c>
      <c r="N199" s="20"/>
      <c r="O199" s="20"/>
      <c r="P199" s="20"/>
      <c r="Q199" s="9">
        <f t="shared" si="109"/>
        <v>0</v>
      </c>
      <c r="R199" s="20"/>
      <c r="S199" s="20"/>
      <c r="T199" s="24">
        <v>195000</v>
      </c>
      <c r="U199" s="21">
        <f t="shared" si="110"/>
        <v>195000</v>
      </c>
      <c r="V199" s="25"/>
      <c r="W199" s="25"/>
      <c r="X199" s="25"/>
      <c r="Y199" s="21">
        <f t="shared" si="111"/>
        <v>0</v>
      </c>
      <c r="Z199" s="4">
        <f t="shared" si="112"/>
        <v>0</v>
      </c>
      <c r="AA199" s="4">
        <f t="shared" si="113"/>
        <v>0</v>
      </c>
      <c r="AB199" s="4">
        <f t="shared" si="114"/>
        <v>195000</v>
      </c>
      <c r="AC199" s="9">
        <f t="shared" si="115"/>
        <v>195000</v>
      </c>
    </row>
    <row r="200" spans="1:29" ht="31.5">
      <c r="A200" s="8">
        <v>28</v>
      </c>
      <c r="B200" s="190"/>
      <c r="C200" s="1" t="s">
        <v>352</v>
      </c>
      <c r="D200" s="4" t="s">
        <v>309</v>
      </c>
      <c r="E200" s="4" t="s">
        <v>24</v>
      </c>
      <c r="F200" s="4"/>
      <c r="G200" s="4"/>
      <c r="H200" s="4">
        <v>155000</v>
      </c>
      <c r="I200" s="9">
        <f t="shared" si="107"/>
        <v>155000</v>
      </c>
      <c r="J200" s="4"/>
      <c r="K200" s="4"/>
      <c r="L200" s="4"/>
      <c r="M200" s="9">
        <f t="shared" si="108"/>
        <v>0</v>
      </c>
      <c r="N200" s="20"/>
      <c r="O200" s="20"/>
      <c r="P200" s="20"/>
      <c r="Q200" s="9">
        <f t="shared" si="109"/>
        <v>0</v>
      </c>
      <c r="R200" s="20"/>
      <c r="S200" s="20"/>
      <c r="T200" s="20">
        <v>195000</v>
      </c>
      <c r="U200" s="21">
        <f t="shared" si="110"/>
        <v>195000</v>
      </c>
      <c r="V200" s="25"/>
      <c r="W200" s="25"/>
      <c r="X200" s="25">
        <v>100000</v>
      </c>
      <c r="Y200" s="21">
        <f t="shared" si="111"/>
        <v>100000</v>
      </c>
      <c r="Z200" s="4">
        <f t="shared" si="112"/>
        <v>0</v>
      </c>
      <c r="AA200" s="4">
        <f t="shared" si="113"/>
        <v>0</v>
      </c>
      <c r="AB200" s="4">
        <f t="shared" si="114"/>
        <v>450000</v>
      </c>
      <c r="AC200" s="9">
        <f t="shared" si="115"/>
        <v>450000</v>
      </c>
    </row>
    <row r="201" spans="1:29" ht="31.5">
      <c r="A201" s="8">
        <v>29</v>
      </c>
      <c r="B201" s="190"/>
      <c r="C201" s="1" t="s">
        <v>353</v>
      </c>
      <c r="D201" s="46" t="s">
        <v>354</v>
      </c>
      <c r="E201" s="4" t="s">
        <v>24</v>
      </c>
      <c r="F201" s="4"/>
      <c r="G201" s="4"/>
      <c r="H201" s="4"/>
      <c r="I201" s="9">
        <f t="shared" si="107"/>
        <v>0</v>
      </c>
      <c r="J201" s="4"/>
      <c r="K201" s="4"/>
      <c r="L201" s="4"/>
      <c r="M201" s="9">
        <f t="shared" si="108"/>
        <v>0</v>
      </c>
      <c r="N201" s="20">
        <v>290000</v>
      </c>
      <c r="O201" s="22">
        <v>1092000</v>
      </c>
      <c r="P201" s="4">
        <v>196000</v>
      </c>
      <c r="Q201" s="9">
        <f t="shared" si="109"/>
        <v>1578000</v>
      </c>
      <c r="R201" s="20">
        <v>195000</v>
      </c>
      <c r="S201" s="25">
        <v>1321050</v>
      </c>
      <c r="T201" s="24">
        <v>562600</v>
      </c>
      <c r="U201" s="21">
        <f t="shared" si="110"/>
        <v>2078650</v>
      </c>
      <c r="V201" s="25"/>
      <c r="W201" s="25"/>
      <c r="X201" s="25"/>
      <c r="Y201" s="21">
        <f t="shared" si="111"/>
        <v>0</v>
      </c>
      <c r="Z201" s="4">
        <f t="shared" si="112"/>
        <v>485000</v>
      </c>
      <c r="AA201" s="4">
        <f t="shared" si="113"/>
        <v>2413050</v>
      </c>
      <c r="AB201" s="4">
        <f t="shared" si="114"/>
        <v>758600</v>
      </c>
      <c r="AC201" s="9">
        <f t="shared" si="115"/>
        <v>3656650</v>
      </c>
    </row>
    <row r="202" spans="1:29" ht="48.75" customHeight="1">
      <c r="A202" s="8">
        <v>30</v>
      </c>
      <c r="B202" s="190"/>
      <c r="C202" s="1" t="s">
        <v>355</v>
      </c>
      <c r="D202" s="4" t="s">
        <v>335</v>
      </c>
      <c r="E202" s="4" t="s">
        <v>24</v>
      </c>
      <c r="F202" s="4">
        <v>155000</v>
      </c>
      <c r="G202" s="4">
        <v>247000</v>
      </c>
      <c r="H202" s="4"/>
      <c r="I202" s="9">
        <f t="shared" si="107"/>
        <v>402000</v>
      </c>
      <c r="J202" s="76">
        <v>290000</v>
      </c>
      <c r="K202" s="76">
        <v>990000</v>
      </c>
      <c r="L202" s="76"/>
      <c r="M202" s="9">
        <f t="shared" si="108"/>
        <v>1280000</v>
      </c>
      <c r="N202" s="20">
        <v>290000</v>
      </c>
      <c r="O202" s="22">
        <v>177414</v>
      </c>
      <c r="P202" s="4"/>
      <c r="Q202" s="9">
        <f t="shared" si="109"/>
        <v>467414</v>
      </c>
      <c r="R202" s="20">
        <v>195000</v>
      </c>
      <c r="S202" s="25">
        <v>1144000</v>
      </c>
      <c r="T202" s="20"/>
      <c r="U202" s="21">
        <f t="shared" si="110"/>
        <v>1339000</v>
      </c>
      <c r="V202" s="25"/>
      <c r="W202" s="25">
        <v>100000</v>
      </c>
      <c r="X202" s="25"/>
      <c r="Y202" s="21">
        <f t="shared" si="111"/>
        <v>100000</v>
      </c>
      <c r="Z202" s="4">
        <f t="shared" si="112"/>
        <v>930000</v>
      </c>
      <c r="AA202" s="4">
        <f t="shared" si="113"/>
        <v>2658414</v>
      </c>
      <c r="AB202" s="4">
        <f t="shared" si="114"/>
        <v>0</v>
      </c>
      <c r="AC202" s="9">
        <f t="shared" si="115"/>
        <v>3588414</v>
      </c>
    </row>
    <row r="203" spans="1:29">
      <c r="A203" s="8">
        <v>31</v>
      </c>
      <c r="B203" s="190"/>
      <c r="C203" s="1" t="s">
        <v>356</v>
      </c>
      <c r="D203" s="4" t="s">
        <v>313</v>
      </c>
      <c r="E203" s="4" t="s">
        <v>24</v>
      </c>
      <c r="F203" s="4"/>
      <c r="G203" s="4"/>
      <c r="H203" s="4">
        <v>155000</v>
      </c>
      <c r="I203" s="9">
        <f t="shared" si="107"/>
        <v>155000</v>
      </c>
      <c r="J203" s="4"/>
      <c r="K203" s="4"/>
      <c r="L203" s="4"/>
      <c r="M203" s="9">
        <f t="shared" si="108"/>
        <v>0</v>
      </c>
      <c r="N203" s="20"/>
      <c r="O203" s="20"/>
      <c r="P203" s="4"/>
      <c r="Q203" s="9">
        <f t="shared" si="109"/>
        <v>0</v>
      </c>
      <c r="R203" s="20"/>
      <c r="S203" s="20">
        <v>195000</v>
      </c>
      <c r="T203" s="20"/>
      <c r="U203" s="21">
        <f t="shared" si="110"/>
        <v>195000</v>
      </c>
      <c r="V203" s="25"/>
      <c r="W203" s="25"/>
      <c r="X203" s="25"/>
      <c r="Y203" s="21">
        <f t="shared" si="111"/>
        <v>0</v>
      </c>
      <c r="Z203" s="4">
        <f t="shared" si="112"/>
        <v>0</v>
      </c>
      <c r="AA203" s="4">
        <f t="shared" si="113"/>
        <v>195000</v>
      </c>
      <c r="AB203" s="4">
        <f t="shared" si="114"/>
        <v>155000</v>
      </c>
      <c r="AC203" s="9">
        <f t="shared" si="115"/>
        <v>350000</v>
      </c>
    </row>
    <row r="204" spans="1:29" ht="31.5">
      <c r="A204" s="8">
        <v>32</v>
      </c>
      <c r="B204" s="190"/>
      <c r="C204" s="1" t="s">
        <v>357</v>
      </c>
      <c r="D204" s="12" t="s">
        <v>358</v>
      </c>
      <c r="E204" s="4" t="s">
        <v>24</v>
      </c>
      <c r="F204" s="4">
        <v>155000</v>
      </c>
      <c r="G204" s="4">
        <v>566000</v>
      </c>
      <c r="H204" s="4">
        <f>88000+93500+308000+20000</f>
        <v>509500</v>
      </c>
      <c r="I204" s="9">
        <f t="shared" si="107"/>
        <v>1230500</v>
      </c>
      <c r="J204" s="76">
        <v>290000</v>
      </c>
      <c r="K204" s="76">
        <v>1620000</v>
      </c>
      <c r="L204" s="76">
        <v>1490000</v>
      </c>
      <c r="M204" s="9">
        <f t="shared" si="108"/>
        <v>3400000</v>
      </c>
      <c r="N204" s="20"/>
      <c r="O204" s="20"/>
      <c r="P204" s="4"/>
      <c r="Q204" s="9">
        <f t="shared" si="109"/>
        <v>0</v>
      </c>
      <c r="R204" s="20">
        <v>195000</v>
      </c>
      <c r="S204" s="25">
        <v>840750</v>
      </c>
      <c r="T204" s="24">
        <v>537100</v>
      </c>
      <c r="U204" s="21">
        <f t="shared" si="110"/>
        <v>1572850</v>
      </c>
      <c r="V204" s="25"/>
      <c r="W204" s="25"/>
      <c r="X204" s="25"/>
      <c r="Y204" s="21">
        <f t="shared" si="111"/>
        <v>0</v>
      </c>
      <c r="Z204" s="4">
        <f t="shared" si="112"/>
        <v>640000</v>
      </c>
      <c r="AA204" s="4">
        <f t="shared" si="113"/>
        <v>3026750</v>
      </c>
      <c r="AB204" s="4">
        <f t="shared" si="114"/>
        <v>2536600</v>
      </c>
      <c r="AC204" s="9">
        <f t="shared" si="115"/>
        <v>6203350</v>
      </c>
    </row>
    <row r="205" spans="1:29">
      <c r="A205" s="8">
        <v>33</v>
      </c>
      <c r="B205" s="190"/>
      <c r="C205" s="42" t="s">
        <v>359</v>
      </c>
      <c r="D205" s="64" t="s">
        <v>360</v>
      </c>
      <c r="E205" s="4" t="s">
        <v>24</v>
      </c>
      <c r="F205" s="4"/>
      <c r="G205" s="4"/>
      <c r="H205" s="4"/>
      <c r="I205" s="9">
        <f t="shared" si="107"/>
        <v>0</v>
      </c>
      <c r="J205" s="4"/>
      <c r="K205" s="4"/>
      <c r="L205" s="4"/>
      <c r="M205" s="9">
        <f t="shared" si="108"/>
        <v>0</v>
      </c>
      <c r="N205" s="20"/>
      <c r="O205" s="22">
        <v>1550000</v>
      </c>
      <c r="P205" s="4">
        <v>2160000</v>
      </c>
      <c r="Q205" s="9">
        <f t="shared" si="109"/>
        <v>3710000</v>
      </c>
      <c r="R205" s="20"/>
      <c r="S205" s="25"/>
      <c r="T205" s="24"/>
      <c r="U205" s="21">
        <f t="shared" si="110"/>
        <v>0</v>
      </c>
      <c r="V205" s="25"/>
      <c r="W205" s="25"/>
      <c r="X205" s="25"/>
      <c r="Y205" s="21">
        <f t="shared" si="111"/>
        <v>0</v>
      </c>
      <c r="Z205" s="4">
        <f t="shared" si="112"/>
        <v>0</v>
      </c>
      <c r="AA205" s="4">
        <f t="shared" si="113"/>
        <v>1550000</v>
      </c>
      <c r="AB205" s="4">
        <f t="shared" si="114"/>
        <v>2160000</v>
      </c>
      <c r="AC205" s="9">
        <f t="shared" si="115"/>
        <v>3710000</v>
      </c>
    </row>
    <row r="206" spans="1:29">
      <c r="A206" s="8">
        <v>34</v>
      </c>
      <c r="B206" s="190"/>
      <c r="C206" s="2" t="s">
        <v>14</v>
      </c>
      <c r="D206" s="13" t="s">
        <v>26</v>
      </c>
      <c r="E206" s="4" t="s">
        <v>24</v>
      </c>
      <c r="F206" s="4"/>
      <c r="G206" s="4"/>
      <c r="H206" s="5"/>
      <c r="I206" s="9">
        <f t="shared" si="107"/>
        <v>0</v>
      </c>
      <c r="J206" s="4"/>
      <c r="K206" s="4"/>
      <c r="L206" s="4"/>
      <c r="M206" s="9">
        <f t="shared" si="108"/>
        <v>0</v>
      </c>
      <c r="N206" s="20"/>
      <c r="O206" s="26"/>
      <c r="P206" s="32"/>
      <c r="Q206" s="9">
        <f t="shared" si="109"/>
        <v>0</v>
      </c>
      <c r="R206" s="20"/>
      <c r="S206" s="25"/>
      <c r="T206" s="24"/>
      <c r="U206" s="21">
        <f t="shared" si="110"/>
        <v>0</v>
      </c>
      <c r="V206" s="25"/>
      <c r="W206" s="25">
        <v>100000</v>
      </c>
      <c r="X206" s="25"/>
      <c r="Y206" s="21">
        <f t="shared" si="111"/>
        <v>100000</v>
      </c>
      <c r="Z206" s="4">
        <f t="shared" si="112"/>
        <v>0</v>
      </c>
      <c r="AA206" s="4">
        <f t="shared" si="113"/>
        <v>100000</v>
      </c>
      <c r="AB206" s="4">
        <f t="shared" si="114"/>
        <v>0</v>
      </c>
      <c r="AC206" s="9">
        <f t="shared" si="115"/>
        <v>100000</v>
      </c>
    </row>
    <row r="207" spans="1:29">
      <c r="A207" s="8">
        <v>35</v>
      </c>
      <c r="B207" s="191"/>
      <c r="C207" s="1" t="s">
        <v>361</v>
      </c>
      <c r="D207" s="12"/>
      <c r="E207" s="4" t="s">
        <v>24</v>
      </c>
      <c r="F207" s="4"/>
      <c r="G207" s="4"/>
      <c r="H207" s="5"/>
      <c r="I207" s="9">
        <f t="shared" si="107"/>
        <v>0</v>
      </c>
      <c r="J207" s="4"/>
      <c r="K207" s="4"/>
      <c r="L207" s="4"/>
      <c r="M207" s="9">
        <f t="shared" si="108"/>
        <v>0</v>
      </c>
      <c r="N207" s="20"/>
      <c r="O207" s="20"/>
      <c r="P207" s="20"/>
      <c r="Q207" s="9">
        <f t="shared" si="109"/>
        <v>0</v>
      </c>
      <c r="R207" s="20"/>
      <c r="S207" s="25"/>
      <c r="T207" s="24">
        <v>627400</v>
      </c>
      <c r="U207" s="21">
        <f t="shared" si="110"/>
        <v>627400</v>
      </c>
      <c r="V207" s="25"/>
      <c r="W207" s="25"/>
      <c r="X207" s="25"/>
      <c r="Y207" s="21">
        <f t="shared" si="111"/>
        <v>0</v>
      </c>
      <c r="Z207" s="4">
        <f t="shared" si="112"/>
        <v>0</v>
      </c>
      <c r="AA207" s="4">
        <f t="shared" si="113"/>
        <v>0</v>
      </c>
      <c r="AB207" s="4">
        <f t="shared" si="114"/>
        <v>627400</v>
      </c>
      <c r="AC207" s="9">
        <f t="shared" si="115"/>
        <v>627400</v>
      </c>
    </row>
    <row r="208" spans="1:29" s="38" customFormat="1">
      <c r="A208" s="34"/>
      <c r="B208" s="34"/>
      <c r="C208" s="35" t="s">
        <v>362</v>
      </c>
      <c r="D208" s="37"/>
      <c r="E208" s="37"/>
      <c r="F208" s="37">
        <f>SUM(F172:F207)</f>
        <v>1395000</v>
      </c>
      <c r="G208" s="37">
        <f t="shared" ref="G208:AC208" si="116">SUM(G172:G207)</f>
        <v>7241483</v>
      </c>
      <c r="H208" s="37">
        <f t="shared" si="116"/>
        <v>6600000</v>
      </c>
      <c r="I208" s="37">
        <f t="shared" si="116"/>
        <v>15236483</v>
      </c>
      <c r="J208" s="37">
        <f t="shared" si="116"/>
        <v>580000</v>
      </c>
      <c r="K208" s="37">
        <f t="shared" si="116"/>
        <v>6390000</v>
      </c>
      <c r="L208" s="37">
        <f>SUM(L172:L207)</f>
        <v>5900000</v>
      </c>
      <c r="M208" s="37">
        <f t="shared" si="116"/>
        <v>12870000</v>
      </c>
      <c r="N208" s="39">
        <f t="shared" si="116"/>
        <v>1740000</v>
      </c>
      <c r="O208" s="39">
        <f t="shared" si="116"/>
        <v>7050479</v>
      </c>
      <c r="P208" s="39">
        <f t="shared" si="116"/>
        <v>7679000</v>
      </c>
      <c r="Q208" s="39">
        <f t="shared" si="116"/>
        <v>16469479</v>
      </c>
      <c r="R208" s="39">
        <f t="shared" si="116"/>
        <v>1950000</v>
      </c>
      <c r="S208" s="39">
        <f t="shared" si="116"/>
        <v>14238850</v>
      </c>
      <c r="T208" s="39">
        <f t="shared" si="116"/>
        <v>8484650</v>
      </c>
      <c r="U208" s="39">
        <f t="shared" si="116"/>
        <v>24673500</v>
      </c>
      <c r="V208" s="39">
        <f t="shared" si="116"/>
        <v>0</v>
      </c>
      <c r="W208" s="39">
        <f t="shared" si="116"/>
        <v>1476000</v>
      </c>
      <c r="X208" s="39">
        <f t="shared" si="116"/>
        <v>2935750</v>
      </c>
      <c r="Y208" s="39">
        <f t="shared" si="116"/>
        <v>4411750</v>
      </c>
      <c r="Z208" s="39">
        <f t="shared" si="116"/>
        <v>5665000</v>
      </c>
      <c r="AA208" s="39">
        <f t="shared" si="116"/>
        <v>36396812</v>
      </c>
      <c r="AB208" s="39">
        <f t="shared" si="116"/>
        <v>31599400</v>
      </c>
      <c r="AC208" s="39">
        <f t="shared" si="116"/>
        <v>73661212</v>
      </c>
    </row>
    <row r="209" spans="1:29" ht="31.5">
      <c r="A209" s="8">
        <v>1</v>
      </c>
      <c r="B209" s="82" t="s">
        <v>62</v>
      </c>
      <c r="C209" s="1" t="s">
        <v>8</v>
      </c>
      <c r="D209" s="4"/>
      <c r="E209" s="4" t="s">
        <v>62</v>
      </c>
      <c r="F209" s="4"/>
      <c r="G209" s="4"/>
      <c r="H209" s="5"/>
      <c r="I209" s="9">
        <f>SUM(F209:H209)</f>
        <v>0</v>
      </c>
      <c r="J209" s="76"/>
      <c r="K209" s="76"/>
      <c r="L209" s="76">
        <v>351999</v>
      </c>
      <c r="M209" s="9">
        <f>SUM(J209:L209)</f>
        <v>351999</v>
      </c>
      <c r="N209" s="20"/>
      <c r="O209" s="20"/>
      <c r="P209" s="20"/>
      <c r="Q209" s="9">
        <f>SUM(N209:P209)</f>
        <v>0</v>
      </c>
      <c r="R209" s="20"/>
      <c r="S209" s="25">
        <v>195000</v>
      </c>
      <c r="T209" s="20"/>
      <c r="U209" s="21">
        <f>SUM(R209:T209)</f>
        <v>195000</v>
      </c>
      <c r="V209" s="25"/>
      <c r="W209" s="25"/>
      <c r="X209" s="25"/>
      <c r="Y209" s="21">
        <f>SUM(V209:X209)</f>
        <v>0</v>
      </c>
      <c r="Z209" s="4">
        <f>F209+J209+N209+R209+V209</f>
        <v>0</v>
      </c>
      <c r="AA209" s="4">
        <f>G209+K209+O209+S209+W209</f>
        <v>195000</v>
      </c>
      <c r="AB209" s="4">
        <f>H209+L209+P209+T209+X209</f>
        <v>351999</v>
      </c>
      <c r="AC209" s="9">
        <f>SUM(Z209:AB209)</f>
        <v>546999</v>
      </c>
    </row>
    <row r="210" spans="1:29" s="38" customFormat="1">
      <c r="A210" s="34"/>
      <c r="B210" s="34"/>
      <c r="C210" s="35" t="s">
        <v>363</v>
      </c>
      <c r="D210" s="37"/>
      <c r="E210" s="37"/>
      <c r="F210" s="37">
        <f>SUM(F209)</f>
        <v>0</v>
      </c>
      <c r="G210" s="37">
        <f t="shared" ref="G210:AC210" si="117">SUM(G209)</f>
        <v>0</v>
      </c>
      <c r="H210" s="37">
        <f t="shared" si="117"/>
        <v>0</v>
      </c>
      <c r="I210" s="37">
        <f t="shared" si="117"/>
        <v>0</v>
      </c>
      <c r="J210" s="37">
        <f t="shared" si="117"/>
        <v>0</v>
      </c>
      <c r="K210" s="37">
        <f t="shared" si="117"/>
        <v>0</v>
      </c>
      <c r="L210" s="37">
        <f t="shared" si="117"/>
        <v>351999</v>
      </c>
      <c r="M210" s="37">
        <f t="shared" si="117"/>
        <v>351999</v>
      </c>
      <c r="N210" s="39">
        <f t="shared" si="117"/>
        <v>0</v>
      </c>
      <c r="O210" s="39">
        <f t="shared" si="117"/>
        <v>0</v>
      </c>
      <c r="P210" s="39">
        <f t="shared" si="117"/>
        <v>0</v>
      </c>
      <c r="Q210" s="39">
        <f t="shared" si="117"/>
        <v>0</v>
      </c>
      <c r="R210" s="39">
        <f t="shared" si="117"/>
        <v>0</v>
      </c>
      <c r="S210" s="39">
        <f t="shared" si="117"/>
        <v>195000</v>
      </c>
      <c r="T210" s="39">
        <f t="shared" si="117"/>
        <v>0</v>
      </c>
      <c r="U210" s="39">
        <f t="shared" si="117"/>
        <v>195000</v>
      </c>
      <c r="V210" s="39">
        <f t="shared" si="117"/>
        <v>0</v>
      </c>
      <c r="W210" s="39">
        <f t="shared" si="117"/>
        <v>0</v>
      </c>
      <c r="X210" s="39">
        <f t="shared" si="117"/>
        <v>0</v>
      </c>
      <c r="Y210" s="39">
        <f t="shared" si="117"/>
        <v>0</v>
      </c>
      <c r="Z210" s="39">
        <f t="shared" si="117"/>
        <v>0</v>
      </c>
      <c r="AA210" s="39">
        <f t="shared" si="117"/>
        <v>195000</v>
      </c>
      <c r="AB210" s="39">
        <f t="shared" si="117"/>
        <v>351999</v>
      </c>
      <c r="AC210" s="39">
        <f t="shared" si="117"/>
        <v>546999</v>
      </c>
    </row>
    <row r="211" spans="1:29">
      <c r="A211" s="8">
        <v>1</v>
      </c>
      <c r="B211" s="185" t="s">
        <v>23</v>
      </c>
      <c r="C211" s="1" t="s">
        <v>0</v>
      </c>
      <c r="D211" s="4" t="s">
        <v>22</v>
      </c>
      <c r="E211" s="4" t="s">
        <v>23</v>
      </c>
      <c r="F211" s="4"/>
      <c r="G211" s="4"/>
      <c r="H211" s="4">
        <v>155000</v>
      </c>
      <c r="I211" s="9">
        <f t="shared" ref="I211:I224" si="118">SUM(F211:H211)</f>
        <v>155000</v>
      </c>
      <c r="J211" s="76"/>
      <c r="K211" s="76"/>
      <c r="L211" s="76"/>
      <c r="M211" s="9">
        <f t="shared" ref="M211:M224" si="119">SUM(J211:L211)</f>
        <v>0</v>
      </c>
      <c r="N211" s="20"/>
      <c r="O211" s="20"/>
      <c r="P211" s="20"/>
      <c r="Q211" s="9">
        <f t="shared" ref="Q211:Q224" si="120">SUM(N211:P211)</f>
        <v>0</v>
      </c>
      <c r="R211" s="20"/>
      <c r="S211" s="20"/>
      <c r="T211" s="20"/>
      <c r="U211" s="21">
        <f t="shared" ref="U211:U224" si="121">SUM(R211:T211)</f>
        <v>0</v>
      </c>
      <c r="V211" s="25"/>
      <c r="W211" s="25"/>
      <c r="X211" s="25">
        <v>100000</v>
      </c>
      <c r="Y211" s="21">
        <f t="shared" ref="Y211:Y224" si="122">SUM(V211:X211)</f>
        <v>100000</v>
      </c>
      <c r="Z211" s="4">
        <f t="shared" ref="Z211:Z224" si="123">F211+J211+N211+R211+V211</f>
        <v>0</v>
      </c>
      <c r="AA211" s="4">
        <f t="shared" ref="AA211:AA224" si="124">G211+K211+O211+S211+W211</f>
        <v>0</v>
      </c>
      <c r="AB211" s="4">
        <f t="shared" ref="AB211:AB224" si="125">H211+L211+P211+T211+X211</f>
        <v>255000</v>
      </c>
      <c r="AC211" s="9">
        <f t="shared" ref="AC211:AC224" si="126">SUM(Z211:AB211)</f>
        <v>255000</v>
      </c>
    </row>
    <row r="212" spans="1:29" ht="31.5">
      <c r="A212" s="8">
        <v>2</v>
      </c>
      <c r="B212" s="186"/>
      <c r="C212" s="1" t="s">
        <v>364</v>
      </c>
      <c r="D212" s="4" t="s">
        <v>365</v>
      </c>
      <c r="E212" s="4" t="s">
        <v>23</v>
      </c>
      <c r="F212" s="4"/>
      <c r="G212" s="4">
        <f>399694+3753</f>
        <v>403447</v>
      </c>
      <c r="H212" s="4">
        <f>114500+65000+219000</f>
        <v>398500</v>
      </c>
      <c r="I212" s="9">
        <f t="shared" si="118"/>
        <v>801947</v>
      </c>
      <c r="J212" s="4"/>
      <c r="K212" s="4"/>
      <c r="L212" s="4"/>
      <c r="M212" s="9">
        <f t="shared" si="119"/>
        <v>0</v>
      </c>
      <c r="N212" s="20"/>
      <c r="O212" s="20"/>
      <c r="P212" s="20"/>
      <c r="Q212" s="9">
        <f t="shared" si="120"/>
        <v>0</v>
      </c>
      <c r="R212" s="20">
        <v>195000</v>
      </c>
      <c r="S212" s="25">
        <v>1079050</v>
      </c>
      <c r="T212" s="25">
        <v>1013650</v>
      </c>
      <c r="U212" s="21">
        <f t="shared" si="121"/>
        <v>2287700</v>
      </c>
      <c r="V212" s="25"/>
      <c r="W212" s="25"/>
      <c r="X212" s="25"/>
      <c r="Y212" s="21">
        <f t="shared" si="122"/>
        <v>0</v>
      </c>
      <c r="Z212" s="4">
        <f t="shared" si="123"/>
        <v>195000</v>
      </c>
      <c r="AA212" s="4">
        <f t="shared" si="124"/>
        <v>1482497</v>
      </c>
      <c r="AB212" s="4">
        <f t="shared" si="125"/>
        <v>1412150</v>
      </c>
      <c r="AC212" s="9">
        <f t="shared" si="126"/>
        <v>3089647</v>
      </c>
    </row>
    <row r="213" spans="1:29">
      <c r="A213" s="8">
        <v>3</v>
      </c>
      <c r="B213" s="186"/>
      <c r="C213" s="1" t="s">
        <v>366</v>
      </c>
      <c r="D213" s="4" t="s">
        <v>367</v>
      </c>
      <c r="E213" s="4" t="s">
        <v>23</v>
      </c>
      <c r="F213" s="4"/>
      <c r="G213" s="4"/>
      <c r="H213" s="4">
        <v>155000</v>
      </c>
      <c r="I213" s="9">
        <f t="shared" si="118"/>
        <v>155000</v>
      </c>
      <c r="J213" s="4"/>
      <c r="K213" s="4"/>
      <c r="L213" s="4"/>
      <c r="M213" s="9">
        <f t="shared" si="119"/>
        <v>0</v>
      </c>
      <c r="N213" s="20"/>
      <c r="O213" s="20"/>
      <c r="P213" s="20"/>
      <c r="Q213" s="9">
        <f t="shared" si="120"/>
        <v>0</v>
      </c>
      <c r="R213" s="20"/>
      <c r="S213" s="20"/>
      <c r="T213" s="20"/>
      <c r="U213" s="21">
        <f t="shared" si="121"/>
        <v>0</v>
      </c>
      <c r="V213" s="25"/>
      <c r="W213" s="25"/>
      <c r="X213" s="25"/>
      <c r="Y213" s="21">
        <f t="shared" si="122"/>
        <v>0</v>
      </c>
      <c r="Z213" s="4">
        <f t="shared" si="123"/>
        <v>0</v>
      </c>
      <c r="AA213" s="4">
        <f t="shared" si="124"/>
        <v>0</v>
      </c>
      <c r="AB213" s="4">
        <f t="shared" si="125"/>
        <v>155000</v>
      </c>
      <c r="AC213" s="9">
        <f t="shared" si="126"/>
        <v>155000</v>
      </c>
    </row>
    <row r="214" spans="1:29">
      <c r="A214" s="8">
        <v>4</v>
      </c>
      <c r="B214" s="186"/>
      <c r="C214" s="1" t="s">
        <v>368</v>
      </c>
      <c r="D214" s="4" t="s">
        <v>369</v>
      </c>
      <c r="E214" s="4" t="s">
        <v>23</v>
      </c>
      <c r="F214" s="4"/>
      <c r="G214" s="4"/>
      <c r="H214" s="4">
        <v>155000</v>
      </c>
      <c r="I214" s="9">
        <f t="shared" si="118"/>
        <v>155000</v>
      </c>
      <c r="J214" s="4"/>
      <c r="K214" s="4"/>
      <c r="L214" s="4"/>
      <c r="M214" s="9">
        <f t="shared" si="119"/>
        <v>0</v>
      </c>
      <c r="N214" s="20"/>
      <c r="O214" s="20"/>
      <c r="P214" s="20"/>
      <c r="Q214" s="9">
        <f t="shared" si="120"/>
        <v>0</v>
      </c>
      <c r="R214" s="20"/>
      <c r="S214" s="20">
        <v>195000</v>
      </c>
      <c r="T214" s="25">
        <v>710800</v>
      </c>
      <c r="U214" s="21">
        <f t="shared" si="121"/>
        <v>905800</v>
      </c>
      <c r="V214" s="25"/>
      <c r="W214" s="25">
        <v>100000</v>
      </c>
      <c r="X214" s="25">
        <v>540000</v>
      </c>
      <c r="Y214" s="21">
        <f t="shared" si="122"/>
        <v>640000</v>
      </c>
      <c r="Z214" s="4">
        <f t="shared" si="123"/>
        <v>0</v>
      </c>
      <c r="AA214" s="4">
        <f t="shared" si="124"/>
        <v>295000</v>
      </c>
      <c r="AB214" s="4">
        <f t="shared" si="125"/>
        <v>1405800</v>
      </c>
      <c r="AC214" s="9">
        <f t="shared" si="126"/>
        <v>1700800</v>
      </c>
    </row>
    <row r="215" spans="1:29">
      <c r="A215" s="8">
        <v>5</v>
      </c>
      <c r="B215" s="186"/>
      <c r="C215" s="1" t="s">
        <v>370</v>
      </c>
      <c r="D215" s="4" t="s">
        <v>371</v>
      </c>
      <c r="E215" s="4" t="s">
        <v>23</v>
      </c>
      <c r="F215" s="4"/>
      <c r="G215" s="4">
        <v>453500</v>
      </c>
      <c r="H215" s="4">
        <f>99000+203500</f>
        <v>302500</v>
      </c>
      <c r="I215" s="9">
        <f t="shared" si="118"/>
        <v>756000</v>
      </c>
      <c r="J215" s="4"/>
      <c r="K215" s="4"/>
      <c r="L215" s="4"/>
      <c r="M215" s="9">
        <f t="shared" si="119"/>
        <v>0</v>
      </c>
      <c r="N215" s="20"/>
      <c r="O215" s="20"/>
      <c r="P215" s="20"/>
      <c r="Q215" s="9">
        <f t="shared" si="120"/>
        <v>0</v>
      </c>
      <c r="R215" s="20"/>
      <c r="S215" s="25">
        <v>636450</v>
      </c>
      <c r="T215" s="25">
        <v>252200</v>
      </c>
      <c r="U215" s="21">
        <f t="shared" si="121"/>
        <v>888650</v>
      </c>
      <c r="V215" s="25"/>
      <c r="W215" s="25">
        <v>100000</v>
      </c>
      <c r="X215" s="25">
        <v>230000</v>
      </c>
      <c r="Y215" s="21">
        <f t="shared" si="122"/>
        <v>330000</v>
      </c>
      <c r="Z215" s="4">
        <f t="shared" si="123"/>
        <v>0</v>
      </c>
      <c r="AA215" s="4">
        <f t="shared" si="124"/>
        <v>1189950</v>
      </c>
      <c r="AB215" s="4">
        <f t="shared" si="125"/>
        <v>784700</v>
      </c>
      <c r="AC215" s="9">
        <f t="shared" si="126"/>
        <v>1974650</v>
      </c>
    </row>
    <row r="216" spans="1:29">
      <c r="A216" s="8">
        <v>6</v>
      </c>
      <c r="B216" s="186"/>
      <c r="C216" s="1" t="s">
        <v>372</v>
      </c>
      <c r="D216" s="4" t="s">
        <v>371</v>
      </c>
      <c r="E216" s="4" t="s">
        <v>23</v>
      </c>
      <c r="F216" s="4"/>
      <c r="G216" s="4">
        <v>155000</v>
      </c>
      <c r="H216" s="4">
        <v>88000</v>
      </c>
      <c r="I216" s="9">
        <f t="shared" si="118"/>
        <v>243000</v>
      </c>
      <c r="J216" s="4"/>
      <c r="K216" s="4"/>
      <c r="L216" s="4"/>
      <c r="M216" s="9">
        <f t="shared" si="119"/>
        <v>0</v>
      </c>
      <c r="N216" s="20"/>
      <c r="O216" s="20"/>
      <c r="P216" s="20"/>
      <c r="Q216" s="9">
        <f t="shared" si="120"/>
        <v>0</v>
      </c>
      <c r="R216" s="20"/>
      <c r="S216" s="25">
        <v>238650</v>
      </c>
      <c r="T216" s="25">
        <v>601400</v>
      </c>
      <c r="U216" s="21">
        <f t="shared" si="121"/>
        <v>840050</v>
      </c>
      <c r="V216" s="25"/>
      <c r="W216" s="25"/>
      <c r="X216" s="25"/>
      <c r="Y216" s="21">
        <f t="shared" si="122"/>
        <v>0</v>
      </c>
      <c r="Z216" s="4">
        <f t="shared" si="123"/>
        <v>0</v>
      </c>
      <c r="AA216" s="4">
        <f t="shared" si="124"/>
        <v>393650</v>
      </c>
      <c r="AB216" s="4">
        <f t="shared" si="125"/>
        <v>689400</v>
      </c>
      <c r="AC216" s="9">
        <f t="shared" si="126"/>
        <v>1083050</v>
      </c>
    </row>
    <row r="217" spans="1:29">
      <c r="A217" s="8">
        <v>7</v>
      </c>
      <c r="B217" s="186"/>
      <c r="C217" s="1" t="s">
        <v>373</v>
      </c>
      <c r="D217" s="4" t="s">
        <v>374</v>
      </c>
      <c r="E217" s="4" t="s">
        <v>23</v>
      </c>
      <c r="F217" s="4"/>
      <c r="G217" s="4">
        <v>719000</v>
      </c>
      <c r="H217" s="4">
        <f>282000+188000+80500+85000+80000</f>
        <v>715500</v>
      </c>
      <c r="I217" s="9">
        <f t="shared" si="118"/>
        <v>1434500</v>
      </c>
      <c r="J217" s="4"/>
      <c r="K217" s="4"/>
      <c r="L217" s="4"/>
      <c r="M217" s="9">
        <f t="shared" si="119"/>
        <v>0</v>
      </c>
      <c r="N217" s="20"/>
      <c r="O217" s="20"/>
      <c r="P217" s="20"/>
      <c r="Q217" s="9">
        <f t="shared" si="120"/>
        <v>0</v>
      </c>
      <c r="R217" s="20"/>
      <c r="S217" s="20"/>
      <c r="T217" s="20"/>
      <c r="U217" s="21">
        <f t="shared" si="121"/>
        <v>0</v>
      </c>
      <c r="V217" s="25"/>
      <c r="W217" s="25">
        <v>100000</v>
      </c>
      <c r="X217" s="25">
        <v>257600</v>
      </c>
      <c r="Y217" s="21">
        <f t="shared" si="122"/>
        <v>357600</v>
      </c>
      <c r="Z217" s="4">
        <f t="shared" si="123"/>
        <v>0</v>
      </c>
      <c r="AA217" s="4">
        <f t="shared" si="124"/>
        <v>819000</v>
      </c>
      <c r="AB217" s="4">
        <f t="shared" si="125"/>
        <v>973100</v>
      </c>
      <c r="AC217" s="9">
        <f t="shared" si="126"/>
        <v>1792100</v>
      </c>
    </row>
    <row r="218" spans="1:29">
      <c r="A218" s="8">
        <v>8</v>
      </c>
      <c r="B218" s="186"/>
      <c r="C218" s="1" t="s">
        <v>375</v>
      </c>
      <c r="D218" s="4" t="s">
        <v>376</v>
      </c>
      <c r="E218" s="4" t="s">
        <v>23</v>
      </c>
      <c r="F218" s="4"/>
      <c r="G218" s="4">
        <v>155000</v>
      </c>
      <c r="H218" s="4">
        <f>96000+48000</f>
        <v>144000</v>
      </c>
      <c r="I218" s="9">
        <f t="shared" si="118"/>
        <v>299000</v>
      </c>
      <c r="J218" s="4"/>
      <c r="K218" s="4"/>
      <c r="L218" s="4"/>
      <c r="M218" s="9">
        <f t="shared" si="119"/>
        <v>0</v>
      </c>
      <c r="N218" s="20"/>
      <c r="O218" s="20"/>
      <c r="P218" s="20"/>
      <c r="Q218" s="9">
        <f t="shared" si="120"/>
        <v>0</v>
      </c>
      <c r="R218" s="20"/>
      <c r="S218" s="20">
        <v>195000</v>
      </c>
      <c r="T218" s="25">
        <v>267300</v>
      </c>
      <c r="U218" s="21">
        <f t="shared" si="121"/>
        <v>462300</v>
      </c>
      <c r="V218" s="25"/>
      <c r="W218" s="25">
        <v>100000</v>
      </c>
      <c r="X218" s="25">
        <v>230000</v>
      </c>
      <c r="Y218" s="21">
        <f t="shared" si="122"/>
        <v>330000</v>
      </c>
      <c r="Z218" s="4">
        <f t="shared" si="123"/>
        <v>0</v>
      </c>
      <c r="AA218" s="4">
        <f t="shared" si="124"/>
        <v>450000</v>
      </c>
      <c r="AB218" s="4">
        <f t="shared" si="125"/>
        <v>641300</v>
      </c>
      <c r="AC218" s="9">
        <f t="shared" si="126"/>
        <v>1091300</v>
      </c>
    </row>
    <row r="219" spans="1:29" ht="31.5">
      <c r="A219" s="8">
        <v>9</v>
      </c>
      <c r="B219" s="186"/>
      <c r="C219" s="1" t="s">
        <v>377</v>
      </c>
      <c r="D219" s="4" t="s">
        <v>378</v>
      </c>
      <c r="E219" s="4" t="s">
        <v>23</v>
      </c>
      <c r="F219" s="4"/>
      <c r="G219" s="4">
        <v>529000</v>
      </c>
      <c r="H219" s="4">
        <v>330000</v>
      </c>
      <c r="I219" s="9">
        <f t="shared" si="118"/>
        <v>859000</v>
      </c>
      <c r="J219" s="4"/>
      <c r="K219" s="4"/>
      <c r="L219" s="4"/>
      <c r="M219" s="9">
        <f t="shared" si="119"/>
        <v>0</v>
      </c>
      <c r="N219" s="20"/>
      <c r="O219" s="20"/>
      <c r="P219" s="4">
        <v>290000</v>
      </c>
      <c r="Q219" s="9">
        <f t="shared" si="120"/>
        <v>290000</v>
      </c>
      <c r="R219" s="20"/>
      <c r="S219" s="25">
        <v>787400</v>
      </c>
      <c r="T219" s="25">
        <v>518950</v>
      </c>
      <c r="U219" s="21">
        <f t="shared" si="121"/>
        <v>1306350</v>
      </c>
      <c r="V219" s="25"/>
      <c r="W219" s="25"/>
      <c r="X219" s="25"/>
      <c r="Y219" s="21">
        <f t="shared" si="122"/>
        <v>0</v>
      </c>
      <c r="Z219" s="4">
        <f t="shared" si="123"/>
        <v>0</v>
      </c>
      <c r="AA219" s="4">
        <f t="shared" si="124"/>
        <v>1316400</v>
      </c>
      <c r="AB219" s="4">
        <f t="shared" si="125"/>
        <v>1138950</v>
      </c>
      <c r="AC219" s="9">
        <f t="shared" si="126"/>
        <v>2455350</v>
      </c>
    </row>
    <row r="220" spans="1:29">
      <c r="A220" s="8">
        <v>10</v>
      </c>
      <c r="B220" s="186"/>
      <c r="C220" s="40" t="s">
        <v>379</v>
      </c>
      <c r="D220" s="41" t="s">
        <v>380</v>
      </c>
      <c r="E220" s="4" t="s">
        <v>23</v>
      </c>
      <c r="F220" s="4"/>
      <c r="G220" s="4"/>
      <c r="H220" s="4"/>
      <c r="I220" s="9">
        <f t="shared" si="118"/>
        <v>0</v>
      </c>
      <c r="J220" s="76">
        <v>290000</v>
      </c>
      <c r="K220" s="76">
        <f>1200000+70000</f>
        <v>1270000</v>
      </c>
      <c r="L220" s="76">
        <f>910000-60000</f>
        <v>850000</v>
      </c>
      <c r="M220" s="9">
        <f t="shared" si="119"/>
        <v>2410000</v>
      </c>
      <c r="N220" s="20"/>
      <c r="O220" s="20"/>
      <c r="P220" s="20"/>
      <c r="Q220" s="9">
        <f t="shared" si="120"/>
        <v>0</v>
      </c>
      <c r="R220" s="20"/>
      <c r="S220" s="25"/>
      <c r="T220" s="20"/>
      <c r="U220" s="21">
        <f t="shared" si="121"/>
        <v>0</v>
      </c>
      <c r="V220" s="25"/>
      <c r="W220" s="25"/>
      <c r="X220" s="25">
        <f>330000</f>
        <v>330000</v>
      </c>
      <c r="Y220" s="21">
        <f t="shared" si="122"/>
        <v>330000</v>
      </c>
      <c r="Z220" s="4">
        <f t="shared" si="123"/>
        <v>290000</v>
      </c>
      <c r="AA220" s="4">
        <f t="shared" si="124"/>
        <v>1270000</v>
      </c>
      <c r="AB220" s="4">
        <f t="shared" si="125"/>
        <v>1180000</v>
      </c>
      <c r="AC220" s="9">
        <f t="shared" si="126"/>
        <v>2740000</v>
      </c>
    </row>
    <row r="221" spans="1:29">
      <c r="A221" s="8">
        <v>11</v>
      </c>
      <c r="B221" s="186"/>
      <c r="C221" s="40" t="s">
        <v>381</v>
      </c>
      <c r="D221" s="41" t="s">
        <v>382</v>
      </c>
      <c r="E221" s="4" t="s">
        <v>23</v>
      </c>
      <c r="F221" s="4"/>
      <c r="G221" s="4"/>
      <c r="H221" s="4"/>
      <c r="I221" s="9">
        <f t="shared" si="118"/>
        <v>0</v>
      </c>
      <c r="J221" s="4"/>
      <c r="K221" s="4"/>
      <c r="L221" s="10"/>
      <c r="M221" s="9">
        <f t="shared" si="119"/>
        <v>0</v>
      </c>
      <c r="N221" s="20"/>
      <c r="O221" s="20"/>
      <c r="P221" s="20"/>
      <c r="Q221" s="9">
        <f t="shared" si="120"/>
        <v>0</v>
      </c>
      <c r="R221" s="20"/>
      <c r="S221" s="25"/>
      <c r="T221" s="20"/>
      <c r="U221" s="21">
        <f t="shared" si="121"/>
        <v>0</v>
      </c>
      <c r="V221" s="25"/>
      <c r="W221" s="25"/>
      <c r="X221" s="25"/>
      <c r="Y221" s="21">
        <f t="shared" si="122"/>
        <v>0</v>
      </c>
      <c r="Z221" s="4">
        <f t="shared" si="123"/>
        <v>0</v>
      </c>
      <c r="AA221" s="4">
        <f t="shared" si="124"/>
        <v>0</v>
      </c>
      <c r="AB221" s="4">
        <f t="shared" si="125"/>
        <v>0</v>
      </c>
      <c r="AC221" s="9">
        <f t="shared" si="126"/>
        <v>0</v>
      </c>
    </row>
    <row r="222" spans="1:29" ht="31.5">
      <c r="A222" s="8">
        <v>12</v>
      </c>
      <c r="B222" s="186"/>
      <c r="C222" s="1" t="s">
        <v>383</v>
      </c>
      <c r="D222" s="4" t="s">
        <v>380</v>
      </c>
      <c r="E222" s="4" t="s">
        <v>23</v>
      </c>
      <c r="F222" s="4">
        <v>155000</v>
      </c>
      <c r="G222" s="4">
        <v>498500</v>
      </c>
      <c r="H222" s="4">
        <f>60500+126500+137500+258500+88000</f>
        <v>671000</v>
      </c>
      <c r="I222" s="9">
        <f t="shared" si="118"/>
        <v>1324500</v>
      </c>
      <c r="J222" s="4"/>
      <c r="K222" s="4"/>
      <c r="L222" s="4"/>
      <c r="M222" s="9">
        <f t="shared" si="119"/>
        <v>0</v>
      </c>
      <c r="N222" s="20"/>
      <c r="O222" s="20"/>
      <c r="P222" s="20"/>
      <c r="Q222" s="9">
        <f t="shared" si="120"/>
        <v>0</v>
      </c>
      <c r="R222" s="20"/>
      <c r="S222" s="20"/>
      <c r="T222" s="20"/>
      <c r="U222" s="21">
        <f t="shared" si="121"/>
        <v>0</v>
      </c>
      <c r="V222" s="25"/>
      <c r="W222" s="25"/>
      <c r="X222" s="25"/>
      <c r="Y222" s="21">
        <f t="shared" si="122"/>
        <v>0</v>
      </c>
      <c r="Z222" s="4">
        <f t="shared" si="123"/>
        <v>155000</v>
      </c>
      <c r="AA222" s="4">
        <f t="shared" si="124"/>
        <v>498500</v>
      </c>
      <c r="AB222" s="4">
        <f t="shared" si="125"/>
        <v>671000</v>
      </c>
      <c r="AC222" s="9">
        <f t="shared" si="126"/>
        <v>1324500</v>
      </c>
    </row>
    <row r="223" spans="1:29">
      <c r="A223" s="8">
        <v>13</v>
      </c>
      <c r="B223" s="186"/>
      <c r="C223" s="1" t="s">
        <v>384</v>
      </c>
      <c r="D223" s="4"/>
      <c r="E223" s="4" t="s">
        <v>23</v>
      </c>
      <c r="F223" s="4"/>
      <c r="G223" s="4"/>
      <c r="H223" s="4"/>
      <c r="I223" s="9">
        <f t="shared" si="118"/>
        <v>0</v>
      </c>
      <c r="J223" s="4"/>
      <c r="K223" s="4"/>
      <c r="L223" s="4"/>
      <c r="M223" s="9">
        <f t="shared" si="119"/>
        <v>0</v>
      </c>
      <c r="N223" s="20"/>
      <c r="O223" s="20"/>
      <c r="P223" s="20"/>
      <c r="Q223" s="9">
        <f t="shared" si="120"/>
        <v>0</v>
      </c>
      <c r="R223" s="20"/>
      <c r="S223" s="20"/>
      <c r="T223" s="20">
        <f>211000+16000</f>
        <v>227000</v>
      </c>
      <c r="U223" s="21">
        <f t="shared" si="121"/>
        <v>227000</v>
      </c>
      <c r="V223" s="25"/>
      <c r="W223" s="25"/>
      <c r="X223" s="25"/>
      <c r="Y223" s="21">
        <f t="shared" si="122"/>
        <v>0</v>
      </c>
      <c r="Z223" s="4">
        <f t="shared" si="123"/>
        <v>0</v>
      </c>
      <c r="AA223" s="4">
        <f t="shared" si="124"/>
        <v>0</v>
      </c>
      <c r="AB223" s="4">
        <f t="shared" si="125"/>
        <v>227000</v>
      </c>
      <c r="AC223" s="9">
        <f t="shared" si="126"/>
        <v>227000</v>
      </c>
    </row>
    <row r="224" spans="1:29">
      <c r="A224" s="8">
        <v>14</v>
      </c>
      <c r="B224" s="187"/>
      <c r="C224" s="1" t="s">
        <v>385</v>
      </c>
      <c r="D224" s="4" t="s">
        <v>386</v>
      </c>
      <c r="E224" s="4" t="s">
        <v>23</v>
      </c>
      <c r="F224" s="4"/>
      <c r="G224" s="4">
        <v>155000</v>
      </c>
      <c r="H224" s="4"/>
      <c r="I224" s="9">
        <f t="shared" si="118"/>
        <v>155000</v>
      </c>
      <c r="J224" s="4"/>
      <c r="K224" s="4"/>
      <c r="L224" s="4"/>
      <c r="M224" s="9">
        <f t="shared" si="119"/>
        <v>0</v>
      </c>
      <c r="N224" s="20"/>
      <c r="O224" s="20"/>
      <c r="P224" s="20"/>
      <c r="Q224" s="9">
        <f t="shared" si="120"/>
        <v>0</v>
      </c>
      <c r="R224" s="20"/>
      <c r="S224" s="20"/>
      <c r="T224" s="20"/>
      <c r="U224" s="21">
        <f t="shared" si="121"/>
        <v>0</v>
      </c>
      <c r="V224" s="25"/>
      <c r="W224" s="25"/>
      <c r="X224" s="25"/>
      <c r="Y224" s="21">
        <f t="shared" si="122"/>
        <v>0</v>
      </c>
      <c r="Z224" s="4">
        <f t="shared" si="123"/>
        <v>0</v>
      </c>
      <c r="AA224" s="4">
        <f t="shared" si="124"/>
        <v>155000</v>
      </c>
      <c r="AB224" s="4">
        <f t="shared" si="125"/>
        <v>0</v>
      </c>
      <c r="AC224" s="9">
        <f t="shared" si="126"/>
        <v>155000</v>
      </c>
    </row>
    <row r="225" spans="1:29" s="38" customFormat="1">
      <c r="A225" s="34"/>
      <c r="B225" s="34"/>
      <c r="C225" s="35" t="s">
        <v>387</v>
      </c>
      <c r="D225" s="37"/>
      <c r="E225" s="37"/>
      <c r="F225" s="37">
        <f>SUM(F211:F224)</f>
        <v>155000</v>
      </c>
      <c r="G225" s="37">
        <f t="shared" ref="G225:AC225" si="127">SUM(G211:G224)</f>
        <v>3068447</v>
      </c>
      <c r="H225" s="37">
        <f t="shared" si="127"/>
        <v>3114500</v>
      </c>
      <c r="I225" s="37">
        <f t="shared" si="127"/>
        <v>6337947</v>
      </c>
      <c r="J225" s="37">
        <f t="shared" si="127"/>
        <v>290000</v>
      </c>
      <c r="K225" s="37">
        <f t="shared" si="127"/>
        <v>1270000</v>
      </c>
      <c r="L225" s="37">
        <f>SUM(L211:L224)</f>
        <v>850000</v>
      </c>
      <c r="M225" s="37">
        <f t="shared" si="127"/>
        <v>2410000</v>
      </c>
      <c r="N225" s="39">
        <f t="shared" si="127"/>
        <v>0</v>
      </c>
      <c r="O225" s="39">
        <f t="shared" si="127"/>
        <v>0</v>
      </c>
      <c r="P225" s="39">
        <f t="shared" si="127"/>
        <v>290000</v>
      </c>
      <c r="Q225" s="39">
        <f t="shared" si="127"/>
        <v>290000</v>
      </c>
      <c r="R225" s="39">
        <f t="shared" si="127"/>
        <v>195000</v>
      </c>
      <c r="S225" s="39">
        <f t="shared" si="127"/>
        <v>3131550</v>
      </c>
      <c r="T225" s="39">
        <f t="shared" si="127"/>
        <v>3591300</v>
      </c>
      <c r="U225" s="39">
        <f>SUM(U211:U224)</f>
        <v>6917850</v>
      </c>
      <c r="V225" s="39">
        <f t="shared" si="127"/>
        <v>0</v>
      </c>
      <c r="W225" s="39">
        <f t="shared" si="127"/>
        <v>400000</v>
      </c>
      <c r="X225" s="39">
        <f t="shared" si="127"/>
        <v>1687600</v>
      </c>
      <c r="Y225" s="39">
        <f t="shared" si="127"/>
        <v>2087600</v>
      </c>
      <c r="Z225" s="39">
        <f t="shared" si="127"/>
        <v>640000</v>
      </c>
      <c r="AA225" s="39">
        <f t="shared" si="127"/>
        <v>7869997</v>
      </c>
      <c r="AB225" s="39">
        <f t="shared" si="127"/>
        <v>9533400</v>
      </c>
      <c r="AC225" s="39">
        <f t="shared" si="127"/>
        <v>18043397</v>
      </c>
    </row>
    <row r="226" spans="1:29" s="14" customFormat="1">
      <c r="A226" s="65"/>
      <c r="B226" s="65"/>
      <c r="C226" s="66"/>
      <c r="D226" s="67"/>
      <c r="E226" s="67"/>
      <c r="F226" s="67"/>
      <c r="G226" s="67"/>
      <c r="H226" s="68"/>
      <c r="I226" s="67"/>
      <c r="J226" s="67"/>
      <c r="K226" s="67"/>
      <c r="L226" s="67"/>
      <c r="M226" s="67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</row>
    <row r="227" spans="1:29" s="16" customFormat="1" ht="16.5" thickBot="1">
      <c r="A227" s="15"/>
      <c r="B227" s="15"/>
      <c r="C227" s="19" t="s">
        <v>63</v>
      </c>
      <c r="D227" s="15"/>
      <c r="E227" s="15"/>
      <c r="F227" s="15">
        <f t="shared" ref="F227:AC227" si="128">SUM(F16+F19+F25+F28+F33+F46+F55+F64+F69+F71+F81+F83+F116+F121+F124+F126+F143+F146+F148+F155+F165+F171+F208+F210+F225)</f>
        <v>5115000</v>
      </c>
      <c r="G227" s="15">
        <f t="shared" si="128"/>
        <v>31213052</v>
      </c>
      <c r="H227" s="15">
        <f t="shared" si="128"/>
        <v>33449181</v>
      </c>
      <c r="I227" s="15">
        <f>SUM(I16+I19+I25+I28+I33+I46+I55+I64+I69+I71+I81+I83+I116+I121+I124+I126+I143+I146+I148+I155+I165+I171+I208+I210+I225)</f>
        <v>69777233</v>
      </c>
      <c r="J227" s="15">
        <f t="shared" si="128"/>
        <v>3480000</v>
      </c>
      <c r="K227" s="15">
        <f t="shared" si="128"/>
        <v>36620000</v>
      </c>
      <c r="L227" s="15">
        <f>SUM(L16+L19+L25+L28+L33+L46+L55+L64+L69+L71+L81+L83+L116+L121+L124+L126+L143+L146+L148+L155+L165+L171+L208+L210+L225)</f>
        <v>40371999</v>
      </c>
      <c r="M227" s="15">
        <f t="shared" si="128"/>
        <v>80471999</v>
      </c>
      <c r="N227" s="15">
        <f t="shared" si="128"/>
        <v>4060000</v>
      </c>
      <c r="O227" s="15">
        <f t="shared" si="128"/>
        <v>24874479</v>
      </c>
      <c r="P227" s="15">
        <f t="shared" si="128"/>
        <v>30501935</v>
      </c>
      <c r="Q227" s="15">
        <f t="shared" si="128"/>
        <v>59436414</v>
      </c>
      <c r="R227" s="15">
        <f t="shared" si="128"/>
        <v>5265000</v>
      </c>
      <c r="S227" s="15">
        <f t="shared" si="128"/>
        <v>62724231</v>
      </c>
      <c r="T227" s="15">
        <f t="shared" si="128"/>
        <v>47459700</v>
      </c>
      <c r="U227" s="15">
        <f t="shared" si="128"/>
        <v>115448931</v>
      </c>
      <c r="V227" s="15">
        <f t="shared" si="128"/>
        <v>0</v>
      </c>
      <c r="W227" s="15">
        <f t="shared" si="128"/>
        <v>4682000</v>
      </c>
      <c r="X227" s="15">
        <f t="shared" si="128"/>
        <v>11835750</v>
      </c>
      <c r="Y227" s="15">
        <f t="shared" si="128"/>
        <v>16517750</v>
      </c>
      <c r="Z227" s="15">
        <f t="shared" si="128"/>
        <v>17920000</v>
      </c>
      <c r="AA227" s="15">
        <f t="shared" si="128"/>
        <v>160113762</v>
      </c>
      <c r="AB227" s="15">
        <f t="shared" si="128"/>
        <v>163618565</v>
      </c>
      <c r="AC227" s="15">
        <f t="shared" si="128"/>
        <v>341652327</v>
      </c>
    </row>
    <row r="228" spans="1:29" ht="16.5" thickTop="1">
      <c r="D228" s="183" t="s">
        <v>392</v>
      </c>
      <c r="E228" s="183"/>
      <c r="F228" s="3">
        <v>5115000</v>
      </c>
      <c r="G228" s="3">
        <v>31213052</v>
      </c>
      <c r="H228" s="31">
        <v>33449181</v>
      </c>
      <c r="J228" s="3">
        <v>3480000</v>
      </c>
      <c r="K228" s="3">
        <v>36620000</v>
      </c>
      <c r="L228" s="3">
        <v>40371999</v>
      </c>
      <c r="N228" s="3">
        <v>4060000</v>
      </c>
      <c r="O228" s="3">
        <v>24874479</v>
      </c>
      <c r="P228" s="3">
        <v>30501935</v>
      </c>
      <c r="R228" s="3">
        <v>5265000</v>
      </c>
      <c r="S228" s="3">
        <v>62724231</v>
      </c>
      <c r="T228" s="3">
        <v>47459700</v>
      </c>
      <c r="V228" s="3">
        <v>0</v>
      </c>
      <c r="W228" s="3">
        <v>4682000</v>
      </c>
      <c r="X228" s="3">
        <v>11835750</v>
      </c>
    </row>
    <row r="229" spans="1:29" ht="15.75" customHeight="1">
      <c r="E229" s="74" t="s">
        <v>393</v>
      </c>
      <c r="F229" s="3">
        <f>F227-F228</f>
        <v>0</v>
      </c>
      <c r="G229" s="3">
        <f t="shared" ref="G229:X229" si="129">G227-G228</f>
        <v>0</v>
      </c>
      <c r="H229" s="3">
        <f t="shared" si="129"/>
        <v>0</v>
      </c>
      <c r="I229" s="3"/>
      <c r="J229" s="3">
        <f t="shared" si="129"/>
        <v>0</v>
      </c>
      <c r="K229" s="3">
        <f t="shared" si="129"/>
        <v>0</v>
      </c>
      <c r="L229" s="3">
        <f t="shared" si="129"/>
        <v>0</v>
      </c>
      <c r="M229" s="3"/>
      <c r="N229" s="3">
        <f t="shared" si="129"/>
        <v>0</v>
      </c>
      <c r="O229" s="3">
        <f t="shared" si="129"/>
        <v>0</v>
      </c>
      <c r="P229" s="3">
        <f t="shared" si="129"/>
        <v>0</v>
      </c>
      <c r="Q229" s="3"/>
      <c r="R229" s="3">
        <f t="shared" si="129"/>
        <v>0</v>
      </c>
      <c r="S229" s="3">
        <f t="shared" si="129"/>
        <v>0</v>
      </c>
      <c r="T229" s="3">
        <f t="shared" si="129"/>
        <v>0</v>
      </c>
      <c r="U229" s="3"/>
      <c r="V229" s="3">
        <f t="shared" si="129"/>
        <v>0</v>
      </c>
      <c r="W229" s="3">
        <f t="shared" si="129"/>
        <v>0</v>
      </c>
      <c r="X229" s="3">
        <f t="shared" si="129"/>
        <v>0</v>
      </c>
      <c r="Y229" s="3"/>
    </row>
    <row r="230" spans="1:29" ht="15.75" customHeight="1">
      <c r="E230" s="74"/>
      <c r="H230" s="3"/>
      <c r="I230" s="3"/>
      <c r="M230" s="3"/>
      <c r="Q230" s="3"/>
      <c r="U230" s="3"/>
      <c r="Y230" s="3"/>
    </row>
    <row r="231" spans="1:29" ht="292.5" customHeight="1">
      <c r="C231" s="71" t="s">
        <v>390</v>
      </c>
      <c r="E231" s="121"/>
      <c r="F231" s="122"/>
      <c r="G231" s="80" t="s">
        <v>480</v>
      </c>
      <c r="H231" s="79" t="s">
        <v>398</v>
      </c>
      <c r="I231" s="103"/>
      <c r="J231" s="122"/>
      <c r="K231" s="122"/>
      <c r="L231" s="81" t="s">
        <v>396</v>
      </c>
      <c r="M231" s="75"/>
      <c r="N231" s="75"/>
      <c r="O231" s="75"/>
      <c r="P231" s="79" t="s">
        <v>398</v>
      </c>
      <c r="Q231" s="75"/>
      <c r="R231" s="122"/>
      <c r="S231" s="143"/>
      <c r="T231" s="122"/>
      <c r="W231" s="193"/>
      <c r="X231" s="193"/>
    </row>
    <row r="232" spans="1:29">
      <c r="K232" s="75"/>
      <c r="L232" s="75"/>
      <c r="M232" s="75"/>
      <c r="N232" s="75"/>
      <c r="O232" s="75"/>
      <c r="P232" s="75"/>
      <c r="Q232" s="75"/>
    </row>
  </sheetData>
  <mergeCells count="35">
    <mergeCell ref="A1:AC1"/>
    <mergeCell ref="Z2:AC2"/>
    <mergeCell ref="Z3:AC3"/>
    <mergeCell ref="W231:X231"/>
    <mergeCell ref="D228:E228"/>
    <mergeCell ref="F3:I3"/>
    <mergeCell ref="J3:M3"/>
    <mergeCell ref="N3:Q3"/>
    <mergeCell ref="R3:U3"/>
    <mergeCell ref="V3:Y3"/>
    <mergeCell ref="B34:B45"/>
    <mergeCell ref="B47:B54"/>
    <mergeCell ref="B56:B63"/>
    <mergeCell ref="B65:B68"/>
    <mergeCell ref="B72:B80"/>
    <mergeCell ref="B127:B142"/>
    <mergeCell ref="B211:B224"/>
    <mergeCell ref="B84:B115"/>
    <mergeCell ref="B117:B120"/>
    <mergeCell ref="B122:B123"/>
    <mergeCell ref="B26:B27"/>
    <mergeCell ref="B29:B32"/>
    <mergeCell ref="B144:B145"/>
    <mergeCell ref="B149:B154"/>
    <mergeCell ref="B156:B164"/>
    <mergeCell ref="B166:B170"/>
    <mergeCell ref="B172:B207"/>
    <mergeCell ref="E3:E4"/>
    <mergeCell ref="B5:B15"/>
    <mergeCell ref="B17:B18"/>
    <mergeCell ref="B20:B24"/>
    <mergeCell ref="A3:A4"/>
    <mergeCell ref="B3:B4"/>
    <mergeCell ref="C3:C4"/>
    <mergeCell ref="D3:D4"/>
  </mergeCells>
  <conditionalFormatting sqref="A3:B3">
    <cfRule type="duplicateValues" dxfId="90" priority="5"/>
  </conditionalFormatting>
  <conditionalFormatting sqref="C28">
    <cfRule type="duplicateValues" dxfId="89" priority="4"/>
  </conditionalFormatting>
  <conditionalFormatting sqref="C82">
    <cfRule type="duplicateValues" dxfId="88" priority="3"/>
  </conditionalFormatting>
  <conditionalFormatting sqref="C227:E1048576 C3:E4 C132:C136 C199:C205 C129:C130 C87:C127 C5:C12 C83:C84 C207:C226 C175:C197 C142:C153 C156:C159 C14:C26 C42:C81 C161:C173 C29:C38">
    <cfRule type="duplicateValues" dxfId="87" priority="2"/>
  </conditionalFormatting>
  <conditionalFormatting sqref="C227:E1048576">
    <cfRule type="duplicateValues" dxfId="8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33"/>
  <sheetViews>
    <sheetView workbookViewId="0">
      <pane xSplit="5" ySplit="4" topLeftCell="M124" activePane="bottomRight" state="frozen"/>
      <selection pane="topRight" activeCell="F1" sqref="F1"/>
      <selection pane="bottomLeft" activeCell="A6" sqref="A6"/>
      <selection pane="bottomRight" activeCell="X136" sqref="X136"/>
    </sheetView>
  </sheetViews>
  <sheetFormatPr defaultRowHeight="15.75"/>
  <cols>
    <col min="1" max="1" width="21.140625" style="74" customWidth="1"/>
    <col min="2" max="2" width="7.28515625" style="74" customWidth="1"/>
    <col min="3" max="3" width="41.42578125" style="17" customWidth="1"/>
    <col min="4" max="4" width="15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0" width="15.140625" style="14" customWidth="1"/>
    <col min="11" max="13" width="13.140625" style="3" customWidth="1"/>
    <col min="14" max="14" width="15" style="3" customWidth="1"/>
    <col min="15" max="15" width="13.42578125" style="14" customWidth="1"/>
    <col min="16" max="16" width="13" style="3" customWidth="1"/>
    <col min="17" max="18" width="10.7109375" style="3" customWidth="1"/>
    <col min="19" max="19" width="12.7109375" style="3" customWidth="1"/>
    <col min="20" max="20" width="13.5703125" style="14" customWidth="1"/>
    <col min="21" max="21" width="10.7109375" style="3" customWidth="1"/>
    <col min="22" max="22" width="11" style="3" customWidth="1"/>
    <col min="23" max="23" width="10.7109375" style="3" customWidth="1"/>
    <col min="24" max="24" width="12.85546875" style="3" customWidth="1"/>
    <col min="25" max="25" width="14.85546875" style="14" customWidth="1"/>
    <col min="26" max="26" width="13.85546875" style="3" customWidth="1"/>
    <col min="27" max="27" width="14.7109375" style="14" customWidth="1"/>
    <col min="28" max="28" width="13.140625" style="3" customWidth="1"/>
    <col min="29" max="29" width="15" style="14" customWidth="1"/>
    <col min="30" max="32" width="10.7109375" style="3" customWidth="1"/>
    <col min="33" max="33" width="12.7109375" style="3" customWidth="1"/>
    <col min="34" max="34" width="12.5703125" style="14" customWidth="1"/>
    <col min="35" max="35" width="10.7109375" style="3" customWidth="1"/>
    <col min="36" max="38" width="14.140625" style="3" customWidth="1"/>
    <col min="39" max="39" width="15" style="14" customWidth="1"/>
    <col min="40" max="41" width="9.140625" style="3" customWidth="1"/>
    <col min="42" max="16384" width="9.140625" style="3"/>
  </cols>
  <sheetData>
    <row r="1" spans="1:39" s="6" customFormat="1" ht="23.25" customHeight="1">
      <c r="A1" s="181" t="s">
        <v>432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</row>
    <row r="2" spans="1:39" s="6" customFormat="1" ht="23.25" customHeight="1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 t="s">
        <v>65</v>
      </c>
      <c r="AJ2" s="194"/>
      <c r="AK2" s="194"/>
      <c r="AL2" s="194"/>
      <c r="AM2" s="194"/>
    </row>
    <row r="3" spans="1:39" s="7" customFormat="1" ht="50.25" customHeight="1">
      <c r="A3" s="185" t="s">
        <v>53</v>
      </c>
      <c r="B3" s="185" t="s">
        <v>47</v>
      </c>
      <c r="C3" s="185" t="s">
        <v>13</v>
      </c>
      <c r="D3" s="184" t="s">
        <v>46</v>
      </c>
      <c r="E3" s="184" t="s">
        <v>16</v>
      </c>
      <c r="F3" s="195" t="s">
        <v>388</v>
      </c>
      <c r="G3" s="198"/>
      <c r="H3" s="198"/>
      <c r="I3" s="198"/>
      <c r="J3" s="199"/>
      <c r="K3" s="195" t="s">
        <v>54</v>
      </c>
      <c r="L3" s="198"/>
      <c r="M3" s="198"/>
      <c r="N3" s="198"/>
      <c r="O3" s="199"/>
      <c r="P3" s="195" t="s">
        <v>55</v>
      </c>
      <c r="Q3" s="198"/>
      <c r="R3" s="198"/>
      <c r="S3" s="198"/>
      <c r="T3" s="199"/>
      <c r="U3" s="195" t="s">
        <v>56</v>
      </c>
      <c r="V3" s="198"/>
      <c r="W3" s="198"/>
      <c r="X3" s="198"/>
      <c r="Y3" s="199"/>
      <c r="Z3" s="195" t="s">
        <v>429</v>
      </c>
      <c r="AA3" s="199"/>
      <c r="AB3" s="195" t="s">
        <v>391</v>
      </c>
      <c r="AC3" s="199"/>
      <c r="AD3" s="195" t="s">
        <v>389</v>
      </c>
      <c r="AE3" s="196"/>
      <c r="AF3" s="196"/>
      <c r="AG3" s="196"/>
      <c r="AH3" s="197"/>
      <c r="AI3" s="184" t="s">
        <v>57</v>
      </c>
      <c r="AJ3" s="184"/>
      <c r="AK3" s="184"/>
      <c r="AL3" s="184"/>
      <c r="AM3" s="184"/>
    </row>
    <row r="4" spans="1:39" s="7" customFormat="1" ht="31.5">
      <c r="A4" s="187"/>
      <c r="B4" s="187"/>
      <c r="C4" s="187"/>
      <c r="D4" s="184"/>
      <c r="E4" s="184"/>
      <c r="F4" s="82" t="s">
        <v>48</v>
      </c>
      <c r="G4" s="82" t="s">
        <v>49</v>
      </c>
      <c r="H4" s="30" t="s">
        <v>50</v>
      </c>
      <c r="I4" s="99" t="s">
        <v>64</v>
      </c>
      <c r="J4" s="84" t="s">
        <v>401</v>
      </c>
      <c r="K4" s="82" t="s">
        <v>48</v>
      </c>
      <c r="L4" s="82" t="s">
        <v>49</v>
      </c>
      <c r="M4" s="82" t="s">
        <v>50</v>
      </c>
      <c r="N4" s="99" t="s">
        <v>64</v>
      </c>
      <c r="O4" s="84" t="s">
        <v>403</v>
      </c>
      <c r="P4" s="82" t="s">
        <v>48</v>
      </c>
      <c r="Q4" s="82" t="s">
        <v>49</v>
      </c>
      <c r="R4" s="82" t="s">
        <v>50</v>
      </c>
      <c r="S4" s="99" t="s">
        <v>64</v>
      </c>
      <c r="T4" s="89" t="s">
        <v>404</v>
      </c>
      <c r="U4" s="82" t="s">
        <v>48</v>
      </c>
      <c r="V4" s="82" t="s">
        <v>49</v>
      </c>
      <c r="W4" s="82" t="s">
        <v>50</v>
      </c>
      <c r="X4" s="99" t="s">
        <v>400</v>
      </c>
      <c r="Y4" s="84" t="s">
        <v>405</v>
      </c>
      <c r="Z4" s="98" t="s">
        <v>64</v>
      </c>
      <c r="AA4" s="90" t="s">
        <v>402</v>
      </c>
      <c r="AB4" s="98" t="s">
        <v>64</v>
      </c>
      <c r="AC4" s="82" t="s">
        <v>51</v>
      </c>
      <c r="AD4" s="82" t="s">
        <v>48</v>
      </c>
      <c r="AE4" s="82" t="s">
        <v>49</v>
      </c>
      <c r="AF4" s="82" t="s">
        <v>50</v>
      </c>
      <c r="AG4" s="98" t="s">
        <v>64</v>
      </c>
      <c r="AH4" s="83" t="s">
        <v>406</v>
      </c>
      <c r="AI4" s="82" t="s">
        <v>48</v>
      </c>
      <c r="AJ4" s="82" t="s">
        <v>49</v>
      </c>
      <c r="AK4" s="82" t="s">
        <v>50</v>
      </c>
      <c r="AL4" s="99" t="s">
        <v>64</v>
      </c>
      <c r="AM4" s="83" t="s">
        <v>407</v>
      </c>
    </row>
    <row r="5" spans="1:39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9">
        <f>SUM(F5:I5)</f>
        <v>1085500</v>
      </c>
      <c r="K5" s="4"/>
      <c r="L5" s="4"/>
      <c r="M5" s="4"/>
      <c r="N5" s="4"/>
      <c r="O5" s="9">
        <f>SUM(K5:N5)</f>
        <v>0</v>
      </c>
      <c r="P5" s="4"/>
      <c r="Q5" s="4"/>
      <c r="R5" s="4"/>
      <c r="S5" s="4"/>
      <c r="T5" s="9">
        <f>SUM(P5:S5)</f>
        <v>0</v>
      </c>
      <c r="U5" s="4"/>
      <c r="V5" s="4">
        <v>383150</v>
      </c>
      <c r="W5" s="10">
        <f>805550+120000</f>
        <v>925550</v>
      </c>
      <c r="X5" s="27">
        <v>30000</v>
      </c>
      <c r="Y5" s="21">
        <f>SUM(U5:X5)</f>
        <v>1338700</v>
      </c>
      <c r="Z5" s="10">
        <v>840000</v>
      </c>
      <c r="AA5" s="21">
        <f t="shared" ref="AA5:AA15" si="0">SUM(Z5:Z5)</f>
        <v>840000</v>
      </c>
      <c r="AB5" s="10"/>
      <c r="AC5" s="21">
        <f t="shared" ref="AC5:AC15" si="1">SUM(AB5:AB5)</f>
        <v>0</v>
      </c>
      <c r="AD5" s="10"/>
      <c r="AE5" s="10"/>
      <c r="AF5" s="10"/>
      <c r="AG5" s="10"/>
      <c r="AH5" s="21">
        <f>SUM(AD5:AG5)</f>
        <v>0</v>
      </c>
      <c r="AI5" s="4">
        <f t="shared" ref="AI5:AI15" si="2">F5+K5+P5+U5+AD5</f>
        <v>0</v>
      </c>
      <c r="AJ5" s="4">
        <f t="shared" ref="AJ5:AJ15" si="3">G5+L5+Q5+V5+AE5</f>
        <v>831650</v>
      </c>
      <c r="AK5" s="4">
        <f t="shared" ref="AK5:AK15" si="4">H5+M5+R5+W5+AF5</f>
        <v>1522550</v>
      </c>
      <c r="AL5" s="4">
        <f t="shared" ref="AL5:AL15" si="5">I5+N5+S5+X5+Z5+AB5+AG5</f>
        <v>910000</v>
      </c>
      <c r="AM5" s="9">
        <f>SUM(AI5:AL5)</f>
        <v>3264200</v>
      </c>
    </row>
    <row r="6" spans="1:39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9">
        <f t="shared" ref="J6:J15" si="6">SUM(F6:I6)</f>
        <v>1596065</v>
      </c>
      <c r="K6" s="4"/>
      <c r="L6" s="4"/>
      <c r="M6" s="4"/>
      <c r="N6" s="4"/>
      <c r="O6" s="9">
        <f t="shared" ref="O6:O15" si="7">SUM(K6:N6)</f>
        <v>0</v>
      </c>
      <c r="P6" s="4"/>
      <c r="Q6" s="4"/>
      <c r="R6" s="4"/>
      <c r="S6" s="4"/>
      <c r="T6" s="9">
        <f t="shared" ref="T6:T15" si="8">SUM(P6:S6)</f>
        <v>0</v>
      </c>
      <c r="U6" s="4">
        <v>195000</v>
      </c>
      <c r="V6" s="10">
        <v>1237100</v>
      </c>
      <c r="W6" s="10">
        <v>145500</v>
      </c>
      <c r="X6" s="27">
        <v>330000</v>
      </c>
      <c r="Y6" s="21">
        <f t="shared" ref="Y6:Y15" si="9">SUM(U6:X6)</f>
        <v>1907600</v>
      </c>
      <c r="Z6" s="10">
        <v>1043000</v>
      </c>
      <c r="AA6" s="21">
        <f t="shared" si="0"/>
        <v>1043000</v>
      </c>
      <c r="AB6" s="10"/>
      <c r="AC6" s="21">
        <f t="shared" si="1"/>
        <v>0</v>
      </c>
      <c r="AD6" s="10"/>
      <c r="AE6" s="10"/>
      <c r="AF6" s="10"/>
      <c r="AG6" s="10"/>
      <c r="AH6" s="21">
        <f t="shared" ref="AH6:AH15" si="10">SUM(AD6:AG6)</f>
        <v>0</v>
      </c>
      <c r="AI6" s="4">
        <f t="shared" si="2"/>
        <v>350000</v>
      </c>
      <c r="AJ6" s="4">
        <f t="shared" si="3"/>
        <v>2218165</v>
      </c>
      <c r="AK6" s="4">
        <f t="shared" si="4"/>
        <v>365500</v>
      </c>
      <c r="AL6" s="4">
        <f t="shared" si="5"/>
        <v>1613000</v>
      </c>
      <c r="AM6" s="9">
        <f t="shared" ref="AM6:AM15" si="11">SUM(AI6:AL6)</f>
        <v>4546665</v>
      </c>
    </row>
    <row r="7" spans="1:39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9">
        <f t="shared" si="6"/>
        <v>1181345</v>
      </c>
      <c r="K7" s="4"/>
      <c r="L7" s="4"/>
      <c r="M7" s="4"/>
      <c r="N7" s="4"/>
      <c r="O7" s="9">
        <f t="shared" si="7"/>
        <v>0</v>
      </c>
      <c r="P7" s="4"/>
      <c r="Q7" s="4"/>
      <c r="R7" s="4"/>
      <c r="S7" s="4"/>
      <c r="T7" s="9">
        <f t="shared" si="8"/>
        <v>0</v>
      </c>
      <c r="U7" s="4">
        <v>195000</v>
      </c>
      <c r="V7" s="10">
        <v>1233000</v>
      </c>
      <c r="W7" s="10">
        <f>669300+90000</f>
        <v>759300</v>
      </c>
      <c r="X7" s="27">
        <v>120000</v>
      </c>
      <c r="Y7" s="21">
        <f t="shared" si="9"/>
        <v>2307300</v>
      </c>
      <c r="Z7" s="10">
        <v>1113000</v>
      </c>
      <c r="AA7" s="21">
        <f t="shared" si="0"/>
        <v>1113000</v>
      </c>
      <c r="AB7" s="10"/>
      <c r="AC7" s="21">
        <f t="shared" si="1"/>
        <v>0</v>
      </c>
      <c r="AD7" s="10"/>
      <c r="AE7" s="10"/>
      <c r="AF7" s="10"/>
      <c r="AG7" s="10"/>
      <c r="AH7" s="21">
        <f t="shared" si="10"/>
        <v>0</v>
      </c>
      <c r="AI7" s="4">
        <f t="shared" si="2"/>
        <v>350000</v>
      </c>
      <c r="AJ7" s="4">
        <f t="shared" si="3"/>
        <v>1549345</v>
      </c>
      <c r="AK7" s="4">
        <f t="shared" si="4"/>
        <v>1089300</v>
      </c>
      <c r="AL7" s="4">
        <f t="shared" si="5"/>
        <v>1613000</v>
      </c>
      <c r="AM7" s="9">
        <f t="shared" si="11"/>
        <v>4601645</v>
      </c>
    </row>
    <row r="8" spans="1:39" ht="31.5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9">
        <f t="shared" si="6"/>
        <v>588500</v>
      </c>
      <c r="K8" s="4"/>
      <c r="L8" s="4"/>
      <c r="M8" s="4"/>
      <c r="N8" s="4"/>
      <c r="O8" s="9">
        <f t="shared" si="7"/>
        <v>0</v>
      </c>
      <c r="P8" s="4"/>
      <c r="Q8" s="4">
        <v>290000</v>
      </c>
      <c r="R8" s="4">
        <v>2759000</v>
      </c>
      <c r="S8" s="11">
        <v>300000</v>
      </c>
      <c r="T8" s="9">
        <f t="shared" si="8"/>
        <v>3349000</v>
      </c>
      <c r="U8" s="4"/>
      <c r="V8" s="4">
        <v>195000</v>
      </c>
      <c r="W8" s="10">
        <f>620800+150000</f>
        <v>770800</v>
      </c>
      <c r="X8" s="27">
        <v>30000</v>
      </c>
      <c r="Y8" s="21">
        <f t="shared" si="9"/>
        <v>995800</v>
      </c>
      <c r="Z8" s="10">
        <v>1155000</v>
      </c>
      <c r="AA8" s="21">
        <f t="shared" si="0"/>
        <v>1155000</v>
      </c>
      <c r="AB8" s="10"/>
      <c r="AC8" s="21">
        <f t="shared" si="1"/>
        <v>0</v>
      </c>
      <c r="AD8" s="10"/>
      <c r="AE8" s="10"/>
      <c r="AF8" s="10"/>
      <c r="AG8" s="10"/>
      <c r="AH8" s="21">
        <f t="shared" si="10"/>
        <v>0</v>
      </c>
      <c r="AI8" s="4">
        <f t="shared" si="2"/>
        <v>0</v>
      </c>
      <c r="AJ8" s="4">
        <f t="shared" si="3"/>
        <v>485000</v>
      </c>
      <c r="AK8" s="4">
        <f t="shared" si="4"/>
        <v>3998300</v>
      </c>
      <c r="AL8" s="4">
        <f t="shared" si="5"/>
        <v>1605000</v>
      </c>
      <c r="AM8" s="9">
        <f t="shared" si="11"/>
        <v>6088300</v>
      </c>
    </row>
    <row r="9" spans="1:39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9">
        <f t="shared" si="6"/>
        <v>0</v>
      </c>
      <c r="K9" s="76">
        <v>290000</v>
      </c>
      <c r="L9" s="76">
        <v>1260000</v>
      </c>
      <c r="M9" s="76">
        <v>920000</v>
      </c>
      <c r="N9" s="76">
        <v>300000</v>
      </c>
      <c r="O9" s="9">
        <f t="shared" si="7"/>
        <v>2770000</v>
      </c>
      <c r="P9" s="4"/>
      <c r="Q9" s="4">
        <v>1263000</v>
      </c>
      <c r="R9" s="4">
        <v>840000</v>
      </c>
      <c r="S9" s="11">
        <v>300000</v>
      </c>
      <c r="T9" s="9">
        <f t="shared" si="8"/>
        <v>2403000</v>
      </c>
      <c r="U9" s="4"/>
      <c r="V9" s="10">
        <v>1169850</v>
      </c>
      <c r="W9" s="10">
        <v>1051200</v>
      </c>
      <c r="X9" s="27">
        <v>30000</v>
      </c>
      <c r="Y9" s="21">
        <f t="shared" si="9"/>
        <v>2251050</v>
      </c>
      <c r="Z9" s="10">
        <v>0</v>
      </c>
      <c r="AA9" s="21">
        <f t="shared" si="0"/>
        <v>0</v>
      </c>
      <c r="AB9" s="10"/>
      <c r="AC9" s="21">
        <f t="shared" si="1"/>
        <v>0</v>
      </c>
      <c r="AD9" s="10"/>
      <c r="AE9" s="10"/>
      <c r="AF9" s="10"/>
      <c r="AG9" s="10"/>
      <c r="AH9" s="21">
        <f t="shared" si="10"/>
        <v>0</v>
      </c>
      <c r="AI9" s="4">
        <f t="shared" si="2"/>
        <v>290000</v>
      </c>
      <c r="AJ9" s="4">
        <f t="shared" si="3"/>
        <v>3692850</v>
      </c>
      <c r="AK9" s="4">
        <f t="shared" si="4"/>
        <v>2811200</v>
      </c>
      <c r="AL9" s="4">
        <f t="shared" si="5"/>
        <v>630000</v>
      </c>
      <c r="AM9" s="9">
        <f t="shared" si="11"/>
        <v>7424050</v>
      </c>
    </row>
    <row r="10" spans="1:39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9">
        <f t="shared" si="6"/>
        <v>0</v>
      </c>
      <c r="K10" s="4"/>
      <c r="L10" s="4"/>
      <c r="M10" s="4"/>
      <c r="N10" s="4"/>
      <c r="O10" s="9">
        <f t="shared" si="7"/>
        <v>0</v>
      </c>
      <c r="P10" s="4"/>
      <c r="Q10" s="4"/>
      <c r="R10" s="4"/>
      <c r="S10" s="4"/>
      <c r="T10" s="9">
        <f t="shared" si="8"/>
        <v>0</v>
      </c>
      <c r="U10" s="4"/>
      <c r="V10" s="10">
        <v>195000</v>
      </c>
      <c r="W10" s="10">
        <f>494700+150000</f>
        <v>644700</v>
      </c>
      <c r="X10" s="27">
        <v>625000</v>
      </c>
      <c r="Y10" s="21">
        <f t="shared" si="9"/>
        <v>1464700</v>
      </c>
      <c r="Z10" s="10">
        <v>0</v>
      </c>
      <c r="AA10" s="21">
        <f t="shared" si="0"/>
        <v>0</v>
      </c>
      <c r="AB10" s="10"/>
      <c r="AC10" s="21">
        <f t="shared" si="1"/>
        <v>0</v>
      </c>
      <c r="AD10" s="10"/>
      <c r="AE10" s="10"/>
      <c r="AF10" s="10"/>
      <c r="AG10" s="10"/>
      <c r="AH10" s="21">
        <f t="shared" si="10"/>
        <v>0</v>
      </c>
      <c r="AI10" s="4">
        <f t="shared" si="2"/>
        <v>0</v>
      </c>
      <c r="AJ10" s="4">
        <f t="shared" si="3"/>
        <v>195000</v>
      </c>
      <c r="AK10" s="4">
        <f t="shared" si="4"/>
        <v>644700</v>
      </c>
      <c r="AL10" s="4">
        <f t="shared" si="5"/>
        <v>625000</v>
      </c>
      <c r="AM10" s="9">
        <f t="shared" si="11"/>
        <v>1464700</v>
      </c>
    </row>
    <row r="11" spans="1:39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9">
        <f t="shared" si="6"/>
        <v>1613552</v>
      </c>
      <c r="K11" s="4"/>
      <c r="L11" s="4"/>
      <c r="M11" s="4"/>
      <c r="N11" s="4"/>
      <c r="O11" s="9">
        <f t="shared" si="7"/>
        <v>0</v>
      </c>
      <c r="P11" s="4"/>
      <c r="Q11" s="4"/>
      <c r="R11" s="4"/>
      <c r="S11" s="4"/>
      <c r="T11" s="9">
        <f t="shared" si="8"/>
        <v>0</v>
      </c>
      <c r="U11" s="4"/>
      <c r="V11" s="10">
        <v>1451150</v>
      </c>
      <c r="W11" s="10">
        <v>523800</v>
      </c>
      <c r="X11" s="27"/>
      <c r="Y11" s="21">
        <f t="shared" si="9"/>
        <v>1974950</v>
      </c>
      <c r="Z11" s="10">
        <v>840000</v>
      </c>
      <c r="AA11" s="21">
        <f t="shared" si="0"/>
        <v>840000</v>
      </c>
      <c r="AB11" s="10"/>
      <c r="AC11" s="21">
        <f t="shared" si="1"/>
        <v>0</v>
      </c>
      <c r="AD11" s="10"/>
      <c r="AE11" s="10"/>
      <c r="AF11" s="10"/>
      <c r="AG11" s="10"/>
      <c r="AH11" s="21">
        <f t="shared" si="10"/>
        <v>0</v>
      </c>
      <c r="AI11" s="4">
        <f t="shared" si="2"/>
        <v>155000</v>
      </c>
      <c r="AJ11" s="4">
        <f t="shared" si="3"/>
        <v>2689702</v>
      </c>
      <c r="AK11" s="4">
        <f t="shared" si="4"/>
        <v>743800</v>
      </c>
      <c r="AL11" s="4">
        <f t="shared" si="5"/>
        <v>840000</v>
      </c>
      <c r="AM11" s="9">
        <f t="shared" si="11"/>
        <v>4428502</v>
      </c>
    </row>
    <row r="12" spans="1:39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9">
        <f t="shared" si="6"/>
        <v>0</v>
      </c>
      <c r="K12" s="4"/>
      <c r="L12" s="4"/>
      <c r="M12" s="4"/>
      <c r="N12" s="4"/>
      <c r="O12" s="9">
        <f t="shared" si="7"/>
        <v>0</v>
      </c>
      <c r="P12" s="4"/>
      <c r="Q12" s="4"/>
      <c r="R12" s="4"/>
      <c r="S12" s="4"/>
      <c r="T12" s="9">
        <f t="shared" si="8"/>
        <v>0</v>
      </c>
      <c r="U12" s="4"/>
      <c r="V12" s="4">
        <v>195000</v>
      </c>
      <c r="W12" s="10">
        <f>1004850+120000</f>
        <v>1124850</v>
      </c>
      <c r="X12" s="27">
        <v>660000</v>
      </c>
      <c r="Y12" s="21">
        <f t="shared" si="9"/>
        <v>1979850</v>
      </c>
      <c r="Z12" s="10">
        <v>0</v>
      </c>
      <c r="AA12" s="21">
        <f t="shared" si="0"/>
        <v>0</v>
      </c>
      <c r="AB12" s="10"/>
      <c r="AC12" s="21">
        <f t="shared" si="1"/>
        <v>0</v>
      </c>
      <c r="AD12" s="10"/>
      <c r="AE12" s="10"/>
      <c r="AF12" s="10"/>
      <c r="AG12" s="10"/>
      <c r="AH12" s="21">
        <f t="shared" si="10"/>
        <v>0</v>
      </c>
      <c r="AI12" s="4">
        <f t="shared" si="2"/>
        <v>0</v>
      </c>
      <c r="AJ12" s="4">
        <f t="shared" si="3"/>
        <v>195000</v>
      </c>
      <c r="AK12" s="4">
        <f t="shared" si="4"/>
        <v>1124850</v>
      </c>
      <c r="AL12" s="4">
        <f t="shared" si="5"/>
        <v>660000</v>
      </c>
      <c r="AM12" s="9">
        <f t="shared" si="11"/>
        <v>1979850</v>
      </c>
    </row>
    <row r="13" spans="1:39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9">
        <f t="shared" si="6"/>
        <v>0</v>
      </c>
      <c r="K13" s="76"/>
      <c r="L13" s="76"/>
      <c r="M13" s="76">
        <v>290000</v>
      </c>
      <c r="N13" s="76">
        <v>775000</v>
      </c>
      <c r="O13" s="9">
        <f t="shared" si="7"/>
        <v>1065000</v>
      </c>
      <c r="P13" s="4"/>
      <c r="Q13" s="4"/>
      <c r="R13" s="4"/>
      <c r="S13" s="4"/>
      <c r="T13" s="9">
        <f t="shared" si="8"/>
        <v>0</v>
      </c>
      <c r="U13" s="4"/>
      <c r="V13" s="10"/>
      <c r="W13" s="10"/>
      <c r="X13" s="10"/>
      <c r="Y13" s="21">
        <f t="shared" si="9"/>
        <v>0</v>
      </c>
      <c r="Z13" s="10">
        <v>0</v>
      </c>
      <c r="AA13" s="21">
        <f t="shared" si="0"/>
        <v>0</v>
      </c>
      <c r="AB13" s="10"/>
      <c r="AC13" s="21">
        <f t="shared" si="1"/>
        <v>0</v>
      </c>
      <c r="AD13" s="10"/>
      <c r="AE13" s="10"/>
      <c r="AF13" s="10"/>
      <c r="AG13" s="10"/>
      <c r="AH13" s="21">
        <f t="shared" si="10"/>
        <v>0</v>
      </c>
      <c r="AI13" s="4">
        <f t="shared" si="2"/>
        <v>0</v>
      </c>
      <c r="AJ13" s="4">
        <f t="shared" si="3"/>
        <v>0</v>
      </c>
      <c r="AK13" s="4">
        <f t="shared" si="4"/>
        <v>290000</v>
      </c>
      <c r="AL13" s="4">
        <f t="shared" si="5"/>
        <v>775000</v>
      </c>
      <c r="AM13" s="9">
        <f t="shared" si="11"/>
        <v>1065000</v>
      </c>
    </row>
    <row r="14" spans="1:39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9">
        <f t="shared" si="6"/>
        <v>327667</v>
      </c>
      <c r="K14" s="4"/>
      <c r="L14" s="4"/>
      <c r="M14" s="4"/>
      <c r="N14" s="4"/>
      <c r="O14" s="9">
        <f t="shared" si="7"/>
        <v>0</v>
      </c>
      <c r="P14" s="4"/>
      <c r="Q14" s="4"/>
      <c r="R14" s="4"/>
      <c r="S14" s="4"/>
      <c r="T14" s="9">
        <f t="shared" si="8"/>
        <v>0</v>
      </c>
      <c r="U14" s="4"/>
      <c r="V14" s="10">
        <v>641000</v>
      </c>
      <c r="W14" s="10">
        <f>787850+210000</f>
        <v>997850</v>
      </c>
      <c r="X14" s="10">
        <v>60000</v>
      </c>
      <c r="Y14" s="21">
        <f t="shared" si="9"/>
        <v>1698850</v>
      </c>
      <c r="Z14" s="10">
        <v>1155000</v>
      </c>
      <c r="AA14" s="21">
        <f t="shared" si="0"/>
        <v>1155000</v>
      </c>
      <c r="AB14" s="10"/>
      <c r="AC14" s="21">
        <f t="shared" si="1"/>
        <v>0</v>
      </c>
      <c r="AD14" s="10"/>
      <c r="AE14" s="10"/>
      <c r="AF14" s="10"/>
      <c r="AG14" s="10"/>
      <c r="AH14" s="21">
        <f t="shared" si="10"/>
        <v>0</v>
      </c>
      <c r="AI14" s="4">
        <f t="shared" si="2"/>
        <v>0</v>
      </c>
      <c r="AJ14" s="4">
        <f t="shared" si="3"/>
        <v>641000</v>
      </c>
      <c r="AK14" s="4">
        <f t="shared" si="4"/>
        <v>1185517</v>
      </c>
      <c r="AL14" s="4">
        <f t="shared" si="5"/>
        <v>1355000</v>
      </c>
      <c r="AM14" s="9">
        <f t="shared" si="11"/>
        <v>3181517</v>
      </c>
    </row>
    <row r="15" spans="1:39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9">
        <f t="shared" si="6"/>
        <v>465500</v>
      </c>
      <c r="K15" s="76"/>
      <c r="L15" s="76">
        <v>290000</v>
      </c>
      <c r="M15" s="76">
        <v>970000</v>
      </c>
      <c r="N15" s="76">
        <v>925000</v>
      </c>
      <c r="O15" s="9">
        <f t="shared" si="7"/>
        <v>2185000</v>
      </c>
      <c r="P15" s="4"/>
      <c r="Q15" s="4"/>
      <c r="R15" s="4"/>
      <c r="S15" s="4"/>
      <c r="T15" s="9">
        <f t="shared" si="8"/>
        <v>0</v>
      </c>
      <c r="U15" s="4"/>
      <c r="V15" s="4"/>
      <c r="W15" s="4"/>
      <c r="X15" s="4"/>
      <c r="Y15" s="21">
        <f t="shared" si="9"/>
        <v>0</v>
      </c>
      <c r="Z15" s="10">
        <v>0</v>
      </c>
      <c r="AA15" s="21">
        <f t="shared" si="0"/>
        <v>0</v>
      </c>
      <c r="AB15" s="10"/>
      <c r="AC15" s="21">
        <f t="shared" si="1"/>
        <v>0</v>
      </c>
      <c r="AD15" s="10"/>
      <c r="AE15" s="10"/>
      <c r="AF15" s="10"/>
      <c r="AG15" s="10"/>
      <c r="AH15" s="21">
        <f t="shared" si="10"/>
        <v>0</v>
      </c>
      <c r="AI15" s="4">
        <f t="shared" si="2"/>
        <v>0</v>
      </c>
      <c r="AJ15" s="4">
        <f t="shared" si="3"/>
        <v>290000</v>
      </c>
      <c r="AK15" s="4">
        <f t="shared" si="4"/>
        <v>1335500</v>
      </c>
      <c r="AL15" s="4">
        <f t="shared" si="5"/>
        <v>1025000</v>
      </c>
      <c r="AM15" s="9">
        <f t="shared" si="11"/>
        <v>2650500</v>
      </c>
    </row>
    <row r="16" spans="1:39" s="38" customFormat="1">
      <c r="A16" s="34"/>
      <c r="B16" s="85"/>
      <c r="C16" s="35" t="s">
        <v>83</v>
      </c>
      <c r="D16" s="36"/>
      <c r="E16" s="37"/>
      <c r="F16" s="37">
        <f>SUM(F5:F15)</f>
        <v>465000</v>
      </c>
      <c r="G16" s="37">
        <f t="shared" ref="G16:AM16" si="12">SUM(G5:G15)</f>
        <v>2984462</v>
      </c>
      <c r="H16" s="37">
        <f t="shared" si="12"/>
        <v>2388667</v>
      </c>
      <c r="I16" s="37">
        <f t="shared" si="12"/>
        <v>1020000</v>
      </c>
      <c r="J16" s="37">
        <f t="shared" si="12"/>
        <v>6858129</v>
      </c>
      <c r="K16" s="37">
        <f t="shared" si="12"/>
        <v>290000</v>
      </c>
      <c r="L16" s="37">
        <f t="shared" si="12"/>
        <v>1550000</v>
      </c>
      <c r="M16" s="37">
        <f t="shared" si="12"/>
        <v>2180000</v>
      </c>
      <c r="N16" s="37">
        <f t="shared" si="12"/>
        <v>2000000</v>
      </c>
      <c r="O16" s="37">
        <f t="shared" si="12"/>
        <v>6020000</v>
      </c>
      <c r="P16" s="37">
        <f t="shared" si="12"/>
        <v>0</v>
      </c>
      <c r="Q16" s="37">
        <f t="shared" si="12"/>
        <v>1553000</v>
      </c>
      <c r="R16" s="37">
        <f t="shared" si="12"/>
        <v>3599000</v>
      </c>
      <c r="S16" s="37">
        <f t="shared" si="12"/>
        <v>600000</v>
      </c>
      <c r="T16" s="37">
        <f t="shared" si="12"/>
        <v>5752000</v>
      </c>
      <c r="U16" s="37">
        <f t="shared" si="12"/>
        <v>390000</v>
      </c>
      <c r="V16" s="37">
        <f t="shared" si="12"/>
        <v>6700250</v>
      </c>
      <c r="W16" s="37">
        <f t="shared" si="12"/>
        <v>6943550</v>
      </c>
      <c r="X16" s="37">
        <f t="shared" si="12"/>
        <v>1885000</v>
      </c>
      <c r="Y16" s="37">
        <f t="shared" si="12"/>
        <v>15918800</v>
      </c>
      <c r="Z16" s="37">
        <f t="shared" si="12"/>
        <v>6146000</v>
      </c>
      <c r="AA16" s="37">
        <f t="shared" si="12"/>
        <v>6146000</v>
      </c>
      <c r="AB16" s="37">
        <f t="shared" si="12"/>
        <v>0</v>
      </c>
      <c r="AC16" s="37">
        <f t="shared" si="12"/>
        <v>0</v>
      </c>
      <c r="AD16" s="37">
        <f t="shared" si="12"/>
        <v>0</v>
      </c>
      <c r="AE16" s="37">
        <f t="shared" si="12"/>
        <v>0</v>
      </c>
      <c r="AF16" s="37">
        <f t="shared" si="12"/>
        <v>0</v>
      </c>
      <c r="AG16" s="37">
        <f t="shared" si="12"/>
        <v>0</v>
      </c>
      <c r="AH16" s="37">
        <f t="shared" si="12"/>
        <v>0</v>
      </c>
      <c r="AI16" s="37">
        <f t="shared" si="12"/>
        <v>1145000</v>
      </c>
      <c r="AJ16" s="37">
        <f t="shared" si="12"/>
        <v>12787712</v>
      </c>
      <c r="AK16" s="37">
        <f t="shared" si="12"/>
        <v>15111217</v>
      </c>
      <c r="AL16" s="37">
        <f t="shared" si="12"/>
        <v>11651000</v>
      </c>
      <c r="AM16" s="37">
        <f t="shared" si="12"/>
        <v>40694929</v>
      </c>
    </row>
    <row r="17" spans="1:39">
      <c r="A17" s="185" t="s">
        <v>35</v>
      </c>
      <c r="B17" s="8">
        <v>1</v>
      </c>
      <c r="C17" s="1" t="s">
        <v>84</v>
      </c>
      <c r="D17" s="4" t="s">
        <v>85</v>
      </c>
      <c r="E17" s="4" t="s">
        <v>35</v>
      </c>
      <c r="F17" s="4"/>
      <c r="G17" s="4"/>
      <c r="H17" s="4">
        <v>155000</v>
      </c>
      <c r="I17" s="4">
        <v>533000</v>
      </c>
      <c r="J17" s="9">
        <f t="shared" ref="J17:J18" si="13">SUM(F17:I17)</f>
        <v>688000</v>
      </c>
      <c r="K17" s="4"/>
      <c r="L17" s="4"/>
      <c r="M17" s="4"/>
      <c r="N17" s="4"/>
      <c r="O17" s="9">
        <f t="shared" ref="O17:O18" si="14">SUM(K17:N17)</f>
        <v>0</v>
      </c>
      <c r="P17" s="4"/>
      <c r="Q17" s="4"/>
      <c r="R17" s="4"/>
      <c r="S17" s="4"/>
      <c r="T17" s="9">
        <f t="shared" ref="T17:T18" si="15">SUM(P17:S17)</f>
        <v>0</v>
      </c>
      <c r="U17" s="4"/>
      <c r="V17" s="4"/>
      <c r="W17" s="4"/>
      <c r="X17" s="4"/>
      <c r="Y17" s="21">
        <f t="shared" ref="Y17:Y18" si="16">SUM(U17:X17)</f>
        <v>0</v>
      </c>
      <c r="Z17" s="10"/>
      <c r="AA17" s="21">
        <f>SUM(Z17:Z17)</f>
        <v>0</v>
      </c>
      <c r="AB17" s="10"/>
      <c r="AC17" s="21">
        <f>SUM(AB17:AB17)</f>
        <v>0</v>
      </c>
      <c r="AD17" s="10"/>
      <c r="AE17" s="10"/>
      <c r="AF17" s="10"/>
      <c r="AG17" s="10"/>
      <c r="AH17" s="21">
        <f t="shared" ref="AH17:AH18" si="17">SUM(AD17:AG17)</f>
        <v>0</v>
      </c>
      <c r="AI17" s="4">
        <f t="shared" ref="AI17:AK18" si="18">F17+K17+P17+U17+AD17</f>
        <v>0</v>
      </c>
      <c r="AJ17" s="4">
        <f t="shared" si="18"/>
        <v>0</v>
      </c>
      <c r="AK17" s="4">
        <f t="shared" si="18"/>
        <v>155000</v>
      </c>
      <c r="AL17" s="4">
        <f>I17+N17+S17+X17+Z17+AB17+AG17</f>
        <v>533000</v>
      </c>
      <c r="AM17" s="9">
        <f t="shared" ref="AM17:AM18" si="19">SUM(AI17:AL17)</f>
        <v>688000</v>
      </c>
    </row>
    <row r="18" spans="1:39">
      <c r="A18" s="187"/>
      <c r="B18" s="8">
        <v>2</v>
      </c>
      <c r="C18" s="1" t="s">
        <v>7</v>
      </c>
      <c r="D18" s="4" t="s">
        <v>40</v>
      </c>
      <c r="E18" s="4" t="s">
        <v>35</v>
      </c>
      <c r="F18" s="4">
        <v>155000</v>
      </c>
      <c r="G18" s="4"/>
      <c r="H18" s="4">
        <f>418500+93000+46500</f>
        <v>558000</v>
      </c>
      <c r="I18" s="4">
        <v>417000</v>
      </c>
      <c r="J18" s="9">
        <f t="shared" si="13"/>
        <v>1130000</v>
      </c>
      <c r="K18" s="4"/>
      <c r="L18" s="4"/>
      <c r="M18" s="4"/>
      <c r="N18" s="4"/>
      <c r="O18" s="9">
        <f t="shared" si="14"/>
        <v>0</v>
      </c>
      <c r="P18" s="4">
        <v>290000</v>
      </c>
      <c r="Q18" s="4"/>
      <c r="R18" s="4"/>
      <c r="S18" s="4">
        <v>800000</v>
      </c>
      <c r="T18" s="9">
        <f t="shared" si="15"/>
        <v>1090000</v>
      </c>
      <c r="U18" s="4"/>
      <c r="V18" s="4"/>
      <c r="W18" s="4"/>
      <c r="X18" s="4"/>
      <c r="Y18" s="21">
        <f t="shared" si="16"/>
        <v>0</v>
      </c>
      <c r="Z18" s="10"/>
      <c r="AA18" s="21">
        <f>SUM(Z18:Z18)</f>
        <v>0</v>
      </c>
      <c r="AB18" s="10"/>
      <c r="AC18" s="21">
        <f>SUM(AB18:AB18)</f>
        <v>0</v>
      </c>
      <c r="AD18" s="10"/>
      <c r="AE18" s="10"/>
      <c r="AF18" s="10"/>
      <c r="AG18" s="10"/>
      <c r="AH18" s="21">
        <f t="shared" si="17"/>
        <v>0</v>
      </c>
      <c r="AI18" s="4">
        <f t="shared" si="18"/>
        <v>445000</v>
      </c>
      <c r="AJ18" s="4">
        <f t="shared" si="18"/>
        <v>0</v>
      </c>
      <c r="AK18" s="4">
        <f t="shared" si="18"/>
        <v>558000</v>
      </c>
      <c r="AL18" s="4">
        <f>I18+N18+S18+X18+Z18+AB18+AG18</f>
        <v>1217000</v>
      </c>
      <c r="AM18" s="9">
        <f t="shared" si="19"/>
        <v>2220000</v>
      </c>
    </row>
    <row r="19" spans="1:39" s="38" customFormat="1">
      <c r="A19" s="34"/>
      <c r="B19" s="85"/>
      <c r="C19" s="35" t="s">
        <v>86</v>
      </c>
      <c r="D19" s="36"/>
      <c r="E19" s="37"/>
      <c r="F19" s="37">
        <f>SUM(F17:F18)</f>
        <v>155000</v>
      </c>
      <c r="G19" s="37">
        <f t="shared" ref="G19:AM19" si="20">SUM(G17:G18)</f>
        <v>0</v>
      </c>
      <c r="H19" s="37">
        <f t="shared" si="20"/>
        <v>713000</v>
      </c>
      <c r="I19" s="37">
        <f t="shared" si="20"/>
        <v>950000</v>
      </c>
      <c r="J19" s="37">
        <f t="shared" si="20"/>
        <v>1818000</v>
      </c>
      <c r="K19" s="37">
        <f t="shared" si="20"/>
        <v>0</v>
      </c>
      <c r="L19" s="37">
        <f t="shared" si="20"/>
        <v>0</v>
      </c>
      <c r="M19" s="37">
        <f t="shared" si="20"/>
        <v>0</v>
      </c>
      <c r="N19" s="37">
        <f t="shared" si="20"/>
        <v>0</v>
      </c>
      <c r="O19" s="37">
        <f t="shared" si="20"/>
        <v>0</v>
      </c>
      <c r="P19" s="37">
        <f t="shared" si="20"/>
        <v>290000</v>
      </c>
      <c r="Q19" s="37">
        <f t="shared" si="20"/>
        <v>0</v>
      </c>
      <c r="R19" s="37">
        <f t="shared" si="20"/>
        <v>0</v>
      </c>
      <c r="S19" s="37">
        <f t="shared" si="20"/>
        <v>800000</v>
      </c>
      <c r="T19" s="37">
        <f t="shared" si="20"/>
        <v>1090000</v>
      </c>
      <c r="U19" s="37">
        <f t="shared" si="20"/>
        <v>0</v>
      </c>
      <c r="V19" s="37">
        <f t="shared" si="20"/>
        <v>0</v>
      </c>
      <c r="W19" s="37">
        <f t="shared" si="20"/>
        <v>0</v>
      </c>
      <c r="X19" s="37">
        <f t="shared" si="20"/>
        <v>0</v>
      </c>
      <c r="Y19" s="37">
        <f t="shared" si="20"/>
        <v>0</v>
      </c>
      <c r="Z19" s="37">
        <f t="shared" si="20"/>
        <v>0</v>
      </c>
      <c r="AA19" s="37">
        <f t="shared" si="20"/>
        <v>0</v>
      </c>
      <c r="AB19" s="37">
        <f t="shared" si="20"/>
        <v>0</v>
      </c>
      <c r="AC19" s="37">
        <f t="shared" si="20"/>
        <v>0</v>
      </c>
      <c r="AD19" s="37">
        <f t="shared" si="20"/>
        <v>0</v>
      </c>
      <c r="AE19" s="37">
        <f t="shared" si="20"/>
        <v>0</v>
      </c>
      <c r="AF19" s="37">
        <f t="shared" si="20"/>
        <v>0</v>
      </c>
      <c r="AG19" s="37">
        <f t="shared" si="20"/>
        <v>0</v>
      </c>
      <c r="AH19" s="37">
        <f t="shared" si="20"/>
        <v>0</v>
      </c>
      <c r="AI19" s="37">
        <f t="shared" si="20"/>
        <v>445000</v>
      </c>
      <c r="AJ19" s="37">
        <f t="shared" si="20"/>
        <v>0</v>
      </c>
      <c r="AK19" s="37">
        <f t="shared" si="20"/>
        <v>713000</v>
      </c>
      <c r="AL19" s="37">
        <f t="shared" si="20"/>
        <v>1750000</v>
      </c>
      <c r="AM19" s="37">
        <f t="shared" si="20"/>
        <v>2908000</v>
      </c>
    </row>
    <row r="20" spans="1:39" ht="31.5">
      <c r="A20" s="185" t="s">
        <v>18</v>
      </c>
      <c r="B20" s="8">
        <v>1</v>
      </c>
      <c r="C20" s="1" t="s">
        <v>87</v>
      </c>
      <c r="D20" s="4" t="s">
        <v>88</v>
      </c>
      <c r="E20" s="4" t="s">
        <v>18</v>
      </c>
      <c r="F20" s="4"/>
      <c r="G20" s="4"/>
      <c r="H20" s="4">
        <v>155000</v>
      </c>
      <c r="I20" s="4">
        <f>100000+40000</f>
        <v>140000</v>
      </c>
      <c r="J20" s="9">
        <f t="shared" ref="J20:J24" si="21">SUM(F20:I20)</f>
        <v>295000</v>
      </c>
      <c r="K20" s="4"/>
      <c r="L20" s="4"/>
      <c r="M20" s="4"/>
      <c r="N20" s="4"/>
      <c r="O20" s="9">
        <f t="shared" ref="O20:O24" si="22">SUM(K20:N20)</f>
        <v>0</v>
      </c>
      <c r="P20" s="4"/>
      <c r="Q20" s="4"/>
      <c r="R20" s="4"/>
      <c r="S20" s="4"/>
      <c r="T20" s="9">
        <f t="shared" ref="T20:T24" si="23">SUM(P20:S20)</f>
        <v>0</v>
      </c>
      <c r="U20" s="4"/>
      <c r="V20" s="4"/>
      <c r="W20" s="10">
        <v>259750</v>
      </c>
      <c r="X20" s="27">
        <v>172000</v>
      </c>
      <c r="Y20" s="21">
        <f t="shared" ref="Y20:Y24" si="24">SUM(U20:X20)</f>
        <v>431750</v>
      </c>
      <c r="Z20" s="10">
        <v>945000</v>
      </c>
      <c r="AA20" s="21">
        <f>SUM(Z20:Z20)</f>
        <v>945000</v>
      </c>
      <c r="AB20" s="10"/>
      <c r="AC20" s="21">
        <f>SUM(AB20:AB20)</f>
        <v>0</v>
      </c>
      <c r="AD20" s="10"/>
      <c r="AE20" s="10"/>
      <c r="AF20" s="10">
        <v>376000</v>
      </c>
      <c r="AG20" s="10"/>
      <c r="AH20" s="21">
        <f t="shared" ref="AH20:AH24" si="25">SUM(AD20:AG20)</f>
        <v>376000</v>
      </c>
      <c r="AI20" s="4">
        <f t="shared" ref="AI20:AK24" si="26">F20+K20+P20+U20+AD20</f>
        <v>0</v>
      </c>
      <c r="AJ20" s="4">
        <f t="shared" si="26"/>
        <v>0</v>
      </c>
      <c r="AK20" s="4">
        <f t="shared" si="26"/>
        <v>790750</v>
      </c>
      <c r="AL20" s="4">
        <f>I20+N20+S20+X20+Z20+AB20+AG20</f>
        <v>1257000</v>
      </c>
      <c r="AM20" s="9">
        <f t="shared" ref="AM20:AM24" si="27">SUM(AI20:AL20)</f>
        <v>2047750</v>
      </c>
    </row>
    <row r="21" spans="1:39">
      <c r="A21" s="186"/>
      <c r="B21" s="8">
        <v>2</v>
      </c>
      <c r="C21" s="1" t="s">
        <v>89</v>
      </c>
      <c r="D21" s="4" t="s">
        <v>90</v>
      </c>
      <c r="E21" s="4" t="s">
        <v>18</v>
      </c>
      <c r="F21" s="4"/>
      <c r="G21" s="4"/>
      <c r="H21" s="4">
        <v>155000</v>
      </c>
      <c r="I21" s="4">
        <f>120000+20000</f>
        <v>140000</v>
      </c>
      <c r="J21" s="9">
        <f t="shared" si="21"/>
        <v>295000</v>
      </c>
      <c r="K21" s="4"/>
      <c r="L21" s="4"/>
      <c r="M21" s="4"/>
      <c r="N21" s="4"/>
      <c r="O21" s="9">
        <f t="shared" si="22"/>
        <v>0</v>
      </c>
      <c r="P21" s="4"/>
      <c r="Q21" s="4"/>
      <c r="R21" s="4"/>
      <c r="S21" s="4"/>
      <c r="T21" s="9">
        <f t="shared" si="23"/>
        <v>0</v>
      </c>
      <c r="U21" s="4"/>
      <c r="V21" s="4"/>
      <c r="W21" s="10">
        <f>258750+140000</f>
        <v>398750</v>
      </c>
      <c r="X21" s="27">
        <v>30000</v>
      </c>
      <c r="Y21" s="21">
        <f t="shared" si="24"/>
        <v>428750</v>
      </c>
      <c r="Z21" s="10">
        <v>945000</v>
      </c>
      <c r="AA21" s="21">
        <f>SUM(Z21:Z21)</f>
        <v>945000</v>
      </c>
      <c r="AB21" s="10"/>
      <c r="AC21" s="21">
        <f>SUM(AB21:AB21)</f>
        <v>0</v>
      </c>
      <c r="AD21" s="10"/>
      <c r="AE21" s="10"/>
      <c r="AF21" s="10">
        <v>376000</v>
      </c>
      <c r="AG21" s="10"/>
      <c r="AH21" s="21">
        <f t="shared" si="25"/>
        <v>376000</v>
      </c>
      <c r="AI21" s="4">
        <f t="shared" si="26"/>
        <v>0</v>
      </c>
      <c r="AJ21" s="4">
        <f t="shared" si="26"/>
        <v>0</v>
      </c>
      <c r="AK21" s="4">
        <f t="shared" si="26"/>
        <v>929750</v>
      </c>
      <c r="AL21" s="4">
        <f>I21+N21+S21+X21+Z21+AB21+AG21</f>
        <v>1115000</v>
      </c>
      <c r="AM21" s="9">
        <f t="shared" si="27"/>
        <v>2044750</v>
      </c>
    </row>
    <row r="22" spans="1:39" ht="31.5">
      <c r="A22" s="186"/>
      <c r="B22" s="8">
        <v>3</v>
      </c>
      <c r="C22" s="1" t="s">
        <v>91</v>
      </c>
      <c r="D22" s="4" t="s">
        <v>92</v>
      </c>
      <c r="E22" s="4" t="s">
        <v>18</v>
      </c>
      <c r="F22" s="4"/>
      <c r="G22" s="4">
        <v>155000</v>
      </c>
      <c r="H22" s="4">
        <f>462000+77000+286000+330000+110000+40000</f>
        <v>1305000</v>
      </c>
      <c r="I22" s="4">
        <v>685500</v>
      </c>
      <c r="J22" s="9">
        <f t="shared" si="21"/>
        <v>2145500</v>
      </c>
      <c r="K22" s="4"/>
      <c r="L22" s="4"/>
      <c r="M22" s="4"/>
      <c r="N22" s="4"/>
      <c r="O22" s="9">
        <f t="shared" si="22"/>
        <v>0</v>
      </c>
      <c r="P22" s="4"/>
      <c r="Q22" s="4">
        <v>290000</v>
      </c>
      <c r="R22" s="4">
        <v>1516000</v>
      </c>
      <c r="S22" s="11">
        <v>300000</v>
      </c>
      <c r="T22" s="9">
        <f t="shared" si="23"/>
        <v>2106000</v>
      </c>
      <c r="U22" s="4"/>
      <c r="V22" s="4"/>
      <c r="W22" s="4"/>
      <c r="X22" s="4"/>
      <c r="Y22" s="21">
        <f t="shared" si="24"/>
        <v>0</v>
      </c>
      <c r="Z22" s="10"/>
      <c r="AA22" s="21">
        <f>SUM(Z22:Z22)</f>
        <v>0</v>
      </c>
      <c r="AB22" s="10"/>
      <c r="AC22" s="21">
        <f>SUM(AB22:AB22)</f>
        <v>0</v>
      </c>
      <c r="AD22" s="10"/>
      <c r="AE22" s="10"/>
      <c r="AF22" s="10"/>
      <c r="AG22" s="10"/>
      <c r="AH22" s="21">
        <f t="shared" si="25"/>
        <v>0</v>
      </c>
      <c r="AI22" s="4">
        <f t="shared" si="26"/>
        <v>0</v>
      </c>
      <c r="AJ22" s="4">
        <f t="shared" si="26"/>
        <v>445000</v>
      </c>
      <c r="AK22" s="4">
        <f t="shared" si="26"/>
        <v>2821000</v>
      </c>
      <c r="AL22" s="4">
        <f>I22+N22+S22+X22+Z22+AB22+AG22</f>
        <v>985500</v>
      </c>
      <c r="AM22" s="9">
        <f t="shared" si="27"/>
        <v>4251500</v>
      </c>
    </row>
    <row r="23" spans="1:39">
      <c r="A23" s="186"/>
      <c r="B23" s="8">
        <v>4</v>
      </c>
      <c r="C23" s="1" t="s">
        <v>9</v>
      </c>
      <c r="D23" s="4" t="s">
        <v>42</v>
      </c>
      <c r="E23" s="4" t="s">
        <v>18</v>
      </c>
      <c r="F23" s="4"/>
      <c r="G23" s="4"/>
      <c r="H23" s="4"/>
      <c r="I23" s="4"/>
      <c r="J23" s="9">
        <f t="shared" si="21"/>
        <v>0</v>
      </c>
      <c r="K23" s="4"/>
      <c r="L23" s="4"/>
      <c r="M23" s="4"/>
      <c r="N23" s="4"/>
      <c r="O23" s="9">
        <f t="shared" si="22"/>
        <v>0</v>
      </c>
      <c r="P23" s="4">
        <v>290000</v>
      </c>
      <c r="Q23" s="70">
        <v>2093000</v>
      </c>
      <c r="R23" s="4">
        <v>1575000</v>
      </c>
      <c r="S23" s="11"/>
      <c r="T23" s="9">
        <f t="shared" si="23"/>
        <v>3958000</v>
      </c>
      <c r="U23" s="4">
        <v>195000</v>
      </c>
      <c r="V23" s="10">
        <v>1426450</v>
      </c>
      <c r="W23" s="10">
        <v>1018500</v>
      </c>
      <c r="X23" s="10">
        <v>950000</v>
      </c>
      <c r="Y23" s="21">
        <f t="shared" si="24"/>
        <v>3589950</v>
      </c>
      <c r="Z23" s="10"/>
      <c r="AA23" s="21">
        <f>SUM(Z23:Z23)</f>
        <v>0</v>
      </c>
      <c r="AB23" s="10"/>
      <c r="AC23" s="21">
        <f>SUM(AB23:AB23)</f>
        <v>0</v>
      </c>
      <c r="AD23" s="10"/>
      <c r="AE23" s="10">
        <v>100000</v>
      </c>
      <c r="AF23" s="10">
        <v>522000</v>
      </c>
      <c r="AG23" s="10"/>
      <c r="AH23" s="21">
        <f t="shared" si="25"/>
        <v>622000</v>
      </c>
      <c r="AI23" s="4">
        <f t="shared" si="26"/>
        <v>485000</v>
      </c>
      <c r="AJ23" s="4">
        <f t="shared" si="26"/>
        <v>3619450</v>
      </c>
      <c r="AK23" s="4">
        <f t="shared" si="26"/>
        <v>3115500</v>
      </c>
      <c r="AL23" s="4">
        <f>I23+N23+S23+X23+Z23+AB23+AG23</f>
        <v>950000</v>
      </c>
      <c r="AM23" s="9">
        <f t="shared" si="27"/>
        <v>8169950</v>
      </c>
    </row>
    <row r="24" spans="1:39" ht="31.5">
      <c r="A24" s="187"/>
      <c r="B24" s="8">
        <v>5</v>
      </c>
      <c r="C24" s="1" t="s">
        <v>93</v>
      </c>
      <c r="D24" s="4" t="s">
        <v>94</v>
      </c>
      <c r="E24" s="4" t="s">
        <v>18</v>
      </c>
      <c r="F24" s="4">
        <v>155000</v>
      </c>
      <c r="G24" s="4">
        <v>207500</v>
      </c>
      <c r="H24" s="4">
        <v>379500</v>
      </c>
      <c r="I24" s="4"/>
      <c r="J24" s="9">
        <f t="shared" si="21"/>
        <v>742000</v>
      </c>
      <c r="K24" s="4"/>
      <c r="L24" s="4"/>
      <c r="M24" s="4"/>
      <c r="N24" s="4"/>
      <c r="O24" s="9">
        <f t="shared" si="22"/>
        <v>0</v>
      </c>
      <c r="P24" s="4"/>
      <c r="Q24" s="4"/>
      <c r="R24" s="4"/>
      <c r="S24" s="4"/>
      <c r="T24" s="9">
        <f t="shared" si="23"/>
        <v>0</v>
      </c>
      <c r="U24" s="4"/>
      <c r="V24" s="10">
        <v>629500</v>
      </c>
      <c r="W24" s="10">
        <v>436500</v>
      </c>
      <c r="X24" s="10"/>
      <c r="Y24" s="21">
        <f t="shared" si="24"/>
        <v>1066000</v>
      </c>
      <c r="Z24" s="10"/>
      <c r="AA24" s="21">
        <f>SUM(Z24:Z24)</f>
        <v>0</v>
      </c>
      <c r="AB24" s="10"/>
      <c r="AC24" s="21">
        <f>SUM(AB24:AB24)</f>
        <v>0</v>
      </c>
      <c r="AD24" s="10"/>
      <c r="AE24" s="10"/>
      <c r="AF24" s="10"/>
      <c r="AG24" s="10"/>
      <c r="AH24" s="21">
        <f t="shared" si="25"/>
        <v>0</v>
      </c>
      <c r="AI24" s="4">
        <f t="shared" si="26"/>
        <v>155000</v>
      </c>
      <c r="AJ24" s="4">
        <f t="shared" si="26"/>
        <v>837000</v>
      </c>
      <c r="AK24" s="4">
        <f t="shared" si="26"/>
        <v>816000</v>
      </c>
      <c r="AL24" s="4">
        <f>I24+N24+S24+X24+Z24+AB24+AG24</f>
        <v>0</v>
      </c>
      <c r="AM24" s="9">
        <f t="shared" si="27"/>
        <v>1808000</v>
      </c>
    </row>
    <row r="25" spans="1:39" s="38" customFormat="1">
      <c r="A25" s="34"/>
      <c r="B25" s="85"/>
      <c r="C25" s="35" t="s">
        <v>95</v>
      </c>
      <c r="D25" s="37"/>
      <c r="E25" s="37"/>
      <c r="F25" s="37">
        <f>SUM(F20:F24)</f>
        <v>155000</v>
      </c>
      <c r="G25" s="37">
        <f t="shared" ref="G25:AM25" si="28">SUM(G20:G24)</f>
        <v>362500</v>
      </c>
      <c r="H25" s="37">
        <f t="shared" si="28"/>
        <v>1994500</v>
      </c>
      <c r="I25" s="37">
        <f t="shared" si="28"/>
        <v>965500</v>
      </c>
      <c r="J25" s="37">
        <f t="shared" si="28"/>
        <v>3477500</v>
      </c>
      <c r="K25" s="37">
        <f t="shared" si="28"/>
        <v>0</v>
      </c>
      <c r="L25" s="37">
        <f t="shared" si="28"/>
        <v>0</v>
      </c>
      <c r="M25" s="37">
        <f t="shared" si="28"/>
        <v>0</v>
      </c>
      <c r="N25" s="37">
        <f t="shared" si="28"/>
        <v>0</v>
      </c>
      <c r="O25" s="37">
        <f t="shared" si="28"/>
        <v>0</v>
      </c>
      <c r="P25" s="37">
        <f t="shared" si="28"/>
        <v>290000</v>
      </c>
      <c r="Q25" s="37">
        <f t="shared" si="28"/>
        <v>2383000</v>
      </c>
      <c r="R25" s="37">
        <f t="shared" si="28"/>
        <v>3091000</v>
      </c>
      <c r="S25" s="37">
        <f t="shared" si="28"/>
        <v>300000</v>
      </c>
      <c r="T25" s="37">
        <f t="shared" si="28"/>
        <v>6064000</v>
      </c>
      <c r="U25" s="37">
        <f t="shared" si="28"/>
        <v>195000</v>
      </c>
      <c r="V25" s="37">
        <f t="shared" si="28"/>
        <v>2055950</v>
      </c>
      <c r="W25" s="37">
        <f t="shared" si="28"/>
        <v>2113500</v>
      </c>
      <c r="X25" s="37">
        <f t="shared" si="28"/>
        <v>1152000</v>
      </c>
      <c r="Y25" s="37">
        <f t="shared" si="28"/>
        <v>5516450</v>
      </c>
      <c r="Z25" s="37">
        <f t="shared" si="28"/>
        <v>1890000</v>
      </c>
      <c r="AA25" s="37">
        <f t="shared" si="28"/>
        <v>1890000</v>
      </c>
      <c r="AB25" s="37">
        <f t="shared" si="28"/>
        <v>0</v>
      </c>
      <c r="AC25" s="37">
        <f t="shared" si="28"/>
        <v>0</v>
      </c>
      <c r="AD25" s="37">
        <f t="shared" si="28"/>
        <v>0</v>
      </c>
      <c r="AE25" s="37">
        <f t="shared" si="28"/>
        <v>100000</v>
      </c>
      <c r="AF25" s="37">
        <f t="shared" si="28"/>
        <v>1274000</v>
      </c>
      <c r="AG25" s="37">
        <f t="shared" si="28"/>
        <v>0</v>
      </c>
      <c r="AH25" s="37">
        <f t="shared" si="28"/>
        <v>1374000</v>
      </c>
      <c r="AI25" s="37">
        <f t="shared" si="28"/>
        <v>640000</v>
      </c>
      <c r="AJ25" s="37">
        <f t="shared" si="28"/>
        <v>4901450</v>
      </c>
      <c r="AK25" s="37">
        <f t="shared" si="28"/>
        <v>8473000</v>
      </c>
      <c r="AL25" s="37">
        <f t="shared" si="28"/>
        <v>4307500</v>
      </c>
      <c r="AM25" s="37">
        <f t="shared" si="28"/>
        <v>18321950</v>
      </c>
    </row>
    <row r="26" spans="1:39">
      <c r="A26" s="184" t="s">
        <v>96</v>
      </c>
      <c r="B26" s="8">
        <v>1</v>
      </c>
      <c r="C26" s="1" t="s">
        <v>97</v>
      </c>
      <c r="D26" s="4" t="s">
        <v>96</v>
      </c>
      <c r="E26" s="4" t="s">
        <v>98</v>
      </c>
      <c r="F26" s="4"/>
      <c r="G26" s="4">
        <v>155000</v>
      </c>
      <c r="H26" s="5">
        <v>-155000</v>
      </c>
      <c r="I26" s="4"/>
      <c r="J26" s="9">
        <f t="shared" ref="J26:J27" si="29">SUM(F26:I26)</f>
        <v>0</v>
      </c>
      <c r="K26" s="4"/>
      <c r="L26" s="4"/>
      <c r="M26" s="4"/>
      <c r="N26" s="4"/>
      <c r="O26" s="9">
        <f t="shared" ref="O26:O27" si="30">SUM(K26:N26)</f>
        <v>0</v>
      </c>
      <c r="P26" s="4"/>
      <c r="Q26" s="4"/>
      <c r="R26" s="4"/>
      <c r="S26" s="4"/>
      <c r="T26" s="9">
        <f t="shared" ref="T26:T27" si="31">SUM(P26:S26)</f>
        <v>0</v>
      </c>
      <c r="U26" s="4"/>
      <c r="V26" s="4"/>
      <c r="W26" s="4"/>
      <c r="X26" s="4"/>
      <c r="Y26" s="21">
        <f t="shared" ref="Y26:Y27" si="32">SUM(U26:X26)</f>
        <v>0</v>
      </c>
      <c r="Z26" s="10"/>
      <c r="AA26" s="21">
        <f>SUM(Z26:Z26)</f>
        <v>0</v>
      </c>
      <c r="AB26" s="10"/>
      <c r="AC26" s="21">
        <f>SUM(AB26:AB26)</f>
        <v>0</v>
      </c>
      <c r="AD26" s="10"/>
      <c r="AE26" s="10"/>
      <c r="AF26" s="10"/>
      <c r="AG26" s="10"/>
      <c r="AH26" s="21">
        <f t="shared" ref="AH26:AH27" si="33">SUM(AD26:AG26)</f>
        <v>0</v>
      </c>
      <c r="AI26" s="4">
        <f t="shared" ref="AI26:AK27" si="34">F26+K26+P26+U26+AD26</f>
        <v>0</v>
      </c>
      <c r="AJ26" s="4">
        <f t="shared" si="34"/>
        <v>155000</v>
      </c>
      <c r="AK26" s="4">
        <f t="shared" si="34"/>
        <v>-155000</v>
      </c>
      <c r="AL26" s="4">
        <f>I26+N26+S26+X26+Z26+AB26+AG26</f>
        <v>0</v>
      </c>
      <c r="AM26" s="9">
        <f t="shared" ref="AM26:AM27" si="35">SUM(AI26:AL26)</f>
        <v>0</v>
      </c>
    </row>
    <row r="27" spans="1:39" ht="30">
      <c r="A27" s="184"/>
      <c r="B27" s="8">
        <v>2</v>
      </c>
      <c r="C27" s="2" t="s">
        <v>99</v>
      </c>
      <c r="D27" s="4" t="s">
        <v>96</v>
      </c>
      <c r="E27" s="4" t="s">
        <v>98</v>
      </c>
      <c r="F27" s="4"/>
      <c r="G27" s="4"/>
      <c r="H27" s="5"/>
      <c r="I27" s="4"/>
      <c r="J27" s="9">
        <f t="shared" si="29"/>
        <v>0</v>
      </c>
      <c r="K27" s="4"/>
      <c r="L27" s="4"/>
      <c r="M27" s="4"/>
      <c r="N27" s="4"/>
      <c r="O27" s="9">
        <f t="shared" si="30"/>
        <v>0</v>
      </c>
      <c r="P27" s="4"/>
      <c r="Q27" s="4"/>
      <c r="R27" s="4"/>
      <c r="S27" s="4"/>
      <c r="T27" s="9">
        <f t="shared" si="31"/>
        <v>0</v>
      </c>
      <c r="U27" s="4"/>
      <c r="V27" s="4"/>
      <c r="W27" s="4"/>
      <c r="X27" s="4"/>
      <c r="Y27" s="21">
        <f t="shared" si="32"/>
        <v>0</v>
      </c>
      <c r="Z27" s="10"/>
      <c r="AA27" s="21">
        <f>SUM(Z27:Z27)</f>
        <v>0</v>
      </c>
      <c r="AB27" s="10"/>
      <c r="AC27" s="21">
        <f>SUM(AB27:AB27)</f>
        <v>0</v>
      </c>
      <c r="AD27" s="10"/>
      <c r="AE27" s="10"/>
      <c r="AF27" s="10">
        <v>100000</v>
      </c>
      <c r="AG27" s="10">
        <v>150000</v>
      </c>
      <c r="AH27" s="21">
        <f t="shared" si="33"/>
        <v>250000</v>
      </c>
      <c r="AI27" s="4">
        <f t="shared" si="34"/>
        <v>0</v>
      </c>
      <c r="AJ27" s="4">
        <f t="shared" si="34"/>
        <v>0</v>
      </c>
      <c r="AK27" s="4">
        <f t="shared" si="34"/>
        <v>100000</v>
      </c>
      <c r="AL27" s="4">
        <f>I27+N27+S27+X27+Z27+AB27+AG27</f>
        <v>150000</v>
      </c>
      <c r="AM27" s="9">
        <f t="shared" si="35"/>
        <v>250000</v>
      </c>
    </row>
    <row r="28" spans="1:39" s="38" customFormat="1">
      <c r="A28" s="34"/>
      <c r="B28" s="85"/>
      <c r="C28" s="35" t="s">
        <v>100</v>
      </c>
      <c r="D28" s="37"/>
      <c r="E28" s="37"/>
      <c r="F28" s="37">
        <f>SUM(F26:F27)</f>
        <v>0</v>
      </c>
      <c r="G28" s="37">
        <f t="shared" ref="G28:AM28" si="36">SUM(G26:G27)</f>
        <v>155000</v>
      </c>
      <c r="H28" s="37">
        <f t="shared" si="36"/>
        <v>-155000</v>
      </c>
      <c r="I28" s="37">
        <f t="shared" si="36"/>
        <v>0</v>
      </c>
      <c r="J28" s="37">
        <f t="shared" si="36"/>
        <v>0</v>
      </c>
      <c r="K28" s="37">
        <f t="shared" si="36"/>
        <v>0</v>
      </c>
      <c r="L28" s="37">
        <f t="shared" si="36"/>
        <v>0</v>
      </c>
      <c r="M28" s="37">
        <f t="shared" si="36"/>
        <v>0</v>
      </c>
      <c r="N28" s="37">
        <f t="shared" si="36"/>
        <v>0</v>
      </c>
      <c r="O28" s="37">
        <f t="shared" si="36"/>
        <v>0</v>
      </c>
      <c r="P28" s="37">
        <f t="shared" si="36"/>
        <v>0</v>
      </c>
      <c r="Q28" s="37">
        <f t="shared" si="36"/>
        <v>0</v>
      </c>
      <c r="R28" s="37">
        <f t="shared" si="36"/>
        <v>0</v>
      </c>
      <c r="S28" s="37">
        <f t="shared" si="36"/>
        <v>0</v>
      </c>
      <c r="T28" s="37">
        <f t="shared" si="36"/>
        <v>0</v>
      </c>
      <c r="U28" s="37">
        <f t="shared" si="36"/>
        <v>0</v>
      </c>
      <c r="V28" s="37">
        <f t="shared" si="36"/>
        <v>0</v>
      </c>
      <c r="W28" s="37">
        <f t="shared" si="36"/>
        <v>0</v>
      </c>
      <c r="X28" s="37">
        <f t="shared" si="36"/>
        <v>0</v>
      </c>
      <c r="Y28" s="37">
        <f t="shared" si="36"/>
        <v>0</v>
      </c>
      <c r="Z28" s="37">
        <f t="shared" si="36"/>
        <v>0</v>
      </c>
      <c r="AA28" s="37">
        <f t="shared" si="36"/>
        <v>0</v>
      </c>
      <c r="AB28" s="37">
        <f t="shared" si="36"/>
        <v>0</v>
      </c>
      <c r="AC28" s="37">
        <f t="shared" si="36"/>
        <v>0</v>
      </c>
      <c r="AD28" s="37">
        <f t="shared" si="36"/>
        <v>0</v>
      </c>
      <c r="AE28" s="37">
        <f t="shared" si="36"/>
        <v>0</v>
      </c>
      <c r="AF28" s="37">
        <f t="shared" si="36"/>
        <v>100000</v>
      </c>
      <c r="AG28" s="37">
        <f t="shared" si="36"/>
        <v>150000</v>
      </c>
      <c r="AH28" s="37">
        <f t="shared" si="36"/>
        <v>250000</v>
      </c>
      <c r="AI28" s="37">
        <f t="shared" si="36"/>
        <v>0</v>
      </c>
      <c r="AJ28" s="37">
        <f t="shared" si="36"/>
        <v>155000</v>
      </c>
      <c r="AK28" s="37">
        <f t="shared" si="36"/>
        <v>-55000</v>
      </c>
      <c r="AL28" s="37">
        <f t="shared" si="36"/>
        <v>150000</v>
      </c>
      <c r="AM28" s="37">
        <f t="shared" si="36"/>
        <v>250000</v>
      </c>
    </row>
    <row r="29" spans="1:39">
      <c r="A29" s="185" t="s">
        <v>58</v>
      </c>
      <c r="B29" s="8">
        <v>1</v>
      </c>
      <c r="C29" s="1" t="s">
        <v>101</v>
      </c>
      <c r="D29" s="4" t="s">
        <v>102</v>
      </c>
      <c r="E29" s="4" t="s">
        <v>31</v>
      </c>
      <c r="F29" s="4"/>
      <c r="G29" s="4"/>
      <c r="H29" s="4">
        <v>155000</v>
      </c>
      <c r="I29" s="4">
        <v>12000</v>
      </c>
      <c r="J29" s="9">
        <f t="shared" ref="J29:J32" si="37">SUM(F29:I29)</f>
        <v>167000</v>
      </c>
      <c r="K29" s="4"/>
      <c r="L29" s="4"/>
      <c r="M29" s="4"/>
      <c r="N29" s="4"/>
      <c r="O29" s="9">
        <f t="shared" ref="O29:O32" si="38">SUM(K29:N29)</f>
        <v>0</v>
      </c>
      <c r="P29" s="20"/>
      <c r="Q29" s="20"/>
      <c r="R29" s="20"/>
      <c r="S29" s="20"/>
      <c r="T29" s="9">
        <f t="shared" ref="T29:T32" si="39">SUM(P29:S29)</f>
        <v>0</v>
      </c>
      <c r="U29" s="20"/>
      <c r="V29" s="20"/>
      <c r="W29" s="20"/>
      <c r="X29" s="20"/>
      <c r="Y29" s="21">
        <f t="shared" ref="Y29:Y32" si="40">SUM(U29:X29)</f>
        <v>0</v>
      </c>
      <c r="Z29" s="25"/>
      <c r="AA29" s="21">
        <f>SUM(Z29:Z29)</f>
        <v>0</v>
      </c>
      <c r="AB29" s="25"/>
      <c r="AC29" s="21">
        <f>SUM(AB29:AB29)</f>
        <v>0</v>
      </c>
      <c r="AD29" s="25"/>
      <c r="AE29" s="25"/>
      <c r="AF29" s="25"/>
      <c r="AG29" s="25"/>
      <c r="AH29" s="21">
        <f t="shared" ref="AH29:AH32" si="41">SUM(AD29:AG29)</f>
        <v>0</v>
      </c>
      <c r="AI29" s="4">
        <f t="shared" ref="AI29:AK32" si="42">F29+K29+P29+U29+AD29</f>
        <v>0</v>
      </c>
      <c r="AJ29" s="4">
        <f t="shared" si="42"/>
        <v>0</v>
      </c>
      <c r="AK29" s="4">
        <f t="shared" si="42"/>
        <v>155000</v>
      </c>
      <c r="AL29" s="4">
        <f>I29+N29+S29+X29+Z29+AB29+AG29</f>
        <v>12000</v>
      </c>
      <c r="AM29" s="9">
        <f t="shared" ref="AM29:AM32" si="43">SUM(AI29:AL29)</f>
        <v>167000</v>
      </c>
    </row>
    <row r="30" spans="1:39">
      <c r="A30" s="186"/>
      <c r="B30" s="8">
        <v>2</v>
      </c>
      <c r="C30" s="1" t="s">
        <v>103</v>
      </c>
      <c r="D30" s="4" t="s">
        <v>104</v>
      </c>
      <c r="E30" s="4" t="s">
        <v>31</v>
      </c>
      <c r="F30" s="4"/>
      <c r="G30" s="4">
        <v>155000</v>
      </c>
      <c r="H30" s="4">
        <f>33000+115933</f>
        <v>148933</v>
      </c>
      <c r="I30" s="4"/>
      <c r="J30" s="9">
        <f t="shared" si="37"/>
        <v>303933</v>
      </c>
      <c r="K30" s="76"/>
      <c r="L30" s="76"/>
      <c r="M30" s="76">
        <v>290000</v>
      </c>
      <c r="N30" s="76"/>
      <c r="O30" s="9">
        <f t="shared" si="38"/>
        <v>290000</v>
      </c>
      <c r="P30" s="20"/>
      <c r="Q30" s="20">
        <v>605000</v>
      </c>
      <c r="R30" s="4">
        <v>252000</v>
      </c>
      <c r="S30" s="22"/>
      <c r="T30" s="9">
        <f t="shared" si="39"/>
        <v>857000</v>
      </c>
      <c r="U30" s="20"/>
      <c r="V30" s="20">
        <v>322500</v>
      </c>
      <c r="W30" s="25">
        <v>122950</v>
      </c>
      <c r="X30" s="25"/>
      <c r="Y30" s="21">
        <f t="shared" si="40"/>
        <v>445450</v>
      </c>
      <c r="Z30" s="25"/>
      <c r="AA30" s="21">
        <f>SUM(Z30:Z30)</f>
        <v>0</v>
      </c>
      <c r="AB30" s="25"/>
      <c r="AC30" s="21">
        <f>SUM(AB30:AB30)</f>
        <v>0</v>
      </c>
      <c r="AD30" s="25"/>
      <c r="AE30" s="24">
        <v>100000</v>
      </c>
      <c r="AF30" s="25">
        <v>276000</v>
      </c>
      <c r="AG30" s="25"/>
      <c r="AH30" s="21">
        <f t="shared" si="41"/>
        <v>376000</v>
      </c>
      <c r="AI30" s="4">
        <f t="shared" si="42"/>
        <v>0</v>
      </c>
      <c r="AJ30" s="4">
        <f t="shared" si="42"/>
        <v>1182500</v>
      </c>
      <c r="AK30" s="4">
        <f t="shared" si="42"/>
        <v>1089883</v>
      </c>
      <c r="AL30" s="4">
        <f>I30+N30+S30+X30+Z30+AB30+AG30</f>
        <v>0</v>
      </c>
      <c r="AM30" s="9">
        <f t="shared" si="43"/>
        <v>2272383</v>
      </c>
    </row>
    <row r="31" spans="1:39">
      <c r="A31" s="186"/>
      <c r="B31" s="8">
        <v>3</v>
      </c>
      <c r="C31" s="1" t="s">
        <v>105</v>
      </c>
      <c r="D31" s="4" t="s">
        <v>106</v>
      </c>
      <c r="E31" s="4" t="s">
        <v>31</v>
      </c>
      <c r="F31" s="4"/>
      <c r="G31" s="4"/>
      <c r="H31" s="4"/>
      <c r="I31" s="4"/>
      <c r="J31" s="9">
        <f t="shared" si="37"/>
        <v>0</v>
      </c>
      <c r="K31" s="4"/>
      <c r="L31" s="4"/>
      <c r="M31" s="27"/>
      <c r="N31" s="10"/>
      <c r="O31" s="9">
        <f t="shared" si="38"/>
        <v>0</v>
      </c>
      <c r="P31" s="20"/>
      <c r="Q31" s="20"/>
      <c r="R31" s="4"/>
      <c r="S31" s="22"/>
      <c r="T31" s="9">
        <f t="shared" si="39"/>
        <v>0</v>
      </c>
      <c r="U31" s="20"/>
      <c r="V31" s="20"/>
      <c r="W31" s="25"/>
      <c r="X31" s="25"/>
      <c r="Y31" s="21">
        <f t="shared" si="40"/>
        <v>0</v>
      </c>
      <c r="Z31" s="25"/>
      <c r="AA31" s="21">
        <f>SUM(Z31:Z31)</f>
        <v>0</v>
      </c>
      <c r="AB31" s="25"/>
      <c r="AC31" s="21">
        <f>SUM(AB31:AB31)</f>
        <v>0</v>
      </c>
      <c r="AD31" s="25"/>
      <c r="AE31" s="25"/>
      <c r="AF31" s="25"/>
      <c r="AG31" s="25"/>
      <c r="AH31" s="21">
        <f t="shared" si="41"/>
        <v>0</v>
      </c>
      <c r="AI31" s="4">
        <f t="shared" si="42"/>
        <v>0</v>
      </c>
      <c r="AJ31" s="4">
        <f t="shared" si="42"/>
        <v>0</v>
      </c>
      <c r="AK31" s="4">
        <f t="shared" si="42"/>
        <v>0</v>
      </c>
      <c r="AL31" s="4">
        <f>I31+N31+S31+X31+Z31+AB31+AG31</f>
        <v>0</v>
      </c>
      <c r="AM31" s="9">
        <f t="shared" si="43"/>
        <v>0</v>
      </c>
    </row>
    <row r="32" spans="1:39">
      <c r="A32" s="187"/>
      <c r="B32" s="8">
        <v>4</v>
      </c>
      <c r="C32" s="1" t="s">
        <v>12</v>
      </c>
      <c r="D32" s="4" t="s">
        <v>45</v>
      </c>
      <c r="E32" s="4" t="s">
        <v>31</v>
      </c>
      <c r="F32" s="4"/>
      <c r="G32" s="4"/>
      <c r="H32" s="4">
        <v>155000</v>
      </c>
      <c r="I32" s="4">
        <v>160000</v>
      </c>
      <c r="J32" s="9">
        <f t="shared" si="37"/>
        <v>315000</v>
      </c>
      <c r="K32" s="76"/>
      <c r="L32" s="76"/>
      <c r="M32" s="76">
        <v>820000</v>
      </c>
      <c r="N32" s="76">
        <v>200000</v>
      </c>
      <c r="O32" s="9">
        <f t="shared" si="38"/>
        <v>1020000</v>
      </c>
      <c r="P32" s="20"/>
      <c r="Q32" s="20"/>
      <c r="R32" s="4">
        <v>530000</v>
      </c>
      <c r="S32" s="23">
        <v>480000</v>
      </c>
      <c r="T32" s="9">
        <f t="shared" si="39"/>
        <v>1010000</v>
      </c>
      <c r="U32" s="20"/>
      <c r="V32" s="20"/>
      <c r="W32" s="20"/>
      <c r="X32" s="20"/>
      <c r="Y32" s="21">
        <f t="shared" si="40"/>
        <v>0</v>
      </c>
      <c r="Z32" s="25"/>
      <c r="AA32" s="21">
        <f>SUM(Z32:Z32)</f>
        <v>0</v>
      </c>
      <c r="AB32" s="25"/>
      <c r="AC32" s="21">
        <f>SUM(AB32:AB32)</f>
        <v>0</v>
      </c>
      <c r="AD32" s="25"/>
      <c r="AE32" s="25"/>
      <c r="AF32" s="25"/>
      <c r="AG32" s="25"/>
      <c r="AH32" s="21">
        <f t="shared" si="41"/>
        <v>0</v>
      </c>
      <c r="AI32" s="4">
        <f t="shared" si="42"/>
        <v>0</v>
      </c>
      <c r="AJ32" s="4">
        <f t="shared" si="42"/>
        <v>0</v>
      </c>
      <c r="AK32" s="4">
        <f t="shared" si="42"/>
        <v>1505000</v>
      </c>
      <c r="AL32" s="4">
        <f>I32+N32+S32+X32+Z32+AB32+AG32</f>
        <v>840000</v>
      </c>
      <c r="AM32" s="9">
        <f t="shared" si="43"/>
        <v>2345000</v>
      </c>
    </row>
    <row r="33" spans="1:39" s="38" customFormat="1">
      <c r="A33" s="34"/>
      <c r="B33" s="85"/>
      <c r="C33" s="35" t="s">
        <v>107</v>
      </c>
      <c r="D33" s="37"/>
      <c r="E33" s="37"/>
      <c r="F33" s="37">
        <f>SUM(F29:F32)</f>
        <v>0</v>
      </c>
      <c r="G33" s="37">
        <f t="shared" ref="G33:AM33" si="44">SUM(G29:G32)</f>
        <v>155000</v>
      </c>
      <c r="H33" s="37">
        <f t="shared" si="44"/>
        <v>458933</v>
      </c>
      <c r="I33" s="37">
        <f t="shared" si="44"/>
        <v>172000</v>
      </c>
      <c r="J33" s="37">
        <f t="shared" si="44"/>
        <v>785933</v>
      </c>
      <c r="K33" s="37">
        <f t="shared" si="44"/>
        <v>0</v>
      </c>
      <c r="L33" s="37">
        <f t="shared" si="44"/>
        <v>0</v>
      </c>
      <c r="M33" s="37">
        <f t="shared" si="44"/>
        <v>1110000</v>
      </c>
      <c r="N33" s="37">
        <f t="shared" si="44"/>
        <v>200000</v>
      </c>
      <c r="O33" s="37">
        <f t="shared" si="44"/>
        <v>1310000</v>
      </c>
      <c r="P33" s="37">
        <f t="shared" si="44"/>
        <v>0</v>
      </c>
      <c r="Q33" s="37">
        <f t="shared" si="44"/>
        <v>605000</v>
      </c>
      <c r="R33" s="37">
        <f t="shared" si="44"/>
        <v>782000</v>
      </c>
      <c r="S33" s="37">
        <f t="shared" si="44"/>
        <v>480000</v>
      </c>
      <c r="T33" s="37">
        <f t="shared" si="44"/>
        <v>1867000</v>
      </c>
      <c r="U33" s="37">
        <f t="shared" si="44"/>
        <v>0</v>
      </c>
      <c r="V33" s="37">
        <f t="shared" si="44"/>
        <v>322500</v>
      </c>
      <c r="W33" s="37">
        <f t="shared" si="44"/>
        <v>122950</v>
      </c>
      <c r="X33" s="37">
        <f t="shared" si="44"/>
        <v>0</v>
      </c>
      <c r="Y33" s="37">
        <f t="shared" si="44"/>
        <v>445450</v>
      </c>
      <c r="Z33" s="37">
        <f t="shared" si="44"/>
        <v>0</v>
      </c>
      <c r="AA33" s="37">
        <f t="shared" si="44"/>
        <v>0</v>
      </c>
      <c r="AB33" s="37">
        <f t="shared" si="44"/>
        <v>0</v>
      </c>
      <c r="AC33" s="37">
        <f t="shared" si="44"/>
        <v>0</v>
      </c>
      <c r="AD33" s="37">
        <f t="shared" si="44"/>
        <v>0</v>
      </c>
      <c r="AE33" s="37">
        <f t="shared" si="44"/>
        <v>100000</v>
      </c>
      <c r="AF33" s="37">
        <f t="shared" si="44"/>
        <v>276000</v>
      </c>
      <c r="AG33" s="37">
        <f t="shared" si="44"/>
        <v>0</v>
      </c>
      <c r="AH33" s="37">
        <f t="shared" si="44"/>
        <v>376000</v>
      </c>
      <c r="AI33" s="37">
        <f t="shared" si="44"/>
        <v>0</v>
      </c>
      <c r="AJ33" s="37">
        <f t="shared" si="44"/>
        <v>1182500</v>
      </c>
      <c r="AK33" s="37">
        <f t="shared" si="44"/>
        <v>2749883</v>
      </c>
      <c r="AL33" s="37">
        <f t="shared" si="44"/>
        <v>852000</v>
      </c>
      <c r="AM33" s="37">
        <f t="shared" si="44"/>
        <v>4784383</v>
      </c>
    </row>
    <row r="34" spans="1:39">
      <c r="A34" s="185" t="s">
        <v>108</v>
      </c>
      <c r="B34" s="8">
        <v>1</v>
      </c>
      <c r="C34" s="1" t="s">
        <v>109</v>
      </c>
      <c r="D34" s="4" t="s">
        <v>108</v>
      </c>
      <c r="E34" s="4" t="s">
        <v>108</v>
      </c>
      <c r="F34" s="4"/>
      <c r="G34" s="4"/>
      <c r="H34" s="5"/>
      <c r="I34" s="4"/>
      <c r="J34" s="9">
        <f t="shared" ref="J34:J45" si="45">SUM(F34:I34)</f>
        <v>0</v>
      </c>
      <c r="K34" s="4"/>
      <c r="L34" s="4"/>
      <c r="M34" s="10"/>
      <c r="N34" s="10"/>
      <c r="O34" s="9">
        <f t="shared" ref="O34:O45" si="46">SUM(K34:N34)</f>
        <v>0</v>
      </c>
      <c r="P34" s="20"/>
      <c r="Q34" s="20"/>
      <c r="R34" s="23"/>
      <c r="S34" s="23"/>
      <c r="T34" s="9">
        <f t="shared" ref="T34:T45" si="47">SUM(P34:S34)</f>
        <v>0</v>
      </c>
      <c r="U34" s="20"/>
      <c r="V34" s="20"/>
      <c r="W34" s="20"/>
      <c r="X34" s="20"/>
      <c r="Y34" s="21">
        <f t="shared" ref="Y34:Y45" si="48">SUM(U34:X34)</f>
        <v>0</v>
      </c>
      <c r="Z34" s="25"/>
      <c r="AA34" s="21">
        <f t="shared" ref="AA34:AA45" si="49">SUM(Z34:Z34)</f>
        <v>0</v>
      </c>
      <c r="AB34" s="25"/>
      <c r="AC34" s="21">
        <f t="shared" ref="AC34:AC45" si="50">SUM(AB34:AB34)</f>
        <v>0</v>
      </c>
      <c r="AD34" s="25"/>
      <c r="AE34" s="25"/>
      <c r="AF34" s="25"/>
      <c r="AG34" s="25"/>
      <c r="AH34" s="21">
        <f t="shared" ref="AH34:AH45" si="51">SUM(AD34:AG34)</f>
        <v>0</v>
      </c>
      <c r="AI34" s="4">
        <f t="shared" ref="AI34:AI45" si="52">F34+K34+P34+U34+AD34</f>
        <v>0</v>
      </c>
      <c r="AJ34" s="4">
        <f t="shared" ref="AJ34:AJ45" si="53">G34+L34+Q34+V34+AE34</f>
        <v>0</v>
      </c>
      <c r="AK34" s="4">
        <f t="shared" ref="AK34:AK45" si="54">H34+M34+R34+W34+AF34</f>
        <v>0</v>
      </c>
      <c r="AL34" s="4">
        <f t="shared" ref="AL34:AL45" si="55">I34+N34+S34+X34+Z34+AB34+AG34</f>
        <v>0</v>
      </c>
      <c r="AM34" s="9">
        <f t="shared" ref="AM34:AM45" si="56">SUM(AI34:AL34)</f>
        <v>0</v>
      </c>
    </row>
    <row r="35" spans="1:39">
      <c r="A35" s="186"/>
      <c r="B35" s="8">
        <v>2</v>
      </c>
      <c r="C35" s="1" t="s">
        <v>110</v>
      </c>
      <c r="D35" s="4" t="s">
        <v>108</v>
      </c>
      <c r="E35" s="4" t="s">
        <v>108</v>
      </c>
      <c r="F35" s="4">
        <v>155000</v>
      </c>
      <c r="G35" s="4">
        <v>368500</v>
      </c>
      <c r="H35" s="4">
        <f>44000+22000+8000+140000</f>
        <v>214000</v>
      </c>
      <c r="I35" s="4">
        <v>180000</v>
      </c>
      <c r="J35" s="9">
        <f t="shared" si="45"/>
        <v>917500</v>
      </c>
      <c r="K35" s="4"/>
      <c r="L35" s="4"/>
      <c r="M35" s="4"/>
      <c r="N35" s="4"/>
      <c r="O35" s="9">
        <f t="shared" si="46"/>
        <v>0</v>
      </c>
      <c r="P35" s="20"/>
      <c r="Q35" s="20"/>
      <c r="R35" s="20"/>
      <c r="S35" s="20"/>
      <c r="T35" s="9">
        <f t="shared" si="47"/>
        <v>0</v>
      </c>
      <c r="U35" s="20"/>
      <c r="V35" s="20"/>
      <c r="W35" s="20"/>
      <c r="X35" s="20"/>
      <c r="Y35" s="21">
        <f t="shared" si="48"/>
        <v>0</v>
      </c>
      <c r="Z35" s="25"/>
      <c r="AA35" s="21">
        <f t="shared" si="49"/>
        <v>0</v>
      </c>
      <c r="AB35" s="25"/>
      <c r="AC35" s="21">
        <f t="shared" si="50"/>
        <v>0</v>
      </c>
      <c r="AD35" s="25"/>
      <c r="AE35" s="25"/>
      <c r="AF35" s="25"/>
      <c r="AG35" s="25"/>
      <c r="AH35" s="21">
        <f t="shared" si="51"/>
        <v>0</v>
      </c>
      <c r="AI35" s="4">
        <f t="shared" si="52"/>
        <v>155000</v>
      </c>
      <c r="AJ35" s="4">
        <f t="shared" si="53"/>
        <v>368500</v>
      </c>
      <c r="AK35" s="4">
        <f t="shared" si="54"/>
        <v>214000</v>
      </c>
      <c r="AL35" s="4">
        <f t="shared" si="55"/>
        <v>180000</v>
      </c>
      <c r="AM35" s="9">
        <f t="shared" si="56"/>
        <v>917500</v>
      </c>
    </row>
    <row r="36" spans="1:39" ht="32.25" customHeight="1">
      <c r="A36" s="186"/>
      <c r="B36" s="8">
        <v>3</v>
      </c>
      <c r="C36" s="1" t="s">
        <v>111</v>
      </c>
      <c r="D36" s="4" t="s">
        <v>108</v>
      </c>
      <c r="E36" s="4" t="s">
        <v>108</v>
      </c>
      <c r="F36" s="4"/>
      <c r="G36" s="4"/>
      <c r="H36" s="4"/>
      <c r="I36" s="4"/>
      <c r="J36" s="9">
        <f t="shared" si="45"/>
        <v>0</v>
      </c>
      <c r="K36" s="4"/>
      <c r="L36" s="4"/>
      <c r="M36" s="4"/>
      <c r="N36" s="4"/>
      <c r="O36" s="9">
        <f t="shared" si="46"/>
        <v>0</v>
      </c>
      <c r="P36" s="20"/>
      <c r="Q36" s="20"/>
      <c r="R36" s="20"/>
      <c r="S36" s="20"/>
      <c r="T36" s="9">
        <f t="shared" si="47"/>
        <v>0</v>
      </c>
      <c r="U36" s="20"/>
      <c r="V36" s="24">
        <v>354300</v>
      </c>
      <c r="W36" s="24">
        <f>32950+112000</f>
        <v>144950</v>
      </c>
      <c r="X36" s="24"/>
      <c r="Y36" s="21">
        <f t="shared" si="48"/>
        <v>499250</v>
      </c>
      <c r="Z36" s="25"/>
      <c r="AA36" s="21">
        <f t="shared" si="49"/>
        <v>0</v>
      </c>
      <c r="AB36" s="25"/>
      <c r="AC36" s="21">
        <f t="shared" si="50"/>
        <v>0</v>
      </c>
      <c r="AD36" s="25"/>
      <c r="AE36" s="25"/>
      <c r="AF36" s="25"/>
      <c r="AG36" s="25"/>
      <c r="AH36" s="21">
        <f t="shared" si="51"/>
        <v>0</v>
      </c>
      <c r="AI36" s="4">
        <f t="shared" si="52"/>
        <v>0</v>
      </c>
      <c r="AJ36" s="4">
        <f t="shared" si="53"/>
        <v>354300</v>
      </c>
      <c r="AK36" s="4">
        <f t="shared" si="54"/>
        <v>144950</v>
      </c>
      <c r="AL36" s="4">
        <f t="shared" si="55"/>
        <v>0</v>
      </c>
      <c r="AM36" s="9">
        <f t="shared" si="56"/>
        <v>499250</v>
      </c>
    </row>
    <row r="37" spans="1:39">
      <c r="A37" s="186"/>
      <c r="B37" s="8">
        <v>4</v>
      </c>
      <c r="C37" s="40" t="s">
        <v>112</v>
      </c>
      <c r="D37" s="4" t="s">
        <v>108</v>
      </c>
      <c r="E37" s="4" t="s">
        <v>108</v>
      </c>
      <c r="F37" s="4"/>
      <c r="G37" s="4"/>
      <c r="H37" s="4"/>
      <c r="I37" s="4"/>
      <c r="J37" s="9">
        <f t="shared" si="45"/>
        <v>0</v>
      </c>
      <c r="K37" s="76">
        <v>290000</v>
      </c>
      <c r="L37" s="76">
        <v>2200000</v>
      </c>
      <c r="M37" s="76">
        <v>1200000</v>
      </c>
      <c r="N37" s="76">
        <v>700000</v>
      </c>
      <c r="O37" s="9">
        <f t="shared" si="46"/>
        <v>4390000</v>
      </c>
      <c r="P37" s="20"/>
      <c r="Q37" s="20"/>
      <c r="R37" s="20"/>
      <c r="S37" s="20"/>
      <c r="T37" s="9">
        <f t="shared" si="47"/>
        <v>0</v>
      </c>
      <c r="U37" s="20"/>
      <c r="V37" s="24"/>
      <c r="W37" s="24"/>
      <c r="X37" s="24"/>
      <c r="Y37" s="21">
        <f t="shared" si="48"/>
        <v>0</v>
      </c>
      <c r="Z37" s="25"/>
      <c r="AA37" s="21">
        <f t="shared" si="49"/>
        <v>0</v>
      </c>
      <c r="AB37" s="25"/>
      <c r="AC37" s="21">
        <f t="shared" si="50"/>
        <v>0</v>
      </c>
      <c r="AD37" s="25"/>
      <c r="AE37" s="25"/>
      <c r="AF37" s="25"/>
      <c r="AG37" s="25"/>
      <c r="AH37" s="21">
        <f t="shared" si="51"/>
        <v>0</v>
      </c>
      <c r="AI37" s="4">
        <f t="shared" si="52"/>
        <v>290000</v>
      </c>
      <c r="AJ37" s="4">
        <f t="shared" si="53"/>
        <v>2200000</v>
      </c>
      <c r="AK37" s="4">
        <f t="shared" si="54"/>
        <v>1200000</v>
      </c>
      <c r="AL37" s="4">
        <f t="shared" si="55"/>
        <v>700000</v>
      </c>
      <c r="AM37" s="9">
        <f t="shared" si="56"/>
        <v>4390000</v>
      </c>
    </row>
    <row r="38" spans="1:39">
      <c r="A38" s="186"/>
      <c r="B38" s="8">
        <v>5</v>
      </c>
      <c r="C38" s="1" t="s">
        <v>113</v>
      </c>
      <c r="D38" s="41" t="s">
        <v>114</v>
      </c>
      <c r="E38" s="4" t="s">
        <v>108</v>
      </c>
      <c r="F38" s="4"/>
      <c r="G38" s="4"/>
      <c r="H38" s="4"/>
      <c r="I38" s="4"/>
      <c r="J38" s="9">
        <f t="shared" si="45"/>
        <v>0</v>
      </c>
      <c r="K38" s="4"/>
      <c r="L38" s="4"/>
      <c r="M38" s="4"/>
      <c r="N38" s="4"/>
      <c r="O38" s="9">
        <f t="shared" si="46"/>
        <v>0</v>
      </c>
      <c r="P38" s="20"/>
      <c r="Q38" s="20"/>
      <c r="R38" s="20"/>
      <c r="S38" s="20"/>
      <c r="T38" s="9">
        <f t="shared" si="47"/>
        <v>0</v>
      </c>
      <c r="U38" s="20"/>
      <c r="V38" s="24"/>
      <c r="W38" s="24">
        <f>195000+4000</f>
        <v>199000</v>
      </c>
      <c r="X38" s="24">
        <v>92000</v>
      </c>
      <c r="Y38" s="21">
        <f t="shared" si="48"/>
        <v>291000</v>
      </c>
      <c r="Z38" s="25"/>
      <c r="AA38" s="21">
        <f t="shared" si="49"/>
        <v>0</v>
      </c>
      <c r="AB38" s="25"/>
      <c r="AC38" s="21">
        <f t="shared" si="50"/>
        <v>0</v>
      </c>
      <c r="AD38" s="25"/>
      <c r="AE38" s="25"/>
      <c r="AF38" s="25"/>
      <c r="AG38" s="25"/>
      <c r="AH38" s="21">
        <f t="shared" si="51"/>
        <v>0</v>
      </c>
      <c r="AI38" s="4">
        <f t="shared" si="52"/>
        <v>0</v>
      </c>
      <c r="AJ38" s="4">
        <f t="shared" si="53"/>
        <v>0</v>
      </c>
      <c r="AK38" s="4">
        <f t="shared" si="54"/>
        <v>199000</v>
      </c>
      <c r="AL38" s="4">
        <f t="shared" si="55"/>
        <v>92000</v>
      </c>
      <c r="AM38" s="9">
        <f t="shared" si="56"/>
        <v>291000</v>
      </c>
    </row>
    <row r="39" spans="1:39" ht="32.25" customHeight="1">
      <c r="A39" s="186"/>
      <c r="B39" s="8">
        <v>6</v>
      </c>
      <c r="C39" s="1" t="s">
        <v>115</v>
      </c>
      <c r="D39" s="4" t="s">
        <v>116</v>
      </c>
      <c r="E39" s="4" t="s">
        <v>108</v>
      </c>
      <c r="F39" s="4">
        <v>155000</v>
      </c>
      <c r="G39" s="4">
        <v>395500</v>
      </c>
      <c r="H39" s="4">
        <v>303500</v>
      </c>
      <c r="I39" s="4">
        <f>60000+20000</f>
        <v>80000</v>
      </c>
      <c r="J39" s="9">
        <f t="shared" si="45"/>
        <v>934000</v>
      </c>
      <c r="K39" s="4"/>
      <c r="L39" s="4"/>
      <c r="M39" s="4"/>
      <c r="N39" s="4"/>
      <c r="O39" s="9">
        <f t="shared" si="46"/>
        <v>0</v>
      </c>
      <c r="P39" s="20">
        <v>290000</v>
      </c>
      <c r="Q39" s="22">
        <v>364000</v>
      </c>
      <c r="R39" s="4">
        <v>404000</v>
      </c>
      <c r="S39" s="22">
        <v>248000</v>
      </c>
      <c r="T39" s="9">
        <f t="shared" si="47"/>
        <v>1306000</v>
      </c>
      <c r="U39" s="20">
        <v>195000</v>
      </c>
      <c r="V39" s="24">
        <f>438600+4000</f>
        <v>442600</v>
      </c>
      <c r="W39" s="24">
        <v>449800</v>
      </c>
      <c r="X39" s="24">
        <v>150000</v>
      </c>
      <c r="Y39" s="21">
        <f t="shared" si="48"/>
        <v>1237400</v>
      </c>
      <c r="Z39" s="25">
        <v>409500</v>
      </c>
      <c r="AA39" s="21">
        <f t="shared" si="49"/>
        <v>409500</v>
      </c>
      <c r="AB39" s="25"/>
      <c r="AC39" s="21">
        <f t="shared" si="50"/>
        <v>0</v>
      </c>
      <c r="AD39" s="25"/>
      <c r="AE39" s="25"/>
      <c r="AF39" s="25">
        <v>100000</v>
      </c>
      <c r="AG39" s="25"/>
      <c r="AH39" s="21">
        <f t="shared" si="51"/>
        <v>100000</v>
      </c>
      <c r="AI39" s="4">
        <f t="shared" si="52"/>
        <v>640000</v>
      </c>
      <c r="AJ39" s="4">
        <f t="shared" si="53"/>
        <v>1202100</v>
      </c>
      <c r="AK39" s="4">
        <f t="shared" si="54"/>
        <v>1257300</v>
      </c>
      <c r="AL39" s="4">
        <f t="shared" si="55"/>
        <v>887500</v>
      </c>
      <c r="AM39" s="9">
        <f t="shared" si="56"/>
        <v>3986900</v>
      </c>
    </row>
    <row r="40" spans="1:39">
      <c r="A40" s="186"/>
      <c r="B40" s="8">
        <v>7</v>
      </c>
      <c r="C40" s="1" t="s">
        <v>115</v>
      </c>
      <c r="D40" s="4" t="s">
        <v>116</v>
      </c>
      <c r="E40" s="4" t="s">
        <v>108</v>
      </c>
      <c r="F40" s="4"/>
      <c r="G40" s="4"/>
      <c r="H40" s="4"/>
      <c r="I40" s="4"/>
      <c r="J40" s="9">
        <f t="shared" si="45"/>
        <v>0</v>
      </c>
      <c r="K40" s="4"/>
      <c r="L40" s="4"/>
      <c r="M40" s="4"/>
      <c r="N40" s="4"/>
      <c r="O40" s="9">
        <f t="shared" si="46"/>
        <v>0</v>
      </c>
      <c r="P40" s="20"/>
      <c r="Q40" s="26"/>
      <c r="R40" s="22"/>
      <c r="S40" s="22"/>
      <c r="T40" s="9">
        <f t="shared" si="47"/>
        <v>0</v>
      </c>
      <c r="U40" s="20"/>
      <c r="V40" s="24">
        <v>195000</v>
      </c>
      <c r="W40" s="24"/>
      <c r="X40" s="24"/>
      <c r="Y40" s="21">
        <f t="shared" si="48"/>
        <v>195000</v>
      </c>
      <c r="Z40" s="25"/>
      <c r="AA40" s="21">
        <f t="shared" si="49"/>
        <v>0</v>
      </c>
      <c r="AB40" s="25"/>
      <c r="AC40" s="21">
        <f t="shared" si="50"/>
        <v>0</v>
      </c>
      <c r="AD40" s="25"/>
      <c r="AE40" s="25"/>
      <c r="AF40" s="25"/>
      <c r="AG40" s="25"/>
      <c r="AH40" s="21">
        <f t="shared" si="51"/>
        <v>0</v>
      </c>
      <c r="AI40" s="4">
        <f t="shared" si="52"/>
        <v>0</v>
      </c>
      <c r="AJ40" s="4">
        <f t="shared" si="53"/>
        <v>195000</v>
      </c>
      <c r="AK40" s="4">
        <f t="shared" si="54"/>
        <v>0</v>
      </c>
      <c r="AL40" s="4">
        <f t="shared" si="55"/>
        <v>0</v>
      </c>
      <c r="AM40" s="9">
        <f t="shared" si="56"/>
        <v>195000</v>
      </c>
    </row>
    <row r="41" spans="1:39" ht="31.5">
      <c r="A41" s="186"/>
      <c r="B41" s="8">
        <v>8</v>
      </c>
      <c r="C41" s="1" t="s">
        <v>117</v>
      </c>
      <c r="D41" s="4" t="s">
        <v>114</v>
      </c>
      <c r="E41" s="4" t="s">
        <v>108</v>
      </c>
      <c r="F41" s="4"/>
      <c r="G41" s="4"/>
      <c r="H41" s="4"/>
      <c r="I41" s="4"/>
      <c r="J41" s="9">
        <f t="shared" si="45"/>
        <v>0</v>
      </c>
      <c r="K41" s="76"/>
      <c r="L41" s="76">
        <v>290000</v>
      </c>
      <c r="M41" s="76">
        <v>-290000</v>
      </c>
      <c r="N41" s="76">
        <v>913500</v>
      </c>
      <c r="O41" s="9">
        <f t="shared" si="46"/>
        <v>913500</v>
      </c>
      <c r="P41" s="20"/>
      <c r="Q41" s="20"/>
      <c r="R41" s="20"/>
      <c r="S41" s="20"/>
      <c r="T41" s="9">
        <f t="shared" si="47"/>
        <v>0</v>
      </c>
      <c r="U41" s="20"/>
      <c r="V41" s="24"/>
      <c r="W41" s="24"/>
      <c r="X41" s="24"/>
      <c r="Y41" s="21">
        <f t="shared" si="48"/>
        <v>0</v>
      </c>
      <c r="Z41" s="25"/>
      <c r="AA41" s="21">
        <f t="shared" si="49"/>
        <v>0</v>
      </c>
      <c r="AB41" s="25"/>
      <c r="AC41" s="21">
        <f t="shared" si="50"/>
        <v>0</v>
      </c>
      <c r="AD41" s="25"/>
      <c r="AE41" s="25"/>
      <c r="AF41" s="25"/>
      <c r="AG41" s="25"/>
      <c r="AH41" s="21">
        <f t="shared" si="51"/>
        <v>0</v>
      </c>
      <c r="AI41" s="4">
        <f t="shared" si="52"/>
        <v>0</v>
      </c>
      <c r="AJ41" s="4">
        <f t="shared" si="53"/>
        <v>290000</v>
      </c>
      <c r="AK41" s="4">
        <f t="shared" si="54"/>
        <v>-290000</v>
      </c>
      <c r="AL41" s="4">
        <f t="shared" si="55"/>
        <v>913500</v>
      </c>
      <c r="AM41" s="9">
        <f t="shared" si="56"/>
        <v>913500</v>
      </c>
    </row>
    <row r="42" spans="1:39">
      <c r="A42" s="186"/>
      <c r="B42" s="8">
        <v>9</v>
      </c>
      <c r="C42" s="1" t="s">
        <v>118</v>
      </c>
      <c r="D42" s="4" t="s">
        <v>108</v>
      </c>
      <c r="E42" s="4" t="s">
        <v>108</v>
      </c>
      <c r="F42" s="4"/>
      <c r="G42" s="4"/>
      <c r="H42" s="4">
        <f>155000+40000</f>
        <v>195000</v>
      </c>
      <c r="I42" s="4">
        <v>371000</v>
      </c>
      <c r="J42" s="9">
        <f t="shared" si="45"/>
        <v>566000</v>
      </c>
      <c r="K42" s="4"/>
      <c r="L42" s="4"/>
      <c r="M42" s="4"/>
      <c r="N42" s="4"/>
      <c r="O42" s="9">
        <f t="shared" si="46"/>
        <v>0</v>
      </c>
      <c r="P42" s="20"/>
      <c r="Q42" s="20"/>
      <c r="R42" s="20"/>
      <c r="S42" s="20"/>
      <c r="T42" s="9">
        <f t="shared" si="47"/>
        <v>0</v>
      </c>
      <c r="U42" s="20"/>
      <c r="V42" s="20"/>
      <c r="W42" s="20"/>
      <c r="X42" s="20"/>
      <c r="Y42" s="21">
        <f t="shared" si="48"/>
        <v>0</v>
      </c>
      <c r="Z42" s="25"/>
      <c r="AA42" s="21">
        <f t="shared" si="49"/>
        <v>0</v>
      </c>
      <c r="AB42" s="25"/>
      <c r="AC42" s="21">
        <f t="shared" si="50"/>
        <v>0</v>
      </c>
      <c r="AD42" s="25"/>
      <c r="AE42" s="25"/>
      <c r="AF42" s="25"/>
      <c r="AG42" s="25"/>
      <c r="AH42" s="21">
        <f t="shared" si="51"/>
        <v>0</v>
      </c>
      <c r="AI42" s="4">
        <f t="shared" si="52"/>
        <v>0</v>
      </c>
      <c r="AJ42" s="4">
        <f t="shared" si="53"/>
        <v>0</v>
      </c>
      <c r="AK42" s="4">
        <f t="shared" si="54"/>
        <v>195000</v>
      </c>
      <c r="AL42" s="4">
        <f t="shared" si="55"/>
        <v>371000</v>
      </c>
      <c r="AM42" s="9">
        <f t="shared" si="56"/>
        <v>566000</v>
      </c>
    </row>
    <row r="43" spans="1:39">
      <c r="A43" s="186"/>
      <c r="B43" s="8">
        <v>10</v>
      </c>
      <c r="C43" s="1" t="s">
        <v>119</v>
      </c>
      <c r="D43" s="4" t="s">
        <v>108</v>
      </c>
      <c r="E43" s="4" t="s">
        <v>108</v>
      </c>
      <c r="F43" s="4"/>
      <c r="G43" s="4">
        <v>155000</v>
      </c>
      <c r="H43" s="4"/>
      <c r="I43" s="4"/>
      <c r="J43" s="9">
        <f t="shared" si="45"/>
        <v>155000</v>
      </c>
      <c r="K43" s="4"/>
      <c r="L43" s="4"/>
      <c r="M43" s="4"/>
      <c r="N43" s="4"/>
      <c r="O43" s="9">
        <f t="shared" si="46"/>
        <v>0</v>
      </c>
      <c r="P43" s="20"/>
      <c r="Q43" s="20"/>
      <c r="R43" s="20"/>
      <c r="S43" s="20"/>
      <c r="T43" s="9">
        <f t="shared" si="47"/>
        <v>0</v>
      </c>
      <c r="U43" s="20"/>
      <c r="V43" s="20"/>
      <c r="W43" s="20"/>
      <c r="X43" s="20"/>
      <c r="Y43" s="21">
        <f t="shared" si="48"/>
        <v>0</v>
      </c>
      <c r="Z43" s="25"/>
      <c r="AA43" s="21">
        <f t="shared" si="49"/>
        <v>0</v>
      </c>
      <c r="AB43" s="25"/>
      <c r="AC43" s="21">
        <f t="shared" si="50"/>
        <v>0</v>
      </c>
      <c r="AD43" s="25"/>
      <c r="AE43" s="25">
        <v>100000</v>
      </c>
      <c r="AF43" s="25">
        <v>239200</v>
      </c>
      <c r="AG43" s="25"/>
      <c r="AH43" s="21">
        <f t="shared" si="51"/>
        <v>339200</v>
      </c>
      <c r="AI43" s="4">
        <f t="shared" si="52"/>
        <v>0</v>
      </c>
      <c r="AJ43" s="4">
        <f t="shared" si="53"/>
        <v>255000</v>
      </c>
      <c r="AK43" s="4">
        <f t="shared" si="54"/>
        <v>239200</v>
      </c>
      <c r="AL43" s="4">
        <f t="shared" si="55"/>
        <v>0</v>
      </c>
      <c r="AM43" s="9">
        <f t="shared" si="56"/>
        <v>494200</v>
      </c>
    </row>
    <row r="44" spans="1:39">
      <c r="A44" s="186"/>
      <c r="B44" s="8">
        <v>11</v>
      </c>
      <c r="C44" s="1" t="s">
        <v>120</v>
      </c>
      <c r="D44" s="4" t="s">
        <v>108</v>
      </c>
      <c r="E44" s="4" t="s">
        <v>108</v>
      </c>
      <c r="F44" s="4"/>
      <c r="G44" s="4"/>
      <c r="H44" s="4"/>
      <c r="I44" s="4"/>
      <c r="J44" s="9">
        <f t="shared" si="45"/>
        <v>0</v>
      </c>
      <c r="K44" s="4"/>
      <c r="L44" s="4"/>
      <c r="M44" s="4"/>
      <c r="N44" s="4"/>
      <c r="O44" s="9">
        <f t="shared" si="46"/>
        <v>0</v>
      </c>
      <c r="P44" s="20"/>
      <c r="Q44" s="20"/>
      <c r="R44" s="20"/>
      <c r="S44" s="20"/>
      <c r="T44" s="9">
        <f t="shared" si="47"/>
        <v>0</v>
      </c>
      <c r="U44" s="20"/>
      <c r="V44" s="20"/>
      <c r="W44" s="20"/>
      <c r="X44" s="20"/>
      <c r="Y44" s="21">
        <f t="shared" si="48"/>
        <v>0</v>
      </c>
      <c r="Z44" s="25"/>
      <c r="AA44" s="21">
        <f t="shared" si="49"/>
        <v>0</v>
      </c>
      <c r="AB44" s="25"/>
      <c r="AC44" s="21">
        <f t="shared" si="50"/>
        <v>0</v>
      </c>
      <c r="AD44" s="25"/>
      <c r="AE44" s="25"/>
      <c r="AF44" s="25"/>
      <c r="AG44" s="25"/>
      <c r="AH44" s="21">
        <f t="shared" si="51"/>
        <v>0</v>
      </c>
      <c r="AI44" s="4">
        <f t="shared" si="52"/>
        <v>0</v>
      </c>
      <c r="AJ44" s="4">
        <f t="shared" si="53"/>
        <v>0</v>
      </c>
      <c r="AK44" s="4">
        <f t="shared" si="54"/>
        <v>0</v>
      </c>
      <c r="AL44" s="4">
        <f t="shared" si="55"/>
        <v>0</v>
      </c>
      <c r="AM44" s="9">
        <f t="shared" si="56"/>
        <v>0</v>
      </c>
    </row>
    <row r="45" spans="1:39">
      <c r="A45" s="187"/>
      <c r="B45" s="8">
        <v>12</v>
      </c>
      <c r="C45" s="1" t="s">
        <v>121</v>
      </c>
      <c r="D45" s="4" t="s">
        <v>108</v>
      </c>
      <c r="E45" s="4" t="s">
        <v>108</v>
      </c>
      <c r="F45" s="4"/>
      <c r="G45" s="4">
        <v>155000</v>
      </c>
      <c r="H45" s="4">
        <v>44000</v>
      </c>
      <c r="I45" s="4"/>
      <c r="J45" s="9">
        <f t="shared" si="45"/>
        <v>199000</v>
      </c>
      <c r="K45" s="4"/>
      <c r="L45" s="4"/>
      <c r="M45" s="4"/>
      <c r="N45" s="4"/>
      <c r="O45" s="9">
        <f t="shared" si="46"/>
        <v>0</v>
      </c>
      <c r="P45" s="20"/>
      <c r="Q45" s="20"/>
      <c r="R45" s="20"/>
      <c r="S45" s="20"/>
      <c r="T45" s="9">
        <f t="shared" si="47"/>
        <v>0</v>
      </c>
      <c r="U45" s="20"/>
      <c r="V45" s="20">
        <v>195000</v>
      </c>
      <c r="W45" s="24">
        <v>188250</v>
      </c>
      <c r="X45" s="24"/>
      <c r="Y45" s="21">
        <f t="shared" si="48"/>
        <v>383250</v>
      </c>
      <c r="Z45" s="25"/>
      <c r="AA45" s="21">
        <f t="shared" si="49"/>
        <v>0</v>
      </c>
      <c r="AB45" s="25"/>
      <c r="AC45" s="21">
        <f t="shared" si="50"/>
        <v>0</v>
      </c>
      <c r="AD45" s="25"/>
      <c r="AE45" s="25"/>
      <c r="AF45" s="25"/>
      <c r="AG45" s="25"/>
      <c r="AH45" s="21">
        <f t="shared" si="51"/>
        <v>0</v>
      </c>
      <c r="AI45" s="4">
        <f t="shared" si="52"/>
        <v>0</v>
      </c>
      <c r="AJ45" s="4">
        <f t="shared" si="53"/>
        <v>350000</v>
      </c>
      <c r="AK45" s="4">
        <f t="shared" si="54"/>
        <v>232250</v>
      </c>
      <c r="AL45" s="4">
        <f t="shared" si="55"/>
        <v>0</v>
      </c>
      <c r="AM45" s="9">
        <f t="shared" si="56"/>
        <v>582250</v>
      </c>
    </row>
    <row r="46" spans="1:39" s="38" customFormat="1">
      <c r="A46" s="34"/>
      <c r="B46" s="85"/>
      <c r="C46" s="35" t="s">
        <v>122</v>
      </c>
      <c r="D46" s="37"/>
      <c r="E46" s="37"/>
      <c r="F46" s="37">
        <f>SUM(F34:F45)</f>
        <v>310000</v>
      </c>
      <c r="G46" s="37">
        <f t="shared" ref="G46:AM46" si="57">SUM(G34:G45)</f>
        <v>1074000</v>
      </c>
      <c r="H46" s="37">
        <f t="shared" si="57"/>
        <v>756500</v>
      </c>
      <c r="I46" s="37">
        <f t="shared" si="57"/>
        <v>631000</v>
      </c>
      <c r="J46" s="37">
        <f t="shared" si="57"/>
        <v>2771500</v>
      </c>
      <c r="K46" s="37">
        <f t="shared" si="57"/>
        <v>290000</v>
      </c>
      <c r="L46" s="37">
        <f t="shared" si="57"/>
        <v>2490000</v>
      </c>
      <c r="M46" s="37">
        <f t="shared" si="57"/>
        <v>910000</v>
      </c>
      <c r="N46" s="37">
        <f t="shared" si="57"/>
        <v>1613500</v>
      </c>
      <c r="O46" s="37">
        <f t="shared" si="57"/>
        <v>5303500</v>
      </c>
      <c r="P46" s="37">
        <f t="shared" si="57"/>
        <v>290000</v>
      </c>
      <c r="Q46" s="37">
        <f t="shared" si="57"/>
        <v>364000</v>
      </c>
      <c r="R46" s="37">
        <f t="shared" si="57"/>
        <v>404000</v>
      </c>
      <c r="S46" s="37">
        <f t="shared" si="57"/>
        <v>248000</v>
      </c>
      <c r="T46" s="37">
        <f t="shared" si="57"/>
        <v>1306000</v>
      </c>
      <c r="U46" s="37">
        <f t="shared" si="57"/>
        <v>195000</v>
      </c>
      <c r="V46" s="37">
        <f t="shared" si="57"/>
        <v>1186900</v>
      </c>
      <c r="W46" s="37">
        <f t="shared" si="57"/>
        <v>982000</v>
      </c>
      <c r="X46" s="37">
        <f t="shared" si="57"/>
        <v>242000</v>
      </c>
      <c r="Y46" s="37">
        <f t="shared" si="57"/>
        <v>2605900</v>
      </c>
      <c r="Z46" s="37">
        <f t="shared" si="57"/>
        <v>409500</v>
      </c>
      <c r="AA46" s="37">
        <f t="shared" si="57"/>
        <v>409500</v>
      </c>
      <c r="AB46" s="37">
        <f t="shared" si="57"/>
        <v>0</v>
      </c>
      <c r="AC46" s="37">
        <f t="shared" si="57"/>
        <v>0</v>
      </c>
      <c r="AD46" s="37">
        <f t="shared" si="57"/>
        <v>0</v>
      </c>
      <c r="AE46" s="37">
        <f t="shared" si="57"/>
        <v>100000</v>
      </c>
      <c r="AF46" s="37">
        <f t="shared" si="57"/>
        <v>339200</v>
      </c>
      <c r="AG46" s="37">
        <f t="shared" si="57"/>
        <v>0</v>
      </c>
      <c r="AH46" s="37">
        <f t="shared" si="57"/>
        <v>439200</v>
      </c>
      <c r="AI46" s="37">
        <f t="shared" si="57"/>
        <v>1085000</v>
      </c>
      <c r="AJ46" s="37">
        <f t="shared" si="57"/>
        <v>5214900</v>
      </c>
      <c r="AK46" s="37">
        <f t="shared" si="57"/>
        <v>3391700</v>
      </c>
      <c r="AL46" s="37">
        <f t="shared" si="57"/>
        <v>3144000</v>
      </c>
      <c r="AM46" s="37">
        <f t="shared" si="57"/>
        <v>12835600</v>
      </c>
    </row>
    <row r="47" spans="1:39" ht="31.5">
      <c r="A47" s="185" t="s">
        <v>20</v>
      </c>
      <c r="B47" s="8">
        <v>1</v>
      </c>
      <c r="C47" s="1" t="s">
        <v>123</v>
      </c>
      <c r="D47" s="4" t="s">
        <v>124</v>
      </c>
      <c r="E47" s="4" t="s">
        <v>20</v>
      </c>
      <c r="F47" s="4"/>
      <c r="G47" s="4"/>
      <c r="H47" s="5"/>
      <c r="I47" s="4"/>
      <c r="J47" s="9">
        <f t="shared" ref="J47:J54" si="58">SUM(F47:I47)</f>
        <v>0</v>
      </c>
      <c r="K47" s="4"/>
      <c r="L47" s="4"/>
      <c r="M47" s="4"/>
      <c r="N47" s="4"/>
      <c r="O47" s="9">
        <f t="shared" ref="O47:O54" si="59">SUM(K47:N47)</f>
        <v>0</v>
      </c>
      <c r="P47" s="20"/>
      <c r="Q47" s="20"/>
      <c r="R47" s="20"/>
      <c r="S47" s="20"/>
      <c r="T47" s="9">
        <f t="shared" ref="T47:T54" si="60">SUM(P47:S47)</f>
        <v>0</v>
      </c>
      <c r="U47" s="20"/>
      <c r="V47" s="25">
        <v>481150</v>
      </c>
      <c r="W47" s="25">
        <f>202300+70000</f>
        <v>272300</v>
      </c>
      <c r="X47" s="24">
        <v>478000</v>
      </c>
      <c r="Y47" s="21">
        <f t="shared" ref="Y47:Y54" si="61">SUM(U47:X47)</f>
        <v>1231450</v>
      </c>
      <c r="Z47" s="25">
        <v>0</v>
      </c>
      <c r="AA47" s="21">
        <f t="shared" ref="AA47:AA54" si="62">SUM(Z47:Z47)</f>
        <v>0</v>
      </c>
      <c r="AB47" s="25"/>
      <c r="AC47" s="21">
        <f t="shared" ref="AC47:AC54" si="63">SUM(AB47:AB47)</f>
        <v>0</v>
      </c>
      <c r="AD47" s="25"/>
      <c r="AE47" s="25"/>
      <c r="AF47" s="25"/>
      <c r="AG47" s="25"/>
      <c r="AH47" s="21">
        <f t="shared" ref="AH47:AH54" si="64">SUM(AD47:AG47)</f>
        <v>0</v>
      </c>
      <c r="AI47" s="4">
        <f t="shared" ref="AI47:AK54" si="65">F47+K47+P47+U47+AD47</f>
        <v>0</v>
      </c>
      <c r="AJ47" s="4">
        <f t="shared" si="65"/>
        <v>481150</v>
      </c>
      <c r="AK47" s="4">
        <f t="shared" si="65"/>
        <v>272300</v>
      </c>
      <c r="AL47" s="4">
        <f t="shared" ref="AL47:AL54" si="66">I47+N47+S47+X47+Z47+AB47+AG47</f>
        <v>478000</v>
      </c>
      <c r="AM47" s="9">
        <f t="shared" ref="AM47:AM54" si="67">SUM(AI47:AL47)</f>
        <v>1231450</v>
      </c>
    </row>
    <row r="48" spans="1:39" ht="31.5">
      <c r="A48" s="186"/>
      <c r="B48" s="8">
        <v>2</v>
      </c>
      <c r="C48" s="1" t="s">
        <v>125</v>
      </c>
      <c r="D48" s="4" t="s">
        <v>126</v>
      </c>
      <c r="E48" s="4" t="s">
        <v>20</v>
      </c>
      <c r="F48" s="4">
        <v>155000</v>
      </c>
      <c r="G48" s="4">
        <v>712500</v>
      </c>
      <c r="H48" s="4">
        <f>60500+60500+200000</f>
        <v>321000</v>
      </c>
      <c r="I48" s="4">
        <f>160000+20000</f>
        <v>180000</v>
      </c>
      <c r="J48" s="9">
        <f t="shared" si="58"/>
        <v>1368500</v>
      </c>
      <c r="K48" s="4"/>
      <c r="L48" s="4"/>
      <c r="M48" s="4"/>
      <c r="N48" s="4"/>
      <c r="O48" s="9">
        <f t="shared" si="59"/>
        <v>0</v>
      </c>
      <c r="P48" s="20"/>
      <c r="Q48" s="20"/>
      <c r="R48" s="20"/>
      <c r="S48" s="20"/>
      <c r="T48" s="9">
        <f t="shared" si="60"/>
        <v>0</v>
      </c>
      <c r="U48" s="20">
        <v>195000</v>
      </c>
      <c r="V48" s="25">
        <v>608650</v>
      </c>
      <c r="W48" s="25">
        <v>377050</v>
      </c>
      <c r="X48" s="24">
        <v>40000</v>
      </c>
      <c r="Y48" s="21">
        <f t="shared" si="61"/>
        <v>1220700</v>
      </c>
      <c r="Z48" s="25">
        <v>770000</v>
      </c>
      <c r="AA48" s="21">
        <f t="shared" si="62"/>
        <v>770000</v>
      </c>
      <c r="AB48" s="25"/>
      <c r="AC48" s="21">
        <f t="shared" si="63"/>
        <v>0</v>
      </c>
      <c r="AD48" s="25"/>
      <c r="AE48" s="25"/>
      <c r="AF48" s="25"/>
      <c r="AG48" s="25"/>
      <c r="AH48" s="21">
        <f t="shared" si="64"/>
        <v>0</v>
      </c>
      <c r="AI48" s="4">
        <f t="shared" si="65"/>
        <v>350000</v>
      </c>
      <c r="AJ48" s="4">
        <f t="shared" si="65"/>
        <v>1321150</v>
      </c>
      <c r="AK48" s="4">
        <f t="shared" si="65"/>
        <v>698050</v>
      </c>
      <c r="AL48" s="4">
        <f t="shared" si="66"/>
        <v>990000</v>
      </c>
      <c r="AM48" s="9">
        <f t="shared" si="67"/>
        <v>3359200</v>
      </c>
    </row>
    <row r="49" spans="1:39">
      <c r="A49" s="186"/>
      <c r="B49" s="8">
        <v>3</v>
      </c>
      <c r="C49" s="1" t="s">
        <v>127</v>
      </c>
      <c r="D49" s="4" t="s">
        <v>128</v>
      </c>
      <c r="E49" s="4" t="s">
        <v>20</v>
      </c>
      <c r="F49" s="4"/>
      <c r="G49" s="4">
        <v>155000</v>
      </c>
      <c r="H49" s="4">
        <v>311100</v>
      </c>
      <c r="I49" s="4"/>
      <c r="J49" s="9">
        <f t="shared" si="58"/>
        <v>466100</v>
      </c>
      <c r="K49" s="4"/>
      <c r="L49" s="4"/>
      <c r="M49" s="4"/>
      <c r="N49" s="4"/>
      <c r="O49" s="9">
        <f t="shared" si="59"/>
        <v>0</v>
      </c>
      <c r="P49" s="20"/>
      <c r="Q49" s="20"/>
      <c r="R49" s="20"/>
      <c r="S49" s="20"/>
      <c r="T49" s="9">
        <f t="shared" si="60"/>
        <v>0</v>
      </c>
      <c r="U49" s="20"/>
      <c r="V49" s="20"/>
      <c r="W49" s="20"/>
      <c r="X49" s="20"/>
      <c r="Y49" s="21">
        <f t="shared" si="61"/>
        <v>0</v>
      </c>
      <c r="Z49" s="25">
        <v>0</v>
      </c>
      <c r="AA49" s="21">
        <f t="shared" si="62"/>
        <v>0</v>
      </c>
      <c r="AB49" s="25"/>
      <c r="AC49" s="21">
        <f t="shared" si="63"/>
        <v>0</v>
      </c>
      <c r="AD49" s="25"/>
      <c r="AE49" s="24">
        <v>100000</v>
      </c>
      <c r="AF49" s="25"/>
      <c r="AG49" s="25"/>
      <c r="AH49" s="21">
        <f t="shared" si="64"/>
        <v>100000</v>
      </c>
      <c r="AI49" s="4">
        <f t="shared" si="65"/>
        <v>0</v>
      </c>
      <c r="AJ49" s="4">
        <f t="shared" si="65"/>
        <v>255000</v>
      </c>
      <c r="AK49" s="4">
        <f t="shared" si="65"/>
        <v>311100</v>
      </c>
      <c r="AL49" s="4">
        <f t="shared" si="66"/>
        <v>0</v>
      </c>
      <c r="AM49" s="9">
        <f t="shared" si="67"/>
        <v>566100</v>
      </c>
    </row>
    <row r="50" spans="1:39">
      <c r="A50" s="186"/>
      <c r="B50" s="8">
        <v>4</v>
      </c>
      <c r="C50" s="1" t="s">
        <v>129</v>
      </c>
      <c r="D50" s="4" t="s">
        <v>130</v>
      </c>
      <c r="E50" s="4" t="s">
        <v>20</v>
      </c>
      <c r="F50" s="4"/>
      <c r="G50" s="4">
        <v>155000</v>
      </c>
      <c r="H50" s="4"/>
      <c r="I50" s="4"/>
      <c r="J50" s="9">
        <f t="shared" si="58"/>
        <v>155000</v>
      </c>
      <c r="K50" s="4"/>
      <c r="L50" s="4"/>
      <c r="M50" s="4"/>
      <c r="N50" s="4"/>
      <c r="O50" s="9">
        <f t="shared" si="59"/>
        <v>0</v>
      </c>
      <c r="P50" s="20"/>
      <c r="Q50" s="20"/>
      <c r="R50" s="20"/>
      <c r="S50" s="20"/>
      <c r="T50" s="9">
        <f t="shared" si="60"/>
        <v>0</v>
      </c>
      <c r="U50" s="20"/>
      <c r="V50" s="20">
        <v>195000</v>
      </c>
      <c r="W50" s="25">
        <v>73150</v>
      </c>
      <c r="X50" s="24">
        <v>30000</v>
      </c>
      <c r="Y50" s="21">
        <f t="shared" si="61"/>
        <v>298150</v>
      </c>
      <c r="Z50" s="25">
        <v>0</v>
      </c>
      <c r="AA50" s="21">
        <f t="shared" si="62"/>
        <v>0</v>
      </c>
      <c r="AB50" s="25"/>
      <c r="AC50" s="21">
        <f t="shared" si="63"/>
        <v>0</v>
      </c>
      <c r="AD50" s="25"/>
      <c r="AE50" s="25"/>
      <c r="AF50" s="25"/>
      <c r="AG50" s="25"/>
      <c r="AH50" s="21">
        <f t="shared" si="64"/>
        <v>0</v>
      </c>
      <c r="AI50" s="4">
        <f t="shared" si="65"/>
        <v>0</v>
      </c>
      <c r="AJ50" s="4">
        <f t="shared" si="65"/>
        <v>350000</v>
      </c>
      <c r="AK50" s="4">
        <f t="shared" si="65"/>
        <v>73150</v>
      </c>
      <c r="AL50" s="4">
        <f t="shared" si="66"/>
        <v>30000</v>
      </c>
      <c r="AM50" s="9">
        <f t="shared" si="67"/>
        <v>453150</v>
      </c>
    </row>
    <row r="51" spans="1:39" ht="31.5">
      <c r="A51" s="186"/>
      <c r="B51" s="8">
        <v>5</v>
      </c>
      <c r="C51" s="1" t="s">
        <v>131</v>
      </c>
      <c r="D51" s="4" t="s">
        <v>132</v>
      </c>
      <c r="E51" s="4" t="s">
        <v>20</v>
      </c>
      <c r="F51" s="4">
        <v>155000</v>
      </c>
      <c r="G51" s="4">
        <v>427000</v>
      </c>
      <c r="H51" s="4">
        <f>71500+71500+231000</f>
        <v>374000</v>
      </c>
      <c r="I51" s="4"/>
      <c r="J51" s="9">
        <f t="shared" si="58"/>
        <v>956000</v>
      </c>
      <c r="K51" s="4"/>
      <c r="L51" s="4"/>
      <c r="M51" s="4"/>
      <c r="N51" s="4"/>
      <c r="O51" s="9">
        <f t="shared" si="59"/>
        <v>0</v>
      </c>
      <c r="P51" s="20"/>
      <c r="Q51" s="20"/>
      <c r="R51" s="20"/>
      <c r="S51" s="20"/>
      <c r="T51" s="9">
        <f t="shared" si="60"/>
        <v>0</v>
      </c>
      <c r="U51" s="20"/>
      <c r="V51" s="25">
        <v>585250</v>
      </c>
      <c r="W51" s="25">
        <v>174600</v>
      </c>
      <c r="X51" s="25"/>
      <c r="Y51" s="21">
        <f t="shared" si="61"/>
        <v>759850</v>
      </c>
      <c r="Z51" s="25">
        <v>0</v>
      </c>
      <c r="AA51" s="21">
        <f t="shared" si="62"/>
        <v>0</v>
      </c>
      <c r="AB51" s="25"/>
      <c r="AC51" s="21">
        <f t="shared" si="63"/>
        <v>0</v>
      </c>
      <c r="AD51" s="25"/>
      <c r="AE51" s="25"/>
      <c r="AF51" s="25"/>
      <c r="AG51" s="25"/>
      <c r="AH51" s="21">
        <f t="shared" si="64"/>
        <v>0</v>
      </c>
      <c r="AI51" s="4">
        <f t="shared" si="65"/>
        <v>155000</v>
      </c>
      <c r="AJ51" s="4">
        <f t="shared" si="65"/>
        <v>1012250</v>
      </c>
      <c r="AK51" s="4">
        <f t="shared" si="65"/>
        <v>548600</v>
      </c>
      <c r="AL51" s="4">
        <f t="shared" si="66"/>
        <v>0</v>
      </c>
      <c r="AM51" s="9">
        <f t="shared" si="67"/>
        <v>1715850</v>
      </c>
    </row>
    <row r="52" spans="1:39">
      <c r="A52" s="186"/>
      <c r="B52" s="8">
        <v>6</v>
      </c>
      <c r="C52" s="1" t="s">
        <v>52</v>
      </c>
      <c r="D52" s="4" t="s">
        <v>30</v>
      </c>
      <c r="E52" s="4" t="s">
        <v>20</v>
      </c>
      <c r="F52" s="4">
        <v>155000</v>
      </c>
      <c r="G52" s="4">
        <v>279000</v>
      </c>
      <c r="H52" s="4">
        <f>108000+36000</f>
        <v>144000</v>
      </c>
      <c r="I52" s="4">
        <v>218000</v>
      </c>
      <c r="J52" s="9">
        <f t="shared" si="58"/>
        <v>796000</v>
      </c>
      <c r="K52" s="4"/>
      <c r="L52" s="4"/>
      <c r="M52" s="4"/>
      <c r="N52" s="4"/>
      <c r="O52" s="9">
        <f t="shared" si="59"/>
        <v>0</v>
      </c>
      <c r="P52" s="20"/>
      <c r="Q52" s="20"/>
      <c r="R52" s="20"/>
      <c r="S52" s="20"/>
      <c r="T52" s="9">
        <f t="shared" si="60"/>
        <v>0</v>
      </c>
      <c r="U52" s="20"/>
      <c r="V52" s="20"/>
      <c r="W52" s="20"/>
      <c r="X52" s="20"/>
      <c r="Y52" s="21">
        <f t="shared" si="61"/>
        <v>0</v>
      </c>
      <c r="Z52" s="25">
        <v>0</v>
      </c>
      <c r="AA52" s="21">
        <f t="shared" si="62"/>
        <v>0</v>
      </c>
      <c r="AB52" s="25"/>
      <c r="AC52" s="21">
        <f t="shared" si="63"/>
        <v>0</v>
      </c>
      <c r="AD52" s="25"/>
      <c r="AE52" s="25"/>
      <c r="AF52" s="25"/>
      <c r="AG52" s="25"/>
      <c r="AH52" s="21">
        <f t="shared" si="64"/>
        <v>0</v>
      </c>
      <c r="AI52" s="4">
        <f t="shared" si="65"/>
        <v>155000</v>
      </c>
      <c r="AJ52" s="4">
        <f t="shared" si="65"/>
        <v>279000</v>
      </c>
      <c r="AK52" s="4">
        <f t="shared" si="65"/>
        <v>144000</v>
      </c>
      <c r="AL52" s="4">
        <f t="shared" si="66"/>
        <v>218000</v>
      </c>
      <c r="AM52" s="9">
        <f t="shared" si="67"/>
        <v>796000</v>
      </c>
    </row>
    <row r="53" spans="1:39" ht="31.5">
      <c r="A53" s="186"/>
      <c r="B53" s="8">
        <v>7</v>
      </c>
      <c r="C53" s="1" t="s">
        <v>133</v>
      </c>
      <c r="D53" s="4" t="s">
        <v>134</v>
      </c>
      <c r="E53" s="4" t="s">
        <v>20</v>
      </c>
      <c r="F53" s="4">
        <v>155000</v>
      </c>
      <c r="G53" s="4">
        <v>823000</v>
      </c>
      <c r="H53" s="4">
        <f>82500+82500</f>
        <v>165000</v>
      </c>
      <c r="I53" s="4"/>
      <c r="J53" s="9">
        <f t="shared" si="58"/>
        <v>1143000</v>
      </c>
      <c r="K53" s="4"/>
      <c r="L53" s="4"/>
      <c r="M53" s="4"/>
      <c r="N53" s="4"/>
      <c r="O53" s="9">
        <f t="shared" si="59"/>
        <v>0</v>
      </c>
      <c r="P53" s="20">
        <v>290000</v>
      </c>
      <c r="Q53" s="22">
        <v>1267000</v>
      </c>
      <c r="R53" s="4">
        <v>448000</v>
      </c>
      <c r="S53" s="22"/>
      <c r="T53" s="9">
        <f t="shared" si="60"/>
        <v>2005000</v>
      </c>
      <c r="U53" s="20">
        <v>195000</v>
      </c>
      <c r="V53" s="25">
        <v>1031900</v>
      </c>
      <c r="W53" s="25">
        <v>412250</v>
      </c>
      <c r="X53" s="25"/>
      <c r="Y53" s="21">
        <f t="shared" si="61"/>
        <v>1639150</v>
      </c>
      <c r="Z53" s="25">
        <v>0</v>
      </c>
      <c r="AA53" s="21">
        <f t="shared" si="62"/>
        <v>0</v>
      </c>
      <c r="AB53" s="25"/>
      <c r="AC53" s="21">
        <f t="shared" si="63"/>
        <v>0</v>
      </c>
      <c r="AD53" s="25"/>
      <c r="AE53" s="25"/>
      <c r="AF53" s="25"/>
      <c r="AG53" s="25"/>
      <c r="AH53" s="21">
        <f t="shared" si="64"/>
        <v>0</v>
      </c>
      <c r="AI53" s="4">
        <f t="shared" si="65"/>
        <v>640000</v>
      </c>
      <c r="AJ53" s="4">
        <f t="shared" si="65"/>
        <v>3121900</v>
      </c>
      <c r="AK53" s="4">
        <f t="shared" si="65"/>
        <v>1025250</v>
      </c>
      <c r="AL53" s="4">
        <f t="shared" si="66"/>
        <v>0</v>
      </c>
      <c r="AM53" s="9">
        <f t="shared" si="67"/>
        <v>4787150</v>
      </c>
    </row>
    <row r="54" spans="1:39" ht="47.25">
      <c r="A54" s="187"/>
      <c r="B54" s="8">
        <v>8</v>
      </c>
      <c r="C54" s="1" t="s">
        <v>135</v>
      </c>
      <c r="D54" s="4" t="s">
        <v>124</v>
      </c>
      <c r="E54" s="4" t="s">
        <v>20</v>
      </c>
      <c r="F54" s="4"/>
      <c r="G54" s="4">
        <v>630500</v>
      </c>
      <c r="H54" s="4">
        <f>60500+60500+170500</f>
        <v>291500</v>
      </c>
      <c r="I54" s="4">
        <f>160000+20000</f>
        <v>180000</v>
      </c>
      <c r="J54" s="9">
        <f t="shared" si="58"/>
        <v>1102000</v>
      </c>
      <c r="K54" s="4"/>
      <c r="L54" s="4"/>
      <c r="M54" s="4"/>
      <c r="N54" s="4"/>
      <c r="O54" s="9">
        <f t="shared" si="59"/>
        <v>0</v>
      </c>
      <c r="P54" s="20"/>
      <c r="Q54" s="20"/>
      <c r="R54" s="20"/>
      <c r="S54" s="20"/>
      <c r="T54" s="9">
        <f t="shared" si="60"/>
        <v>0</v>
      </c>
      <c r="U54" s="20">
        <v>195000</v>
      </c>
      <c r="V54" s="25">
        <v>854300</v>
      </c>
      <c r="W54" s="25">
        <v>375250</v>
      </c>
      <c r="X54" s="25">
        <v>180000</v>
      </c>
      <c r="Y54" s="21">
        <f t="shared" si="61"/>
        <v>1604550</v>
      </c>
      <c r="Z54" s="25">
        <v>1155000</v>
      </c>
      <c r="AA54" s="21">
        <f t="shared" si="62"/>
        <v>1155000</v>
      </c>
      <c r="AB54" s="25"/>
      <c r="AC54" s="21">
        <f t="shared" si="63"/>
        <v>0</v>
      </c>
      <c r="AD54" s="25"/>
      <c r="AE54" s="25"/>
      <c r="AF54" s="25">
        <v>100000</v>
      </c>
      <c r="AG54" s="25">
        <v>200000</v>
      </c>
      <c r="AH54" s="21">
        <f t="shared" si="64"/>
        <v>300000</v>
      </c>
      <c r="AI54" s="4">
        <f t="shared" si="65"/>
        <v>195000</v>
      </c>
      <c r="AJ54" s="4">
        <f t="shared" si="65"/>
        <v>1484800</v>
      </c>
      <c r="AK54" s="4">
        <f t="shared" si="65"/>
        <v>766750</v>
      </c>
      <c r="AL54" s="4">
        <f t="shared" si="66"/>
        <v>1715000</v>
      </c>
      <c r="AM54" s="9">
        <f t="shared" si="67"/>
        <v>4161550</v>
      </c>
    </row>
    <row r="55" spans="1:39" s="38" customFormat="1">
      <c r="A55" s="34"/>
      <c r="B55" s="85"/>
      <c r="C55" s="35" t="s">
        <v>136</v>
      </c>
      <c r="D55" s="37"/>
      <c r="E55" s="37"/>
      <c r="F55" s="37">
        <f>SUM(F47:F54)</f>
        <v>620000</v>
      </c>
      <c r="G55" s="37">
        <f t="shared" ref="G55:AM55" si="68">SUM(G47:G54)</f>
        <v>3182000</v>
      </c>
      <c r="H55" s="37">
        <f t="shared" si="68"/>
        <v>1606600</v>
      </c>
      <c r="I55" s="37">
        <f t="shared" si="68"/>
        <v>578000</v>
      </c>
      <c r="J55" s="37">
        <f t="shared" si="68"/>
        <v>5986600</v>
      </c>
      <c r="K55" s="37">
        <f t="shared" si="68"/>
        <v>0</v>
      </c>
      <c r="L55" s="37">
        <f t="shared" si="68"/>
        <v>0</v>
      </c>
      <c r="M55" s="37">
        <f t="shared" si="68"/>
        <v>0</v>
      </c>
      <c r="N55" s="37">
        <f t="shared" si="68"/>
        <v>0</v>
      </c>
      <c r="O55" s="37">
        <f t="shared" si="68"/>
        <v>0</v>
      </c>
      <c r="P55" s="37">
        <f t="shared" si="68"/>
        <v>290000</v>
      </c>
      <c r="Q55" s="37">
        <f t="shared" si="68"/>
        <v>1267000</v>
      </c>
      <c r="R55" s="37">
        <f t="shared" si="68"/>
        <v>448000</v>
      </c>
      <c r="S55" s="37">
        <f t="shared" si="68"/>
        <v>0</v>
      </c>
      <c r="T55" s="37">
        <f t="shared" si="68"/>
        <v>2005000</v>
      </c>
      <c r="U55" s="37">
        <f t="shared" si="68"/>
        <v>585000</v>
      </c>
      <c r="V55" s="37">
        <f t="shared" si="68"/>
        <v>3756250</v>
      </c>
      <c r="W55" s="37">
        <f t="shared" si="68"/>
        <v>1684600</v>
      </c>
      <c r="X55" s="37">
        <f t="shared" si="68"/>
        <v>728000</v>
      </c>
      <c r="Y55" s="37">
        <f t="shared" si="68"/>
        <v>6753850</v>
      </c>
      <c r="Z55" s="37">
        <f t="shared" si="68"/>
        <v>1925000</v>
      </c>
      <c r="AA55" s="37">
        <f t="shared" si="68"/>
        <v>1925000</v>
      </c>
      <c r="AB55" s="37">
        <f t="shared" si="68"/>
        <v>0</v>
      </c>
      <c r="AC55" s="37">
        <f t="shared" si="68"/>
        <v>0</v>
      </c>
      <c r="AD55" s="37">
        <f t="shared" si="68"/>
        <v>0</v>
      </c>
      <c r="AE55" s="37">
        <f t="shared" si="68"/>
        <v>100000</v>
      </c>
      <c r="AF55" s="37">
        <f t="shared" si="68"/>
        <v>100000</v>
      </c>
      <c r="AG55" s="37">
        <f t="shared" si="68"/>
        <v>200000</v>
      </c>
      <c r="AH55" s="37">
        <f t="shared" si="68"/>
        <v>400000</v>
      </c>
      <c r="AI55" s="37">
        <f t="shared" si="68"/>
        <v>1495000</v>
      </c>
      <c r="AJ55" s="37">
        <f t="shared" si="68"/>
        <v>8305250</v>
      </c>
      <c r="AK55" s="37">
        <f t="shared" si="68"/>
        <v>3839200</v>
      </c>
      <c r="AL55" s="37">
        <f t="shared" si="68"/>
        <v>3431000</v>
      </c>
      <c r="AM55" s="37">
        <f t="shared" si="68"/>
        <v>17070450</v>
      </c>
    </row>
    <row r="56" spans="1:39">
      <c r="A56" s="189" t="s">
        <v>19</v>
      </c>
      <c r="B56" s="8">
        <v>1</v>
      </c>
      <c r="C56" s="1" t="s">
        <v>137</v>
      </c>
      <c r="D56" s="5" t="s">
        <v>409</v>
      </c>
      <c r="E56" s="4" t="s">
        <v>19</v>
      </c>
      <c r="F56" s="4"/>
      <c r="G56" s="4"/>
      <c r="H56" s="5"/>
      <c r="I56" s="4"/>
      <c r="J56" s="9">
        <f t="shared" ref="J56:J63" si="69">SUM(F56:I56)</f>
        <v>0</v>
      </c>
      <c r="K56" s="4"/>
      <c r="L56" s="4"/>
      <c r="M56" s="4"/>
      <c r="N56" s="4"/>
      <c r="O56" s="9">
        <f t="shared" ref="O56:O63" si="70">SUM(K56:N56)</f>
        <v>0</v>
      </c>
      <c r="P56" s="20"/>
      <c r="Q56" s="20"/>
      <c r="R56" s="20"/>
      <c r="S56" s="20"/>
      <c r="T56" s="9">
        <f t="shared" ref="T56:T63" si="71">SUM(P56:S56)</f>
        <v>0</v>
      </c>
      <c r="U56" s="20"/>
      <c r="V56" s="25">
        <v>992250</v>
      </c>
      <c r="W56" s="25">
        <f>546900+180000</f>
        <v>726900</v>
      </c>
      <c r="X56" s="24">
        <v>760000</v>
      </c>
      <c r="Y56" s="21">
        <f t="shared" ref="Y56:Y63" si="72">SUM(U56:X56)</f>
        <v>2479150</v>
      </c>
      <c r="Z56" s="25"/>
      <c r="AA56" s="21">
        <f t="shared" ref="AA56:AA63" si="73">SUM(Z56:Z56)</f>
        <v>0</v>
      </c>
      <c r="AB56" s="25"/>
      <c r="AC56" s="21">
        <f t="shared" ref="AC56:AC63" si="74">SUM(AB56:AB56)</f>
        <v>0</v>
      </c>
      <c r="AD56" s="25"/>
      <c r="AE56" s="25">
        <v>100000</v>
      </c>
      <c r="AF56" s="25">
        <v>540000</v>
      </c>
      <c r="AG56" s="25"/>
      <c r="AH56" s="21">
        <f t="shared" ref="AH56:AH63" si="75">SUM(AD56:AG56)</f>
        <v>640000</v>
      </c>
      <c r="AI56" s="4">
        <f t="shared" ref="AI56:AK63" si="76">F56+K56+P56+U56+AD56</f>
        <v>0</v>
      </c>
      <c r="AJ56" s="4">
        <f t="shared" si="76"/>
        <v>1092250</v>
      </c>
      <c r="AK56" s="4">
        <f t="shared" si="76"/>
        <v>1266900</v>
      </c>
      <c r="AL56" s="4">
        <f t="shared" ref="AL56:AL63" si="77">I56+N56+S56+X56+Z56+AB56+AG56</f>
        <v>760000</v>
      </c>
      <c r="AM56" s="9">
        <f t="shared" ref="AM56:AM63" si="78">SUM(AI56:AL56)</f>
        <v>3119150</v>
      </c>
    </row>
    <row r="57" spans="1:39">
      <c r="A57" s="190"/>
      <c r="B57" s="8">
        <v>2</v>
      </c>
      <c r="C57" s="1" t="s">
        <v>394</v>
      </c>
      <c r="D57" s="12" t="s">
        <v>395</v>
      </c>
      <c r="E57" s="4" t="s">
        <v>19</v>
      </c>
      <c r="F57" s="4"/>
      <c r="G57" s="4"/>
      <c r="H57" s="5"/>
      <c r="I57" s="4"/>
      <c r="J57" s="9">
        <f t="shared" si="69"/>
        <v>0</v>
      </c>
      <c r="K57" s="4"/>
      <c r="L57" s="4"/>
      <c r="M57" s="4"/>
      <c r="N57" s="4"/>
      <c r="O57" s="9">
        <f t="shared" si="70"/>
        <v>0</v>
      </c>
      <c r="P57" s="20"/>
      <c r="Q57" s="20"/>
      <c r="R57" s="20"/>
      <c r="S57" s="20"/>
      <c r="T57" s="9">
        <f t="shared" si="71"/>
        <v>0</v>
      </c>
      <c r="U57" s="20"/>
      <c r="V57" s="25"/>
      <c r="W57" s="25"/>
      <c r="X57" s="24"/>
      <c r="Y57" s="21">
        <f t="shared" si="72"/>
        <v>0</v>
      </c>
      <c r="Z57" s="25"/>
      <c r="AA57" s="21">
        <f t="shared" si="73"/>
        <v>0</v>
      </c>
      <c r="AB57" s="25"/>
      <c r="AC57" s="21">
        <f t="shared" si="74"/>
        <v>0</v>
      </c>
      <c r="AD57" s="25"/>
      <c r="AE57" s="25">
        <v>100000</v>
      </c>
      <c r="AF57" s="25">
        <v>-100000</v>
      </c>
      <c r="AG57" s="25"/>
      <c r="AH57" s="21">
        <f t="shared" si="75"/>
        <v>0</v>
      </c>
      <c r="AI57" s="4">
        <f t="shared" si="76"/>
        <v>0</v>
      </c>
      <c r="AJ57" s="4">
        <f t="shared" si="76"/>
        <v>100000</v>
      </c>
      <c r="AK57" s="4">
        <f t="shared" si="76"/>
        <v>-100000</v>
      </c>
      <c r="AL57" s="4">
        <f t="shared" si="77"/>
        <v>0</v>
      </c>
      <c r="AM57" s="9">
        <f t="shared" si="78"/>
        <v>0</v>
      </c>
    </row>
    <row r="58" spans="1:39">
      <c r="A58" s="190"/>
      <c r="B58" s="8">
        <v>3</v>
      </c>
      <c r="C58" s="1" t="s">
        <v>59</v>
      </c>
      <c r="D58" s="12" t="s">
        <v>27</v>
      </c>
      <c r="E58" s="4" t="s">
        <v>19</v>
      </c>
      <c r="F58" s="4"/>
      <c r="G58" s="4"/>
      <c r="H58" s="4"/>
      <c r="I58" s="4"/>
      <c r="J58" s="9">
        <f t="shared" si="69"/>
        <v>0</v>
      </c>
      <c r="K58" s="4"/>
      <c r="L58" s="4"/>
      <c r="M58" s="4"/>
      <c r="N58" s="4"/>
      <c r="O58" s="9">
        <f t="shared" si="70"/>
        <v>0</v>
      </c>
      <c r="P58" s="20"/>
      <c r="Q58" s="20"/>
      <c r="R58" s="20"/>
      <c r="S58" s="20"/>
      <c r="T58" s="9">
        <f t="shared" si="71"/>
        <v>0</v>
      </c>
      <c r="U58" s="20"/>
      <c r="V58" s="25">
        <v>195000</v>
      </c>
      <c r="W58" s="20">
        <v>36000</v>
      </c>
      <c r="X58" s="20">
        <v>30000</v>
      </c>
      <c r="Y58" s="21">
        <f t="shared" si="72"/>
        <v>261000</v>
      </c>
      <c r="Z58" s="25"/>
      <c r="AA58" s="21">
        <f t="shared" si="73"/>
        <v>0</v>
      </c>
      <c r="AB58" s="25"/>
      <c r="AC58" s="21">
        <f t="shared" si="74"/>
        <v>0</v>
      </c>
      <c r="AD58" s="25"/>
      <c r="AE58" s="25">
        <v>100000</v>
      </c>
      <c r="AF58" s="25"/>
      <c r="AG58" s="25"/>
      <c r="AH58" s="21">
        <f t="shared" si="75"/>
        <v>100000</v>
      </c>
      <c r="AI58" s="4">
        <f t="shared" si="76"/>
        <v>0</v>
      </c>
      <c r="AJ58" s="4">
        <f t="shared" si="76"/>
        <v>295000</v>
      </c>
      <c r="AK58" s="4">
        <f t="shared" si="76"/>
        <v>36000</v>
      </c>
      <c r="AL58" s="4">
        <f t="shared" si="77"/>
        <v>30000</v>
      </c>
      <c r="AM58" s="9">
        <f t="shared" si="78"/>
        <v>361000</v>
      </c>
    </row>
    <row r="59" spans="1:39">
      <c r="A59" s="190"/>
      <c r="B59" s="8">
        <v>4</v>
      </c>
      <c r="C59" s="1" t="s">
        <v>138</v>
      </c>
      <c r="D59" s="12" t="s">
        <v>139</v>
      </c>
      <c r="E59" s="4" t="s">
        <v>19</v>
      </c>
      <c r="F59" s="4">
        <v>155000</v>
      </c>
      <c r="G59" s="4"/>
      <c r="H59" s="4">
        <f>323000+565000</f>
        <v>888000</v>
      </c>
      <c r="I59" s="4"/>
      <c r="J59" s="9">
        <f t="shared" si="69"/>
        <v>1043000</v>
      </c>
      <c r="K59" s="76">
        <v>290000</v>
      </c>
      <c r="L59" s="76">
        <v>700000</v>
      </c>
      <c r="M59" s="76">
        <v>1890000</v>
      </c>
      <c r="N59" s="76"/>
      <c r="O59" s="9">
        <f t="shared" si="70"/>
        <v>2880000</v>
      </c>
      <c r="P59" s="20">
        <v>290000</v>
      </c>
      <c r="Q59" s="26">
        <v>336000</v>
      </c>
      <c r="R59" s="4">
        <v>2310000</v>
      </c>
      <c r="S59" s="22"/>
      <c r="T59" s="9">
        <f t="shared" si="71"/>
        <v>2936000</v>
      </c>
      <c r="U59" s="20">
        <v>195000</v>
      </c>
      <c r="V59" s="25">
        <v>1508350</v>
      </c>
      <c r="W59" s="25">
        <v>436500</v>
      </c>
      <c r="X59" s="24"/>
      <c r="Y59" s="21">
        <f t="shared" si="72"/>
        <v>2139850</v>
      </c>
      <c r="Z59" s="25"/>
      <c r="AA59" s="21">
        <f t="shared" si="73"/>
        <v>0</v>
      </c>
      <c r="AB59" s="25"/>
      <c r="AC59" s="21">
        <f t="shared" si="74"/>
        <v>0</v>
      </c>
      <c r="AD59" s="25"/>
      <c r="AE59" s="24">
        <v>100000</v>
      </c>
      <c r="AF59" s="25"/>
      <c r="AG59" s="25"/>
      <c r="AH59" s="21">
        <f t="shared" si="75"/>
        <v>100000</v>
      </c>
      <c r="AI59" s="4">
        <f t="shared" si="76"/>
        <v>930000</v>
      </c>
      <c r="AJ59" s="4">
        <f t="shared" si="76"/>
        <v>2644350</v>
      </c>
      <c r="AK59" s="4">
        <f t="shared" si="76"/>
        <v>5524500</v>
      </c>
      <c r="AL59" s="4">
        <f t="shared" si="77"/>
        <v>0</v>
      </c>
      <c r="AM59" s="9">
        <f t="shared" si="78"/>
        <v>9098850</v>
      </c>
    </row>
    <row r="60" spans="1:39">
      <c r="A60" s="190"/>
      <c r="B60" s="8">
        <v>5</v>
      </c>
      <c r="C60" s="1" t="s">
        <v>140</v>
      </c>
      <c r="D60" s="12" t="s">
        <v>141</v>
      </c>
      <c r="E60" s="4" t="s">
        <v>19</v>
      </c>
      <c r="F60" s="4"/>
      <c r="G60" s="4">
        <v>200000</v>
      </c>
      <c r="H60" s="4">
        <f>5500+11000</f>
        <v>16500</v>
      </c>
      <c r="I60" s="4"/>
      <c r="J60" s="9">
        <f t="shared" si="69"/>
        <v>216500</v>
      </c>
      <c r="K60" s="4"/>
      <c r="L60" s="4"/>
      <c r="M60" s="4"/>
      <c r="N60" s="4"/>
      <c r="O60" s="9">
        <f t="shared" si="70"/>
        <v>0</v>
      </c>
      <c r="P60" s="20"/>
      <c r="Q60" s="20"/>
      <c r="R60" s="4"/>
      <c r="S60" s="20"/>
      <c r="T60" s="9">
        <f t="shared" si="71"/>
        <v>0</v>
      </c>
      <c r="U60" s="20"/>
      <c r="V60" s="25">
        <v>410250</v>
      </c>
      <c r="W60" s="25">
        <v>95900</v>
      </c>
      <c r="X60" s="24">
        <v>76000</v>
      </c>
      <c r="Y60" s="21">
        <f t="shared" si="72"/>
        <v>582150</v>
      </c>
      <c r="Z60" s="25"/>
      <c r="AA60" s="21">
        <f t="shared" si="73"/>
        <v>0</v>
      </c>
      <c r="AB60" s="25"/>
      <c r="AC60" s="21">
        <f t="shared" si="74"/>
        <v>0</v>
      </c>
      <c r="AD60" s="25"/>
      <c r="AE60" s="24">
        <v>100000</v>
      </c>
      <c r="AF60" s="25">
        <v>230000</v>
      </c>
      <c r="AG60" s="25"/>
      <c r="AH60" s="21">
        <f t="shared" si="75"/>
        <v>330000</v>
      </c>
      <c r="AI60" s="4">
        <f t="shared" si="76"/>
        <v>0</v>
      </c>
      <c r="AJ60" s="4">
        <f t="shared" si="76"/>
        <v>710250</v>
      </c>
      <c r="AK60" s="4">
        <f t="shared" si="76"/>
        <v>342400</v>
      </c>
      <c r="AL60" s="4">
        <f t="shared" si="77"/>
        <v>76000</v>
      </c>
      <c r="AM60" s="9">
        <f t="shared" si="78"/>
        <v>1128650</v>
      </c>
    </row>
    <row r="61" spans="1:39">
      <c r="A61" s="190"/>
      <c r="B61" s="8">
        <v>6</v>
      </c>
      <c r="C61" s="1" t="s">
        <v>142</v>
      </c>
      <c r="D61" s="5" t="s">
        <v>410</v>
      </c>
      <c r="E61" s="4" t="s">
        <v>19</v>
      </c>
      <c r="F61" s="4"/>
      <c r="G61" s="4"/>
      <c r="H61" s="4"/>
      <c r="I61" s="4"/>
      <c r="J61" s="9">
        <f t="shared" si="69"/>
        <v>0</v>
      </c>
      <c r="K61" s="4"/>
      <c r="L61" s="4"/>
      <c r="M61" s="4"/>
      <c r="N61" s="4"/>
      <c r="O61" s="9">
        <f t="shared" si="70"/>
        <v>0</v>
      </c>
      <c r="P61" s="20"/>
      <c r="Q61" s="20"/>
      <c r="R61" s="4"/>
      <c r="S61" s="20"/>
      <c r="T61" s="9">
        <f t="shared" si="71"/>
        <v>0</v>
      </c>
      <c r="U61" s="20"/>
      <c r="V61" s="25">
        <v>592700</v>
      </c>
      <c r="W61" s="25">
        <v>254000</v>
      </c>
      <c r="X61" s="24">
        <v>1010000</v>
      </c>
      <c r="Y61" s="21">
        <f t="shared" si="72"/>
        <v>1856700</v>
      </c>
      <c r="Z61" s="25"/>
      <c r="AA61" s="21">
        <f t="shared" si="73"/>
        <v>0</v>
      </c>
      <c r="AB61" s="25"/>
      <c r="AC61" s="21">
        <f t="shared" si="74"/>
        <v>0</v>
      </c>
      <c r="AD61" s="25"/>
      <c r="AE61" s="24"/>
      <c r="AF61" s="25"/>
      <c r="AG61" s="25"/>
      <c r="AH61" s="21">
        <f t="shared" si="75"/>
        <v>0</v>
      </c>
      <c r="AI61" s="4">
        <f t="shared" si="76"/>
        <v>0</v>
      </c>
      <c r="AJ61" s="4">
        <f t="shared" si="76"/>
        <v>592700</v>
      </c>
      <c r="AK61" s="4">
        <f t="shared" si="76"/>
        <v>254000</v>
      </c>
      <c r="AL61" s="4">
        <f t="shared" si="77"/>
        <v>1010000</v>
      </c>
      <c r="AM61" s="9">
        <f t="shared" si="78"/>
        <v>1856700</v>
      </c>
    </row>
    <row r="62" spans="1:39">
      <c r="A62" s="190"/>
      <c r="B62" s="8">
        <v>7</v>
      </c>
      <c r="C62" s="1" t="s">
        <v>143</v>
      </c>
      <c r="D62" s="12" t="s">
        <v>144</v>
      </c>
      <c r="E62" s="4" t="s">
        <v>19</v>
      </c>
      <c r="F62" s="4"/>
      <c r="G62" s="4">
        <v>155000</v>
      </c>
      <c r="H62" s="4"/>
      <c r="I62" s="4">
        <v>705500</v>
      </c>
      <c r="J62" s="9">
        <f t="shared" si="69"/>
        <v>860500</v>
      </c>
      <c r="K62" s="4"/>
      <c r="L62" s="4"/>
      <c r="M62" s="4"/>
      <c r="N62" s="4"/>
      <c r="O62" s="9">
        <f t="shared" si="70"/>
        <v>0</v>
      </c>
      <c r="P62" s="20"/>
      <c r="Q62" s="20"/>
      <c r="R62" s="4"/>
      <c r="S62" s="20"/>
      <c r="T62" s="9">
        <f t="shared" si="71"/>
        <v>0</v>
      </c>
      <c r="U62" s="20"/>
      <c r="V62" s="20"/>
      <c r="W62" s="20"/>
      <c r="X62" s="20"/>
      <c r="Y62" s="21">
        <f t="shared" si="72"/>
        <v>0</v>
      </c>
      <c r="Z62" s="25"/>
      <c r="AA62" s="21">
        <f t="shared" si="73"/>
        <v>0</v>
      </c>
      <c r="AB62" s="25"/>
      <c r="AC62" s="21">
        <f t="shared" si="74"/>
        <v>0</v>
      </c>
      <c r="AD62" s="25"/>
      <c r="AE62" s="24"/>
      <c r="AF62" s="25">
        <v>348400</v>
      </c>
      <c r="AG62" s="25"/>
      <c r="AH62" s="21">
        <f t="shared" si="75"/>
        <v>348400</v>
      </c>
      <c r="AI62" s="4">
        <f t="shared" si="76"/>
        <v>0</v>
      </c>
      <c r="AJ62" s="4">
        <f t="shared" si="76"/>
        <v>155000</v>
      </c>
      <c r="AK62" s="4">
        <f t="shared" si="76"/>
        <v>348400</v>
      </c>
      <c r="AL62" s="4">
        <f t="shared" si="77"/>
        <v>705500</v>
      </c>
      <c r="AM62" s="9">
        <f t="shared" si="78"/>
        <v>1208900</v>
      </c>
    </row>
    <row r="63" spans="1:39" ht="47.25">
      <c r="A63" s="191"/>
      <c r="B63" s="8">
        <v>8</v>
      </c>
      <c r="C63" s="1" t="s">
        <v>145</v>
      </c>
      <c r="D63" s="12" t="s">
        <v>146</v>
      </c>
      <c r="E63" s="4" t="s">
        <v>19</v>
      </c>
      <c r="F63" s="4"/>
      <c r="G63" s="4"/>
      <c r="H63" s="4">
        <v>155000</v>
      </c>
      <c r="I63" s="4"/>
      <c r="J63" s="9">
        <f t="shared" si="69"/>
        <v>155000</v>
      </c>
      <c r="K63" s="4"/>
      <c r="L63" s="4"/>
      <c r="M63" s="4"/>
      <c r="N63" s="4"/>
      <c r="O63" s="9">
        <f t="shared" si="70"/>
        <v>0</v>
      </c>
      <c r="P63" s="20"/>
      <c r="Q63" s="20"/>
      <c r="R63" s="4">
        <v>290000</v>
      </c>
      <c r="S63" s="23"/>
      <c r="T63" s="9">
        <f t="shared" si="71"/>
        <v>290000</v>
      </c>
      <c r="U63" s="20"/>
      <c r="V63" s="25">
        <v>386400</v>
      </c>
      <c r="W63" s="25">
        <v>67900</v>
      </c>
      <c r="X63" s="25"/>
      <c r="Y63" s="21">
        <f t="shared" si="72"/>
        <v>454300</v>
      </c>
      <c r="Z63" s="25"/>
      <c r="AA63" s="21">
        <f t="shared" si="73"/>
        <v>0</v>
      </c>
      <c r="AB63" s="25"/>
      <c r="AC63" s="21">
        <f t="shared" si="74"/>
        <v>0</v>
      </c>
      <c r="AD63" s="25"/>
      <c r="AE63" s="25"/>
      <c r="AF63" s="25"/>
      <c r="AG63" s="25"/>
      <c r="AH63" s="21">
        <f t="shared" si="75"/>
        <v>0</v>
      </c>
      <c r="AI63" s="4">
        <f t="shared" si="76"/>
        <v>0</v>
      </c>
      <c r="AJ63" s="4">
        <f t="shared" si="76"/>
        <v>386400</v>
      </c>
      <c r="AK63" s="4">
        <f t="shared" si="76"/>
        <v>512900</v>
      </c>
      <c r="AL63" s="4">
        <f t="shared" si="77"/>
        <v>0</v>
      </c>
      <c r="AM63" s="9">
        <f t="shared" si="78"/>
        <v>899300</v>
      </c>
    </row>
    <row r="64" spans="1:39" s="38" customFormat="1">
      <c r="A64" s="34"/>
      <c r="B64" s="85"/>
      <c r="C64" s="35" t="s">
        <v>147</v>
      </c>
      <c r="D64" s="37"/>
      <c r="E64" s="37"/>
      <c r="F64" s="37">
        <f>SUM(F56:F63)</f>
        <v>155000</v>
      </c>
      <c r="G64" s="37">
        <f t="shared" ref="G64:AM64" si="79">SUM(G56:G63)</f>
        <v>355000</v>
      </c>
      <c r="H64" s="37">
        <f t="shared" si="79"/>
        <v>1059500</v>
      </c>
      <c r="I64" s="37">
        <f t="shared" ref="I64:J64" si="80">SUM(I56:I63)</f>
        <v>705500</v>
      </c>
      <c r="J64" s="37">
        <f t="shared" si="80"/>
        <v>2275000</v>
      </c>
      <c r="K64" s="37">
        <f t="shared" si="79"/>
        <v>290000</v>
      </c>
      <c r="L64" s="37">
        <f t="shared" si="79"/>
        <v>700000</v>
      </c>
      <c r="M64" s="37">
        <f t="shared" si="79"/>
        <v>1890000</v>
      </c>
      <c r="N64" s="37">
        <f t="shared" si="79"/>
        <v>0</v>
      </c>
      <c r="O64" s="37">
        <f t="shared" si="79"/>
        <v>2880000</v>
      </c>
      <c r="P64" s="37">
        <f t="shared" si="79"/>
        <v>290000</v>
      </c>
      <c r="Q64" s="37">
        <f t="shared" si="79"/>
        <v>336000</v>
      </c>
      <c r="R64" s="37">
        <f t="shared" si="79"/>
        <v>2600000</v>
      </c>
      <c r="S64" s="37">
        <f t="shared" si="79"/>
        <v>0</v>
      </c>
      <c r="T64" s="37">
        <f t="shared" si="79"/>
        <v>3226000</v>
      </c>
      <c r="U64" s="37">
        <f t="shared" si="79"/>
        <v>195000</v>
      </c>
      <c r="V64" s="37">
        <f t="shared" si="79"/>
        <v>4084950</v>
      </c>
      <c r="W64" s="37">
        <f t="shared" si="79"/>
        <v>1617200</v>
      </c>
      <c r="X64" s="37">
        <f t="shared" si="79"/>
        <v>1876000</v>
      </c>
      <c r="Y64" s="37">
        <f t="shared" si="79"/>
        <v>7773150</v>
      </c>
      <c r="Z64" s="37">
        <f t="shared" si="79"/>
        <v>0</v>
      </c>
      <c r="AA64" s="37">
        <f t="shared" si="79"/>
        <v>0</v>
      </c>
      <c r="AB64" s="37">
        <f t="shared" si="79"/>
        <v>0</v>
      </c>
      <c r="AC64" s="37">
        <f t="shared" si="79"/>
        <v>0</v>
      </c>
      <c r="AD64" s="37">
        <f t="shared" si="79"/>
        <v>0</v>
      </c>
      <c r="AE64" s="37">
        <f t="shared" si="79"/>
        <v>500000</v>
      </c>
      <c r="AF64" s="37">
        <f t="shared" si="79"/>
        <v>1018400</v>
      </c>
      <c r="AG64" s="37">
        <f t="shared" si="79"/>
        <v>0</v>
      </c>
      <c r="AH64" s="37">
        <f t="shared" si="79"/>
        <v>1518400</v>
      </c>
      <c r="AI64" s="37">
        <f t="shared" si="79"/>
        <v>930000</v>
      </c>
      <c r="AJ64" s="37">
        <f t="shared" si="79"/>
        <v>5975950</v>
      </c>
      <c r="AK64" s="37">
        <f t="shared" si="79"/>
        <v>8185100</v>
      </c>
      <c r="AL64" s="37">
        <f t="shared" si="79"/>
        <v>2581500</v>
      </c>
      <c r="AM64" s="37">
        <f t="shared" si="79"/>
        <v>17672550</v>
      </c>
    </row>
    <row r="65" spans="1:39">
      <c r="A65" s="185" t="s">
        <v>148</v>
      </c>
      <c r="B65" s="8">
        <v>1</v>
      </c>
      <c r="C65" s="1" t="s">
        <v>149</v>
      </c>
      <c r="D65" s="4" t="s">
        <v>150</v>
      </c>
      <c r="E65" s="4" t="s">
        <v>148</v>
      </c>
      <c r="F65" s="4"/>
      <c r="G65" s="4">
        <v>155000</v>
      </c>
      <c r="H65" s="4"/>
      <c r="I65" s="4"/>
      <c r="J65" s="9">
        <f t="shared" ref="J65:J68" si="81">SUM(F65:I65)</f>
        <v>155000</v>
      </c>
      <c r="K65" s="4"/>
      <c r="L65" s="4"/>
      <c r="M65" s="4"/>
      <c r="N65" s="4"/>
      <c r="O65" s="9">
        <f t="shared" ref="O65:O68" si="82">SUM(K65:N65)</f>
        <v>0</v>
      </c>
      <c r="P65" s="20"/>
      <c r="Q65" s="20"/>
      <c r="R65" s="20"/>
      <c r="S65" s="20"/>
      <c r="T65" s="9">
        <f t="shared" ref="T65:T68" si="83">SUM(P65:S65)</f>
        <v>0</v>
      </c>
      <c r="U65" s="20"/>
      <c r="V65" s="20">
        <v>195000</v>
      </c>
      <c r="W65" s="20"/>
      <c r="X65" s="20"/>
      <c r="Y65" s="21">
        <f t="shared" ref="Y65:Y68" si="84">SUM(U65:X65)</f>
        <v>195000</v>
      </c>
      <c r="Z65" s="25">
        <v>0</v>
      </c>
      <c r="AA65" s="21">
        <f>SUM(Z65:Z65)</f>
        <v>0</v>
      </c>
      <c r="AB65" s="25"/>
      <c r="AC65" s="21">
        <f>SUM(AB65:AB65)</f>
        <v>0</v>
      </c>
      <c r="AD65" s="25"/>
      <c r="AE65" s="25"/>
      <c r="AF65" s="25"/>
      <c r="AG65" s="25"/>
      <c r="AH65" s="21">
        <f t="shared" ref="AH65:AH68" si="85">SUM(AD65:AG65)</f>
        <v>0</v>
      </c>
      <c r="AI65" s="4">
        <f t="shared" ref="AI65:AK68" si="86">F65+K65+P65+U65+AD65</f>
        <v>0</v>
      </c>
      <c r="AJ65" s="4">
        <f t="shared" si="86"/>
        <v>350000</v>
      </c>
      <c r="AK65" s="4">
        <f t="shared" si="86"/>
        <v>0</v>
      </c>
      <c r="AL65" s="4">
        <f>I65+N65+S65+X65+Z65+AB65+AG65</f>
        <v>0</v>
      </c>
      <c r="AM65" s="9">
        <f t="shared" ref="AM65:AM68" si="87">SUM(AI65:AL65)</f>
        <v>350000</v>
      </c>
    </row>
    <row r="66" spans="1:39">
      <c r="A66" s="186"/>
      <c r="B66" s="8">
        <v>2</v>
      </c>
      <c r="C66" s="1" t="s">
        <v>151</v>
      </c>
      <c r="D66" s="4" t="s">
        <v>152</v>
      </c>
      <c r="E66" s="4" t="s">
        <v>153</v>
      </c>
      <c r="F66" s="4">
        <v>155000</v>
      </c>
      <c r="G66" s="4">
        <v>153000</v>
      </c>
      <c r="H66" s="4">
        <v>187500</v>
      </c>
      <c r="I66" s="4">
        <v>8000</v>
      </c>
      <c r="J66" s="9">
        <f t="shared" si="81"/>
        <v>503500</v>
      </c>
      <c r="K66" s="4"/>
      <c r="L66" s="4"/>
      <c r="M66" s="4"/>
      <c r="N66" s="4"/>
      <c r="O66" s="9">
        <f t="shared" si="82"/>
        <v>0</v>
      </c>
      <c r="P66" s="20"/>
      <c r="Q66" s="20"/>
      <c r="R66" s="20"/>
      <c r="S66" s="20"/>
      <c r="T66" s="9">
        <f t="shared" si="83"/>
        <v>0</v>
      </c>
      <c r="U66" s="20">
        <v>195000</v>
      </c>
      <c r="V66" s="25">
        <v>295650</v>
      </c>
      <c r="W66" s="25">
        <v>223100</v>
      </c>
      <c r="X66" s="24">
        <v>96000</v>
      </c>
      <c r="Y66" s="21">
        <f t="shared" si="84"/>
        <v>809750</v>
      </c>
      <c r="Z66" s="25">
        <v>380000</v>
      </c>
      <c r="AA66" s="21">
        <f>SUM(Z66:Z66)</f>
        <v>380000</v>
      </c>
      <c r="AB66" s="25"/>
      <c r="AC66" s="21">
        <f>SUM(AB66:AB66)</f>
        <v>0</v>
      </c>
      <c r="AD66" s="25"/>
      <c r="AE66" s="24">
        <v>100000</v>
      </c>
      <c r="AF66" s="25">
        <v>230000</v>
      </c>
      <c r="AG66" s="25"/>
      <c r="AH66" s="21">
        <f t="shared" si="85"/>
        <v>330000</v>
      </c>
      <c r="AI66" s="4">
        <f t="shared" si="86"/>
        <v>350000</v>
      </c>
      <c r="AJ66" s="4">
        <f t="shared" si="86"/>
        <v>548650</v>
      </c>
      <c r="AK66" s="4">
        <f t="shared" si="86"/>
        <v>640600</v>
      </c>
      <c r="AL66" s="4">
        <f>I66+N66+S66+X66+Z66+AB66+AG66</f>
        <v>484000</v>
      </c>
      <c r="AM66" s="9">
        <f t="shared" si="87"/>
        <v>2023250</v>
      </c>
    </row>
    <row r="67" spans="1:39" ht="31.5">
      <c r="A67" s="186"/>
      <c r="B67" s="8">
        <v>3</v>
      </c>
      <c r="C67" s="1" t="s">
        <v>154</v>
      </c>
      <c r="D67" s="4" t="s">
        <v>155</v>
      </c>
      <c r="E67" s="4" t="s">
        <v>153</v>
      </c>
      <c r="F67" s="4">
        <v>155000</v>
      </c>
      <c r="G67" s="4"/>
      <c r="H67" s="4">
        <v>22000</v>
      </c>
      <c r="I67" s="4">
        <f>128000+10000+14000</f>
        <v>152000</v>
      </c>
      <c r="J67" s="9">
        <f t="shared" si="81"/>
        <v>329000</v>
      </c>
      <c r="K67" s="4"/>
      <c r="L67" s="4"/>
      <c r="M67" s="4"/>
      <c r="N67" s="4"/>
      <c r="O67" s="9">
        <f t="shared" si="82"/>
        <v>0</v>
      </c>
      <c r="P67" s="20"/>
      <c r="Q67" s="20"/>
      <c r="R67" s="20"/>
      <c r="S67" s="20"/>
      <c r="T67" s="9">
        <f t="shared" si="83"/>
        <v>0</v>
      </c>
      <c r="U67" s="20">
        <v>195000</v>
      </c>
      <c r="V67" s="25">
        <v>111550</v>
      </c>
      <c r="W67" s="25">
        <v>586850</v>
      </c>
      <c r="X67" s="25">
        <v>180000</v>
      </c>
      <c r="Y67" s="21">
        <f t="shared" si="84"/>
        <v>1073400</v>
      </c>
      <c r="Z67" s="25">
        <v>388500</v>
      </c>
      <c r="AA67" s="21">
        <f>SUM(Z67:Z67)</f>
        <v>388500</v>
      </c>
      <c r="AB67" s="25"/>
      <c r="AC67" s="21">
        <f>SUM(AB67:AB67)</f>
        <v>0</v>
      </c>
      <c r="AD67" s="25"/>
      <c r="AE67" s="25"/>
      <c r="AF67" s="25"/>
      <c r="AG67" s="25"/>
      <c r="AH67" s="21">
        <f t="shared" si="85"/>
        <v>0</v>
      </c>
      <c r="AI67" s="4">
        <f t="shared" si="86"/>
        <v>350000</v>
      </c>
      <c r="AJ67" s="4">
        <f t="shared" si="86"/>
        <v>111550</v>
      </c>
      <c r="AK67" s="4">
        <f t="shared" si="86"/>
        <v>608850</v>
      </c>
      <c r="AL67" s="4">
        <f>I67+N67+S67+X67+Z67+AB67+AG67</f>
        <v>720500</v>
      </c>
      <c r="AM67" s="9">
        <f t="shared" si="87"/>
        <v>1790900</v>
      </c>
    </row>
    <row r="68" spans="1:39" ht="31.5">
      <c r="A68" s="187"/>
      <c r="B68" s="8">
        <v>4</v>
      </c>
      <c r="C68" s="1" t="s">
        <v>156</v>
      </c>
      <c r="D68" s="5" t="s">
        <v>411</v>
      </c>
      <c r="E68" s="4" t="s">
        <v>153</v>
      </c>
      <c r="F68" s="4"/>
      <c r="G68" s="4"/>
      <c r="H68" s="4"/>
      <c r="I68" s="4"/>
      <c r="J68" s="9">
        <f t="shared" si="81"/>
        <v>0</v>
      </c>
      <c r="K68" s="4"/>
      <c r="L68" s="4"/>
      <c r="M68" s="4"/>
      <c r="N68" s="4"/>
      <c r="O68" s="9">
        <f t="shared" si="82"/>
        <v>0</v>
      </c>
      <c r="P68" s="20"/>
      <c r="Q68" s="20"/>
      <c r="R68" s="20"/>
      <c r="S68" s="20"/>
      <c r="T68" s="9">
        <f t="shared" si="83"/>
        <v>0</v>
      </c>
      <c r="U68" s="20"/>
      <c r="V68" s="24">
        <v>195000</v>
      </c>
      <c r="W68" s="20">
        <v>-195000</v>
      </c>
      <c r="X68" s="20">
        <v>74000</v>
      </c>
      <c r="Y68" s="21">
        <f t="shared" si="84"/>
        <v>74000</v>
      </c>
      <c r="Z68" s="25">
        <v>0</v>
      </c>
      <c r="AA68" s="21">
        <f>SUM(Z68:Z68)</f>
        <v>0</v>
      </c>
      <c r="AB68" s="25"/>
      <c r="AC68" s="21">
        <f>SUM(AB68:AB68)</f>
        <v>0</v>
      </c>
      <c r="AD68" s="25"/>
      <c r="AE68" s="25"/>
      <c r="AF68" s="25"/>
      <c r="AG68" s="25"/>
      <c r="AH68" s="21">
        <f t="shared" si="85"/>
        <v>0</v>
      </c>
      <c r="AI68" s="4">
        <f t="shared" si="86"/>
        <v>0</v>
      </c>
      <c r="AJ68" s="4">
        <f t="shared" si="86"/>
        <v>195000</v>
      </c>
      <c r="AK68" s="4">
        <f t="shared" si="86"/>
        <v>-195000</v>
      </c>
      <c r="AL68" s="4">
        <f>I68+N68+S68+X68+Z68+AB68+AG68</f>
        <v>74000</v>
      </c>
      <c r="AM68" s="9">
        <f t="shared" si="87"/>
        <v>74000</v>
      </c>
    </row>
    <row r="69" spans="1:39" s="38" customFormat="1">
      <c r="A69" s="34"/>
      <c r="B69" s="85"/>
      <c r="C69" s="35" t="s">
        <v>157</v>
      </c>
      <c r="D69" s="37"/>
      <c r="E69" s="37"/>
      <c r="F69" s="37">
        <f>SUM(F65:F68)</f>
        <v>310000</v>
      </c>
      <c r="G69" s="37">
        <f t="shared" ref="G69:AM69" si="88">SUM(G65:G68)</f>
        <v>308000</v>
      </c>
      <c r="H69" s="37">
        <f t="shared" si="88"/>
        <v>209500</v>
      </c>
      <c r="I69" s="37">
        <f t="shared" si="88"/>
        <v>160000</v>
      </c>
      <c r="J69" s="37">
        <f t="shared" si="88"/>
        <v>987500</v>
      </c>
      <c r="K69" s="37">
        <f t="shared" si="88"/>
        <v>0</v>
      </c>
      <c r="L69" s="37">
        <f t="shared" si="88"/>
        <v>0</v>
      </c>
      <c r="M69" s="37">
        <f t="shared" si="88"/>
        <v>0</v>
      </c>
      <c r="N69" s="37">
        <f t="shared" si="88"/>
        <v>0</v>
      </c>
      <c r="O69" s="37">
        <f t="shared" si="88"/>
        <v>0</v>
      </c>
      <c r="P69" s="37">
        <f t="shared" si="88"/>
        <v>0</v>
      </c>
      <c r="Q69" s="37">
        <f t="shared" si="88"/>
        <v>0</v>
      </c>
      <c r="R69" s="37">
        <f t="shared" si="88"/>
        <v>0</v>
      </c>
      <c r="S69" s="37">
        <f t="shared" si="88"/>
        <v>0</v>
      </c>
      <c r="T69" s="37">
        <f t="shared" si="88"/>
        <v>0</v>
      </c>
      <c r="U69" s="37">
        <f t="shared" si="88"/>
        <v>390000</v>
      </c>
      <c r="V69" s="37">
        <f t="shared" si="88"/>
        <v>797200</v>
      </c>
      <c r="W69" s="37">
        <f t="shared" si="88"/>
        <v>614950</v>
      </c>
      <c r="X69" s="37">
        <f t="shared" si="88"/>
        <v>350000</v>
      </c>
      <c r="Y69" s="37">
        <f t="shared" si="88"/>
        <v>2152150</v>
      </c>
      <c r="Z69" s="37">
        <f t="shared" si="88"/>
        <v>768500</v>
      </c>
      <c r="AA69" s="37">
        <f t="shared" si="88"/>
        <v>768500</v>
      </c>
      <c r="AB69" s="37">
        <f t="shared" si="88"/>
        <v>0</v>
      </c>
      <c r="AC69" s="37">
        <f t="shared" si="88"/>
        <v>0</v>
      </c>
      <c r="AD69" s="37">
        <f t="shared" si="88"/>
        <v>0</v>
      </c>
      <c r="AE69" s="37">
        <f t="shared" si="88"/>
        <v>100000</v>
      </c>
      <c r="AF69" s="37">
        <f t="shared" si="88"/>
        <v>230000</v>
      </c>
      <c r="AG69" s="37">
        <f t="shared" si="88"/>
        <v>0</v>
      </c>
      <c r="AH69" s="37">
        <f t="shared" si="88"/>
        <v>330000</v>
      </c>
      <c r="AI69" s="37">
        <f t="shared" si="88"/>
        <v>700000</v>
      </c>
      <c r="AJ69" s="37">
        <f t="shared" si="88"/>
        <v>1205200</v>
      </c>
      <c r="AK69" s="37">
        <f t="shared" si="88"/>
        <v>1054450</v>
      </c>
      <c r="AL69" s="37">
        <f t="shared" si="88"/>
        <v>1278500</v>
      </c>
      <c r="AM69" s="37">
        <f t="shared" si="88"/>
        <v>4238150</v>
      </c>
    </row>
    <row r="70" spans="1:39">
      <c r="A70" s="82" t="s">
        <v>28</v>
      </c>
      <c r="B70" s="8">
        <v>1</v>
      </c>
      <c r="C70" s="1" t="s">
        <v>3</v>
      </c>
      <c r="D70" s="5" t="s">
        <v>412</v>
      </c>
      <c r="E70" s="4" t="s">
        <v>28</v>
      </c>
      <c r="F70" s="4"/>
      <c r="G70" s="4"/>
      <c r="H70" s="5"/>
      <c r="I70" s="4"/>
      <c r="J70" s="9">
        <f>SUM(F70:I70)</f>
        <v>0</v>
      </c>
      <c r="K70" s="4"/>
      <c r="L70" s="4"/>
      <c r="M70" s="4"/>
      <c r="N70" s="4"/>
      <c r="O70" s="9">
        <f>SUM(K70:N70)</f>
        <v>0</v>
      </c>
      <c r="P70" s="20"/>
      <c r="Q70" s="22">
        <v>290000</v>
      </c>
      <c r="R70" s="20"/>
      <c r="S70" s="20"/>
      <c r="T70" s="9">
        <f>SUM(P70:S70)</f>
        <v>290000</v>
      </c>
      <c r="U70" s="20"/>
      <c r="V70" s="24">
        <v>195000</v>
      </c>
      <c r="W70" s="20"/>
      <c r="X70" s="20"/>
      <c r="Y70" s="21">
        <f>SUM(U70:X70)</f>
        <v>195000</v>
      </c>
      <c r="Z70" s="25"/>
      <c r="AA70" s="21">
        <f>SUM(Z70:Z70)</f>
        <v>0</v>
      </c>
      <c r="AB70" s="25"/>
      <c r="AC70" s="21">
        <f>SUM(AB70:AB70)</f>
        <v>0</v>
      </c>
      <c r="AD70" s="25"/>
      <c r="AE70" s="25"/>
      <c r="AF70" s="25"/>
      <c r="AG70" s="25"/>
      <c r="AH70" s="21">
        <f>SUM(AD70:AG70)</f>
        <v>0</v>
      </c>
      <c r="AI70" s="4">
        <f>F70+K70+P70+U70+AD70</f>
        <v>0</v>
      </c>
      <c r="AJ70" s="4">
        <f>G70+L70+Q70+V70+AE70</f>
        <v>485000</v>
      </c>
      <c r="AK70" s="4">
        <f>H70+M70+R70+W70+AF70</f>
        <v>0</v>
      </c>
      <c r="AL70" s="4">
        <f>I70+N70+S70+X70+Z70+AB70+AG70</f>
        <v>0</v>
      </c>
      <c r="AM70" s="9">
        <f>SUM(AI70:AL70)</f>
        <v>485000</v>
      </c>
    </row>
    <row r="71" spans="1:39" s="38" customFormat="1">
      <c r="A71" s="34"/>
      <c r="B71" s="85"/>
      <c r="C71" s="35" t="s">
        <v>158</v>
      </c>
      <c r="D71" s="37"/>
      <c r="E71" s="37"/>
      <c r="F71" s="37">
        <f>SUM(F70)</f>
        <v>0</v>
      </c>
      <c r="G71" s="37">
        <f t="shared" ref="G71:AM71" si="89">SUM(G70)</f>
        <v>0</v>
      </c>
      <c r="H71" s="37">
        <f t="shared" si="89"/>
        <v>0</v>
      </c>
      <c r="I71" s="37">
        <f t="shared" si="89"/>
        <v>0</v>
      </c>
      <c r="J71" s="37">
        <f t="shared" si="89"/>
        <v>0</v>
      </c>
      <c r="K71" s="37">
        <f t="shared" si="89"/>
        <v>0</v>
      </c>
      <c r="L71" s="37">
        <f t="shared" si="89"/>
        <v>0</v>
      </c>
      <c r="M71" s="37">
        <f t="shared" si="89"/>
        <v>0</v>
      </c>
      <c r="N71" s="37">
        <f t="shared" si="89"/>
        <v>0</v>
      </c>
      <c r="O71" s="37">
        <f t="shared" si="89"/>
        <v>0</v>
      </c>
      <c r="P71" s="37">
        <f t="shared" si="89"/>
        <v>0</v>
      </c>
      <c r="Q71" s="37">
        <f t="shared" si="89"/>
        <v>290000</v>
      </c>
      <c r="R71" s="37">
        <f t="shared" si="89"/>
        <v>0</v>
      </c>
      <c r="S71" s="37">
        <f t="shared" si="89"/>
        <v>0</v>
      </c>
      <c r="T71" s="37">
        <f t="shared" si="89"/>
        <v>290000</v>
      </c>
      <c r="U71" s="37">
        <f t="shared" si="89"/>
        <v>0</v>
      </c>
      <c r="V71" s="37">
        <f t="shared" si="89"/>
        <v>195000</v>
      </c>
      <c r="W71" s="37">
        <f t="shared" si="89"/>
        <v>0</v>
      </c>
      <c r="X71" s="37">
        <f t="shared" si="89"/>
        <v>0</v>
      </c>
      <c r="Y71" s="37">
        <f t="shared" si="89"/>
        <v>195000</v>
      </c>
      <c r="Z71" s="37">
        <f t="shared" si="89"/>
        <v>0</v>
      </c>
      <c r="AA71" s="37">
        <f t="shared" si="89"/>
        <v>0</v>
      </c>
      <c r="AB71" s="37">
        <f t="shared" si="89"/>
        <v>0</v>
      </c>
      <c r="AC71" s="37">
        <f t="shared" si="89"/>
        <v>0</v>
      </c>
      <c r="AD71" s="37">
        <f t="shared" si="89"/>
        <v>0</v>
      </c>
      <c r="AE71" s="37">
        <f t="shared" si="89"/>
        <v>0</v>
      </c>
      <c r="AF71" s="37">
        <f t="shared" si="89"/>
        <v>0</v>
      </c>
      <c r="AG71" s="37">
        <f t="shared" si="89"/>
        <v>0</v>
      </c>
      <c r="AH71" s="37">
        <f t="shared" si="89"/>
        <v>0</v>
      </c>
      <c r="AI71" s="37">
        <f t="shared" si="89"/>
        <v>0</v>
      </c>
      <c r="AJ71" s="37">
        <f t="shared" si="89"/>
        <v>485000</v>
      </c>
      <c r="AK71" s="37">
        <f t="shared" si="89"/>
        <v>0</v>
      </c>
      <c r="AL71" s="37">
        <f t="shared" si="89"/>
        <v>0</v>
      </c>
      <c r="AM71" s="37">
        <f t="shared" si="89"/>
        <v>485000</v>
      </c>
    </row>
    <row r="72" spans="1:39" ht="31.5">
      <c r="A72" s="185" t="s">
        <v>159</v>
      </c>
      <c r="B72" s="8">
        <v>1</v>
      </c>
      <c r="C72" s="1" t="s">
        <v>160</v>
      </c>
      <c r="D72" s="4" t="s">
        <v>161</v>
      </c>
      <c r="E72" s="4" t="s">
        <v>159</v>
      </c>
      <c r="F72" s="4"/>
      <c r="G72" s="4"/>
      <c r="H72" s="4">
        <v>155000</v>
      </c>
      <c r="I72" s="4"/>
      <c r="J72" s="9">
        <f t="shared" ref="J72:J80" si="90">SUM(F72:I72)</f>
        <v>155000</v>
      </c>
      <c r="K72" s="4"/>
      <c r="L72" s="4"/>
      <c r="M72" s="4"/>
      <c r="N72" s="4"/>
      <c r="O72" s="9">
        <f t="shared" ref="O72:O80" si="91">SUM(K72:N72)</f>
        <v>0</v>
      </c>
      <c r="P72" s="20"/>
      <c r="Q72" s="20"/>
      <c r="R72" s="20"/>
      <c r="S72" s="20"/>
      <c r="T72" s="9">
        <f t="shared" ref="T72:T80" si="92">SUM(P72:S72)</f>
        <v>0</v>
      </c>
      <c r="U72" s="20"/>
      <c r="V72" s="20"/>
      <c r="W72" s="20"/>
      <c r="X72" s="20"/>
      <c r="Y72" s="21">
        <f t="shared" ref="Y72:Y80" si="93">SUM(U72:X72)</f>
        <v>0</v>
      </c>
      <c r="Z72" s="25"/>
      <c r="AA72" s="21">
        <f t="shared" ref="AA72:AA80" si="94">SUM(Z72:Z72)</f>
        <v>0</v>
      </c>
      <c r="AB72" s="25"/>
      <c r="AC72" s="21">
        <f t="shared" ref="AC72:AC80" si="95">SUM(AB72:AB72)</f>
        <v>0</v>
      </c>
      <c r="AD72" s="25"/>
      <c r="AE72" s="25"/>
      <c r="AF72" s="25"/>
      <c r="AG72" s="25"/>
      <c r="AH72" s="21">
        <f t="shared" ref="AH72:AH80" si="96">SUM(AD72:AG72)</f>
        <v>0</v>
      </c>
      <c r="AI72" s="4">
        <f t="shared" ref="AI72:AI80" si="97">F72+K72+P72+U72+AD72</f>
        <v>0</v>
      </c>
      <c r="AJ72" s="4">
        <f t="shared" ref="AJ72:AJ80" si="98">G72+L72+Q72+V72+AE72</f>
        <v>0</v>
      </c>
      <c r="AK72" s="4">
        <f t="shared" ref="AK72:AK80" si="99">H72+M72+R72+W72+AF72</f>
        <v>155000</v>
      </c>
      <c r="AL72" s="4">
        <f t="shared" ref="AL72:AL80" si="100">I72+N72+S72+X72+Z72+AB72+AG72</f>
        <v>0</v>
      </c>
      <c r="AM72" s="9">
        <f t="shared" ref="AM72:AM80" si="101">SUM(AI72:AL72)</f>
        <v>155000</v>
      </c>
    </row>
    <row r="73" spans="1:39">
      <c r="A73" s="186"/>
      <c r="B73" s="8">
        <v>2</v>
      </c>
      <c r="C73" s="1" t="s">
        <v>162</v>
      </c>
      <c r="D73" s="4" t="s">
        <v>163</v>
      </c>
      <c r="E73" s="4" t="s">
        <v>159</v>
      </c>
      <c r="F73" s="4"/>
      <c r="G73" s="4">
        <v>430000</v>
      </c>
      <c r="H73" s="4">
        <f>60500+60500+286000+100000</f>
        <v>507000</v>
      </c>
      <c r="I73" s="4">
        <v>136500</v>
      </c>
      <c r="J73" s="9">
        <f t="shared" si="90"/>
        <v>1073500</v>
      </c>
      <c r="K73" s="4"/>
      <c r="L73" s="4"/>
      <c r="M73" s="4"/>
      <c r="N73" s="4"/>
      <c r="O73" s="9">
        <f t="shared" si="91"/>
        <v>0</v>
      </c>
      <c r="P73" s="20"/>
      <c r="Q73" s="20"/>
      <c r="R73" s="20"/>
      <c r="S73" s="20"/>
      <c r="T73" s="9">
        <f t="shared" si="92"/>
        <v>0</v>
      </c>
      <c r="U73" s="20"/>
      <c r="V73" s="20"/>
      <c r="W73" s="20"/>
      <c r="X73" s="20"/>
      <c r="Y73" s="21">
        <f t="shared" si="93"/>
        <v>0</v>
      </c>
      <c r="Z73" s="25"/>
      <c r="AA73" s="21">
        <f t="shared" si="94"/>
        <v>0</v>
      </c>
      <c r="AB73" s="25"/>
      <c r="AC73" s="21">
        <f t="shared" si="95"/>
        <v>0</v>
      </c>
      <c r="AD73" s="25"/>
      <c r="AE73" s="25"/>
      <c r="AF73" s="25"/>
      <c r="AG73" s="25"/>
      <c r="AH73" s="21">
        <f t="shared" si="96"/>
        <v>0</v>
      </c>
      <c r="AI73" s="4">
        <f t="shared" si="97"/>
        <v>0</v>
      </c>
      <c r="AJ73" s="4">
        <f t="shared" si="98"/>
        <v>430000</v>
      </c>
      <c r="AK73" s="4">
        <f t="shared" si="99"/>
        <v>507000</v>
      </c>
      <c r="AL73" s="4">
        <f t="shared" si="100"/>
        <v>136500</v>
      </c>
      <c r="AM73" s="9">
        <f t="shared" si="101"/>
        <v>1073500</v>
      </c>
    </row>
    <row r="74" spans="1:39">
      <c r="A74" s="186"/>
      <c r="B74" s="8">
        <v>3</v>
      </c>
      <c r="C74" s="1" t="s">
        <v>164</v>
      </c>
      <c r="D74" s="4" t="s">
        <v>165</v>
      </c>
      <c r="E74" s="4" t="s">
        <v>159</v>
      </c>
      <c r="F74" s="4"/>
      <c r="G74" s="4">
        <v>942500</v>
      </c>
      <c r="H74" s="4">
        <v>87500</v>
      </c>
      <c r="I74" s="4"/>
      <c r="J74" s="9">
        <f t="shared" si="90"/>
        <v>1030000</v>
      </c>
      <c r="K74" s="4"/>
      <c r="L74" s="4"/>
      <c r="M74" s="4"/>
      <c r="N74" s="4"/>
      <c r="O74" s="9">
        <f t="shared" si="91"/>
        <v>0</v>
      </c>
      <c r="P74" s="20"/>
      <c r="Q74" s="22">
        <v>794000</v>
      </c>
      <c r="R74" s="20"/>
      <c r="S74" s="20"/>
      <c r="T74" s="9">
        <f t="shared" si="92"/>
        <v>794000</v>
      </c>
      <c r="U74" s="20"/>
      <c r="V74" s="20"/>
      <c r="W74" s="25"/>
      <c r="X74" s="25"/>
      <c r="Y74" s="21">
        <f t="shared" si="93"/>
        <v>0</v>
      </c>
      <c r="Z74" s="25"/>
      <c r="AA74" s="21">
        <f t="shared" si="94"/>
        <v>0</v>
      </c>
      <c r="AB74" s="25"/>
      <c r="AC74" s="21">
        <f t="shared" si="95"/>
        <v>0</v>
      </c>
      <c r="AD74" s="25"/>
      <c r="AE74" s="25"/>
      <c r="AF74" s="25"/>
      <c r="AG74" s="25"/>
      <c r="AH74" s="21">
        <f t="shared" si="96"/>
        <v>0</v>
      </c>
      <c r="AI74" s="4">
        <f t="shared" si="97"/>
        <v>0</v>
      </c>
      <c r="AJ74" s="4">
        <f t="shared" si="98"/>
        <v>1736500</v>
      </c>
      <c r="AK74" s="4">
        <f t="shared" si="99"/>
        <v>87500</v>
      </c>
      <c r="AL74" s="4">
        <f t="shared" si="100"/>
        <v>0</v>
      </c>
      <c r="AM74" s="9">
        <f t="shared" si="101"/>
        <v>1824000</v>
      </c>
    </row>
    <row r="75" spans="1:39">
      <c r="A75" s="186"/>
      <c r="B75" s="8">
        <v>4</v>
      </c>
      <c r="C75" s="1" t="s">
        <v>166</v>
      </c>
      <c r="D75" s="4" t="s">
        <v>167</v>
      </c>
      <c r="E75" s="4" t="s">
        <v>159</v>
      </c>
      <c r="F75" s="4"/>
      <c r="G75" s="4"/>
      <c r="H75" s="4">
        <f>155000+104500+93500+110000+20000</f>
        <v>483000</v>
      </c>
      <c r="I75" s="4">
        <v>884000</v>
      </c>
      <c r="J75" s="9">
        <f t="shared" si="90"/>
        <v>1367000</v>
      </c>
      <c r="K75" s="4"/>
      <c r="L75" s="4"/>
      <c r="M75" s="4"/>
      <c r="N75" s="4"/>
      <c r="O75" s="9">
        <f t="shared" si="91"/>
        <v>0</v>
      </c>
      <c r="P75" s="20"/>
      <c r="Q75" s="20"/>
      <c r="R75" s="20"/>
      <c r="S75" s="20"/>
      <c r="T75" s="9">
        <f t="shared" si="92"/>
        <v>0</v>
      </c>
      <c r="U75" s="20"/>
      <c r="V75" s="20"/>
      <c r="W75" s="20"/>
      <c r="X75" s="20"/>
      <c r="Y75" s="21">
        <f t="shared" si="93"/>
        <v>0</v>
      </c>
      <c r="Z75" s="25"/>
      <c r="AA75" s="21">
        <f t="shared" si="94"/>
        <v>0</v>
      </c>
      <c r="AB75" s="25"/>
      <c r="AC75" s="21">
        <f t="shared" si="95"/>
        <v>0</v>
      </c>
      <c r="AD75" s="25"/>
      <c r="AE75" s="25"/>
      <c r="AF75" s="25"/>
      <c r="AG75" s="25"/>
      <c r="AH75" s="21">
        <f t="shared" si="96"/>
        <v>0</v>
      </c>
      <c r="AI75" s="4">
        <f t="shared" si="97"/>
        <v>0</v>
      </c>
      <c r="AJ75" s="4">
        <f t="shared" si="98"/>
        <v>0</v>
      </c>
      <c r="AK75" s="4">
        <f t="shared" si="99"/>
        <v>483000</v>
      </c>
      <c r="AL75" s="4">
        <f t="shared" si="100"/>
        <v>884000</v>
      </c>
      <c r="AM75" s="9">
        <f t="shared" si="101"/>
        <v>1367000</v>
      </c>
    </row>
    <row r="76" spans="1:39">
      <c r="A76" s="186"/>
      <c r="B76" s="8">
        <v>5</v>
      </c>
      <c r="C76" s="1" t="s">
        <v>168</v>
      </c>
      <c r="D76" s="4" t="s">
        <v>169</v>
      </c>
      <c r="E76" s="4" t="s">
        <v>159</v>
      </c>
      <c r="F76" s="4"/>
      <c r="G76" s="4">
        <v>155000</v>
      </c>
      <c r="H76" s="4">
        <v>469000</v>
      </c>
      <c r="I76" s="4">
        <v>632000</v>
      </c>
      <c r="J76" s="9">
        <f t="shared" si="90"/>
        <v>1256000</v>
      </c>
      <c r="K76" s="4"/>
      <c r="L76" s="4"/>
      <c r="M76" s="4"/>
      <c r="N76" s="4"/>
      <c r="O76" s="9">
        <f t="shared" si="91"/>
        <v>0</v>
      </c>
      <c r="P76" s="20"/>
      <c r="Q76" s="20"/>
      <c r="R76" s="20"/>
      <c r="S76" s="20"/>
      <c r="T76" s="9">
        <f t="shared" si="92"/>
        <v>0</v>
      </c>
      <c r="U76" s="20"/>
      <c r="V76" s="20"/>
      <c r="W76" s="20"/>
      <c r="X76" s="20"/>
      <c r="Y76" s="21">
        <f t="shared" si="93"/>
        <v>0</v>
      </c>
      <c r="Z76" s="25"/>
      <c r="AA76" s="21">
        <f t="shared" si="94"/>
        <v>0</v>
      </c>
      <c r="AB76" s="25"/>
      <c r="AC76" s="21">
        <f t="shared" si="95"/>
        <v>0</v>
      </c>
      <c r="AD76" s="25"/>
      <c r="AE76" s="25"/>
      <c r="AF76" s="25"/>
      <c r="AG76" s="25"/>
      <c r="AH76" s="21">
        <f t="shared" si="96"/>
        <v>0</v>
      </c>
      <c r="AI76" s="4">
        <f t="shared" si="97"/>
        <v>0</v>
      </c>
      <c r="AJ76" s="4">
        <f t="shared" si="98"/>
        <v>155000</v>
      </c>
      <c r="AK76" s="4">
        <f t="shared" si="99"/>
        <v>469000</v>
      </c>
      <c r="AL76" s="4">
        <f t="shared" si="100"/>
        <v>632000</v>
      </c>
      <c r="AM76" s="9">
        <f t="shared" si="101"/>
        <v>1256000</v>
      </c>
    </row>
    <row r="77" spans="1:39">
      <c r="A77" s="186"/>
      <c r="B77" s="8">
        <v>6</v>
      </c>
      <c r="C77" s="1" t="s">
        <v>170</v>
      </c>
      <c r="D77" s="4" t="s">
        <v>171</v>
      </c>
      <c r="E77" s="4" t="s">
        <v>159</v>
      </c>
      <c r="F77" s="4"/>
      <c r="G77" s="4"/>
      <c r="H77" s="4"/>
      <c r="I77" s="4"/>
      <c r="J77" s="9">
        <f t="shared" si="90"/>
        <v>0</v>
      </c>
      <c r="K77" s="4"/>
      <c r="L77" s="4"/>
      <c r="M77" s="4"/>
      <c r="N77" s="4"/>
      <c r="O77" s="9">
        <f t="shared" si="91"/>
        <v>0</v>
      </c>
      <c r="P77" s="20"/>
      <c r="Q77" s="20"/>
      <c r="R77" s="20"/>
      <c r="S77" s="20"/>
      <c r="T77" s="9">
        <f t="shared" si="92"/>
        <v>0</v>
      </c>
      <c r="U77" s="20"/>
      <c r="V77" s="25">
        <v>232800</v>
      </c>
      <c r="W77" s="25">
        <v>424050</v>
      </c>
      <c r="X77" s="25">
        <v>229000</v>
      </c>
      <c r="Y77" s="21">
        <f t="shared" si="93"/>
        <v>885850</v>
      </c>
      <c r="Z77" s="25"/>
      <c r="AA77" s="21">
        <f t="shared" si="94"/>
        <v>0</v>
      </c>
      <c r="AB77" s="25"/>
      <c r="AC77" s="21">
        <f t="shared" si="95"/>
        <v>0</v>
      </c>
      <c r="AD77" s="25"/>
      <c r="AE77" s="25"/>
      <c r="AF77" s="25"/>
      <c r="AG77" s="25"/>
      <c r="AH77" s="21">
        <f t="shared" si="96"/>
        <v>0</v>
      </c>
      <c r="AI77" s="4">
        <f t="shared" si="97"/>
        <v>0</v>
      </c>
      <c r="AJ77" s="4">
        <f t="shared" si="98"/>
        <v>232800</v>
      </c>
      <c r="AK77" s="4">
        <f t="shared" si="99"/>
        <v>424050</v>
      </c>
      <c r="AL77" s="4">
        <f t="shared" si="100"/>
        <v>229000</v>
      </c>
      <c r="AM77" s="9">
        <f t="shared" si="101"/>
        <v>885850</v>
      </c>
    </row>
    <row r="78" spans="1:39">
      <c r="A78" s="186"/>
      <c r="B78" s="8">
        <v>7</v>
      </c>
      <c r="C78" s="1" t="s">
        <v>172</v>
      </c>
      <c r="D78" s="4" t="s">
        <v>165</v>
      </c>
      <c r="E78" s="4" t="s">
        <v>159</v>
      </c>
      <c r="F78" s="4"/>
      <c r="G78" s="4"/>
      <c r="H78" s="4">
        <v>155000</v>
      </c>
      <c r="I78" s="4">
        <v>-155000</v>
      </c>
      <c r="J78" s="9">
        <f t="shared" si="90"/>
        <v>0</v>
      </c>
      <c r="K78" s="4"/>
      <c r="L78" s="4"/>
      <c r="M78" s="4"/>
      <c r="N78" s="4"/>
      <c r="O78" s="9">
        <f t="shared" si="91"/>
        <v>0</v>
      </c>
      <c r="P78" s="20"/>
      <c r="Q78" s="20"/>
      <c r="R78" s="20"/>
      <c r="S78" s="20"/>
      <c r="T78" s="9">
        <f t="shared" si="92"/>
        <v>0</v>
      </c>
      <c r="U78" s="20"/>
      <c r="V78" s="20"/>
      <c r="W78" s="20"/>
      <c r="X78" s="20"/>
      <c r="Y78" s="21">
        <f t="shared" si="93"/>
        <v>0</v>
      </c>
      <c r="Z78" s="25"/>
      <c r="AA78" s="21">
        <f t="shared" si="94"/>
        <v>0</v>
      </c>
      <c r="AB78" s="25"/>
      <c r="AC78" s="21">
        <f t="shared" si="95"/>
        <v>0</v>
      </c>
      <c r="AD78" s="25"/>
      <c r="AE78" s="25"/>
      <c r="AF78" s="25"/>
      <c r="AG78" s="25"/>
      <c r="AH78" s="21">
        <f t="shared" si="96"/>
        <v>0</v>
      </c>
      <c r="AI78" s="4">
        <f t="shared" si="97"/>
        <v>0</v>
      </c>
      <c r="AJ78" s="4">
        <f t="shared" si="98"/>
        <v>0</v>
      </c>
      <c r="AK78" s="4">
        <f t="shared" si="99"/>
        <v>155000</v>
      </c>
      <c r="AL78" s="4">
        <f t="shared" si="100"/>
        <v>-155000</v>
      </c>
      <c r="AM78" s="9">
        <f t="shared" si="101"/>
        <v>0</v>
      </c>
    </row>
    <row r="79" spans="1:39" ht="31.5">
      <c r="A79" s="186"/>
      <c r="B79" s="8">
        <v>8</v>
      </c>
      <c r="C79" s="1" t="s">
        <v>173</v>
      </c>
      <c r="D79" s="4" t="s">
        <v>174</v>
      </c>
      <c r="E79" s="4" t="s">
        <v>159</v>
      </c>
      <c r="F79" s="4"/>
      <c r="G79" s="4"/>
      <c r="H79" s="4">
        <v>155000</v>
      </c>
      <c r="I79" s="4"/>
      <c r="J79" s="9">
        <f t="shared" si="90"/>
        <v>155000</v>
      </c>
      <c r="K79" s="4"/>
      <c r="L79" s="4"/>
      <c r="M79" s="4"/>
      <c r="N79" s="4"/>
      <c r="O79" s="9">
        <f t="shared" si="91"/>
        <v>0</v>
      </c>
      <c r="P79" s="20"/>
      <c r="Q79" s="20"/>
      <c r="R79" s="20"/>
      <c r="S79" s="20"/>
      <c r="T79" s="9">
        <f t="shared" si="92"/>
        <v>0</v>
      </c>
      <c r="U79" s="20"/>
      <c r="V79" s="20"/>
      <c r="W79" s="20"/>
      <c r="X79" s="20"/>
      <c r="Y79" s="21">
        <f t="shared" si="93"/>
        <v>0</v>
      </c>
      <c r="Z79" s="25"/>
      <c r="AA79" s="21">
        <f t="shared" si="94"/>
        <v>0</v>
      </c>
      <c r="AB79" s="25"/>
      <c r="AC79" s="21">
        <f t="shared" si="95"/>
        <v>0</v>
      </c>
      <c r="AD79" s="25"/>
      <c r="AE79" s="25"/>
      <c r="AF79" s="25"/>
      <c r="AG79" s="25"/>
      <c r="AH79" s="21">
        <f t="shared" si="96"/>
        <v>0</v>
      </c>
      <c r="AI79" s="4">
        <f t="shared" si="97"/>
        <v>0</v>
      </c>
      <c r="AJ79" s="4">
        <f t="shared" si="98"/>
        <v>0</v>
      </c>
      <c r="AK79" s="4">
        <f t="shared" si="99"/>
        <v>155000</v>
      </c>
      <c r="AL79" s="4">
        <f t="shared" si="100"/>
        <v>0</v>
      </c>
      <c r="AM79" s="9">
        <f t="shared" si="101"/>
        <v>155000</v>
      </c>
    </row>
    <row r="80" spans="1:39">
      <c r="A80" s="187"/>
      <c r="B80" s="8">
        <v>9</v>
      </c>
      <c r="C80" s="1" t="s">
        <v>175</v>
      </c>
      <c r="D80" s="4" t="s">
        <v>163</v>
      </c>
      <c r="E80" s="4" t="s">
        <v>159</v>
      </c>
      <c r="F80" s="4"/>
      <c r="G80" s="4"/>
      <c r="H80" s="4">
        <v>155000</v>
      </c>
      <c r="I80" s="4">
        <v>776500</v>
      </c>
      <c r="J80" s="9">
        <f t="shared" si="90"/>
        <v>931500</v>
      </c>
      <c r="K80" s="4"/>
      <c r="L80" s="4"/>
      <c r="M80" s="4"/>
      <c r="N80" s="4"/>
      <c r="O80" s="9">
        <f t="shared" si="91"/>
        <v>0</v>
      </c>
      <c r="P80" s="20"/>
      <c r="Q80" s="20"/>
      <c r="R80" s="20"/>
      <c r="S80" s="20"/>
      <c r="T80" s="9">
        <f t="shared" si="92"/>
        <v>0</v>
      </c>
      <c r="U80" s="20"/>
      <c r="V80" s="20"/>
      <c r="W80" s="20"/>
      <c r="X80" s="20"/>
      <c r="Y80" s="21">
        <f t="shared" si="93"/>
        <v>0</v>
      </c>
      <c r="Z80" s="25"/>
      <c r="AA80" s="21">
        <f t="shared" si="94"/>
        <v>0</v>
      </c>
      <c r="AB80" s="25"/>
      <c r="AC80" s="21">
        <f t="shared" si="95"/>
        <v>0</v>
      </c>
      <c r="AD80" s="25"/>
      <c r="AE80" s="25"/>
      <c r="AF80" s="25"/>
      <c r="AG80" s="25"/>
      <c r="AH80" s="21">
        <f t="shared" si="96"/>
        <v>0</v>
      </c>
      <c r="AI80" s="4">
        <f t="shared" si="97"/>
        <v>0</v>
      </c>
      <c r="AJ80" s="4">
        <f t="shared" si="98"/>
        <v>0</v>
      </c>
      <c r="AK80" s="4">
        <f t="shared" si="99"/>
        <v>155000</v>
      </c>
      <c r="AL80" s="4">
        <f t="shared" si="100"/>
        <v>776500</v>
      </c>
      <c r="AM80" s="9">
        <f t="shared" si="101"/>
        <v>931500</v>
      </c>
    </row>
    <row r="81" spans="1:39" s="38" customFormat="1">
      <c r="A81" s="34"/>
      <c r="B81" s="85"/>
      <c r="C81" s="35" t="s">
        <v>176</v>
      </c>
      <c r="D81" s="37"/>
      <c r="E81" s="37"/>
      <c r="F81" s="37">
        <f>SUM(F72:F80)</f>
        <v>0</v>
      </c>
      <c r="G81" s="37">
        <f>SUM(G72:G80)</f>
        <v>1527500</v>
      </c>
      <c r="H81" s="37">
        <f t="shared" ref="H81:AM81" si="102">SUM(H72:H80)</f>
        <v>2166500</v>
      </c>
      <c r="I81" s="37">
        <f t="shared" ref="I81:J81" si="103">SUM(I72:I80)</f>
        <v>2274000</v>
      </c>
      <c r="J81" s="37">
        <f t="shared" si="103"/>
        <v>5968000</v>
      </c>
      <c r="K81" s="37">
        <f t="shared" si="102"/>
        <v>0</v>
      </c>
      <c r="L81" s="37">
        <f t="shared" si="102"/>
        <v>0</v>
      </c>
      <c r="M81" s="37">
        <f t="shared" si="102"/>
        <v>0</v>
      </c>
      <c r="N81" s="37">
        <f t="shared" si="102"/>
        <v>0</v>
      </c>
      <c r="O81" s="37">
        <f t="shared" si="102"/>
        <v>0</v>
      </c>
      <c r="P81" s="37">
        <f t="shared" si="102"/>
        <v>0</v>
      </c>
      <c r="Q81" s="37">
        <f t="shared" si="102"/>
        <v>794000</v>
      </c>
      <c r="R81" s="37">
        <f t="shared" si="102"/>
        <v>0</v>
      </c>
      <c r="S81" s="37">
        <f t="shared" si="102"/>
        <v>0</v>
      </c>
      <c r="T81" s="37">
        <f t="shared" si="102"/>
        <v>794000</v>
      </c>
      <c r="U81" s="37">
        <f t="shared" si="102"/>
        <v>0</v>
      </c>
      <c r="V81" s="37">
        <f t="shared" si="102"/>
        <v>232800</v>
      </c>
      <c r="W81" s="37">
        <f t="shared" si="102"/>
        <v>424050</v>
      </c>
      <c r="X81" s="37">
        <f t="shared" si="102"/>
        <v>229000</v>
      </c>
      <c r="Y81" s="37">
        <f t="shared" si="102"/>
        <v>885850</v>
      </c>
      <c r="Z81" s="37">
        <f t="shared" si="102"/>
        <v>0</v>
      </c>
      <c r="AA81" s="37">
        <f t="shared" si="102"/>
        <v>0</v>
      </c>
      <c r="AB81" s="37">
        <f t="shared" si="102"/>
        <v>0</v>
      </c>
      <c r="AC81" s="37">
        <f t="shared" si="102"/>
        <v>0</v>
      </c>
      <c r="AD81" s="37">
        <f t="shared" si="102"/>
        <v>0</v>
      </c>
      <c r="AE81" s="37">
        <f t="shared" si="102"/>
        <v>0</v>
      </c>
      <c r="AF81" s="37">
        <f t="shared" si="102"/>
        <v>0</v>
      </c>
      <c r="AG81" s="37">
        <f t="shared" si="102"/>
        <v>0</v>
      </c>
      <c r="AH81" s="37">
        <f t="shared" si="102"/>
        <v>0</v>
      </c>
      <c r="AI81" s="37">
        <f t="shared" si="102"/>
        <v>0</v>
      </c>
      <c r="AJ81" s="37">
        <f t="shared" si="102"/>
        <v>2554300</v>
      </c>
      <c r="AK81" s="37">
        <f t="shared" si="102"/>
        <v>2590550</v>
      </c>
      <c r="AL81" s="37">
        <f t="shared" si="102"/>
        <v>2503000</v>
      </c>
      <c r="AM81" s="37">
        <f t="shared" si="102"/>
        <v>7647850</v>
      </c>
    </row>
    <row r="82" spans="1:39" ht="31.5" customHeight="1">
      <c r="A82" s="82" t="s">
        <v>34</v>
      </c>
      <c r="B82" s="8">
        <v>1</v>
      </c>
      <c r="C82" s="1" t="s">
        <v>60</v>
      </c>
      <c r="D82" s="4" t="s">
        <v>33</v>
      </c>
      <c r="E82" s="4" t="s">
        <v>34</v>
      </c>
      <c r="F82" s="4"/>
      <c r="G82" s="4">
        <v>155000</v>
      </c>
      <c r="H82" s="4">
        <f>180000-155000</f>
        <v>25000</v>
      </c>
      <c r="I82" s="4">
        <v>160000</v>
      </c>
      <c r="J82" s="9">
        <f>SUM(F82:I82)</f>
        <v>340000</v>
      </c>
      <c r="K82" s="4"/>
      <c r="L82" s="4"/>
      <c r="M82" s="4"/>
      <c r="N82" s="4"/>
      <c r="O82" s="9">
        <f>SUM(K82:N82)</f>
        <v>0</v>
      </c>
      <c r="P82" s="20"/>
      <c r="Q82" s="20"/>
      <c r="R82" s="20"/>
      <c r="S82" s="20"/>
      <c r="T82" s="9">
        <f>SUM(P82:S82)</f>
        <v>0</v>
      </c>
      <c r="U82" s="20"/>
      <c r="V82" s="20"/>
      <c r="W82" s="20"/>
      <c r="X82" s="20"/>
      <c r="Y82" s="21">
        <f>SUM(U82:X82)</f>
        <v>0</v>
      </c>
      <c r="Z82" s="25"/>
      <c r="AA82" s="21">
        <f>SUM(Z82:Z82)</f>
        <v>0</v>
      </c>
      <c r="AB82" s="25"/>
      <c r="AC82" s="21">
        <f>SUM(AB82:AB82)</f>
        <v>0</v>
      </c>
      <c r="AD82" s="25"/>
      <c r="AE82" s="25"/>
      <c r="AF82" s="25"/>
      <c r="AG82" s="25"/>
      <c r="AH82" s="21">
        <f>SUM(AD82:AG82)</f>
        <v>0</v>
      </c>
      <c r="AI82" s="4">
        <f>F82+K82+P82+U82+AD82</f>
        <v>0</v>
      </c>
      <c r="AJ82" s="4">
        <f>G82+L82+Q82+V82+AE82</f>
        <v>155000</v>
      </c>
      <c r="AK82" s="4">
        <f>H82+M82+R82+W82+AF82</f>
        <v>25000</v>
      </c>
      <c r="AL82" s="4">
        <f>I82+N82+S82+X82+Z82+AB82+AG82</f>
        <v>160000</v>
      </c>
      <c r="AM82" s="9">
        <f>SUM(AI82:AL82)</f>
        <v>340000</v>
      </c>
    </row>
    <row r="83" spans="1:39" s="38" customFormat="1">
      <c r="A83" s="34"/>
      <c r="B83" s="85"/>
      <c r="C83" s="35" t="s">
        <v>177</v>
      </c>
      <c r="D83" s="37"/>
      <c r="E83" s="37"/>
      <c r="F83" s="37">
        <f>SUM(F82)</f>
        <v>0</v>
      </c>
      <c r="G83" s="37">
        <f t="shared" ref="G83:AM83" si="104">SUM(G82)</f>
        <v>155000</v>
      </c>
      <c r="H83" s="37">
        <f t="shared" si="104"/>
        <v>25000</v>
      </c>
      <c r="I83" s="37">
        <f t="shared" si="104"/>
        <v>160000</v>
      </c>
      <c r="J83" s="37">
        <f t="shared" si="104"/>
        <v>340000</v>
      </c>
      <c r="K83" s="37">
        <f t="shared" si="104"/>
        <v>0</v>
      </c>
      <c r="L83" s="37">
        <f t="shared" si="104"/>
        <v>0</v>
      </c>
      <c r="M83" s="37">
        <f t="shared" si="104"/>
        <v>0</v>
      </c>
      <c r="N83" s="37">
        <f t="shared" si="104"/>
        <v>0</v>
      </c>
      <c r="O83" s="37">
        <f t="shared" si="104"/>
        <v>0</v>
      </c>
      <c r="P83" s="37">
        <f t="shared" si="104"/>
        <v>0</v>
      </c>
      <c r="Q83" s="37">
        <f t="shared" si="104"/>
        <v>0</v>
      </c>
      <c r="R83" s="37">
        <f t="shared" si="104"/>
        <v>0</v>
      </c>
      <c r="S83" s="37">
        <f t="shared" si="104"/>
        <v>0</v>
      </c>
      <c r="T83" s="37">
        <f t="shared" si="104"/>
        <v>0</v>
      </c>
      <c r="U83" s="37">
        <f t="shared" si="104"/>
        <v>0</v>
      </c>
      <c r="V83" s="37">
        <f t="shared" si="104"/>
        <v>0</v>
      </c>
      <c r="W83" s="37">
        <f t="shared" si="104"/>
        <v>0</v>
      </c>
      <c r="X83" s="37">
        <f t="shared" si="104"/>
        <v>0</v>
      </c>
      <c r="Y83" s="37">
        <f t="shared" si="104"/>
        <v>0</v>
      </c>
      <c r="Z83" s="37">
        <f t="shared" si="104"/>
        <v>0</v>
      </c>
      <c r="AA83" s="37">
        <f t="shared" si="104"/>
        <v>0</v>
      </c>
      <c r="AB83" s="37">
        <f t="shared" si="104"/>
        <v>0</v>
      </c>
      <c r="AC83" s="37">
        <f t="shared" si="104"/>
        <v>0</v>
      </c>
      <c r="AD83" s="37">
        <f t="shared" si="104"/>
        <v>0</v>
      </c>
      <c r="AE83" s="37">
        <f t="shared" si="104"/>
        <v>0</v>
      </c>
      <c r="AF83" s="37">
        <f t="shared" si="104"/>
        <v>0</v>
      </c>
      <c r="AG83" s="37">
        <f t="shared" si="104"/>
        <v>0</v>
      </c>
      <c r="AH83" s="37">
        <f t="shared" si="104"/>
        <v>0</v>
      </c>
      <c r="AI83" s="37">
        <f t="shared" si="104"/>
        <v>0</v>
      </c>
      <c r="AJ83" s="37">
        <f t="shared" si="104"/>
        <v>155000</v>
      </c>
      <c r="AK83" s="37">
        <f t="shared" si="104"/>
        <v>25000</v>
      </c>
      <c r="AL83" s="37">
        <f t="shared" si="104"/>
        <v>160000</v>
      </c>
      <c r="AM83" s="37">
        <f t="shared" si="104"/>
        <v>340000</v>
      </c>
    </row>
    <row r="84" spans="1:39">
      <c r="A84" s="185" t="s">
        <v>17</v>
      </c>
      <c r="B84" s="8">
        <v>1</v>
      </c>
      <c r="C84" s="1" t="s">
        <v>178</v>
      </c>
      <c r="D84" s="4" t="s">
        <v>179</v>
      </c>
      <c r="E84" s="4" t="s">
        <v>17</v>
      </c>
      <c r="F84" s="4">
        <v>155000</v>
      </c>
      <c r="G84" s="4">
        <v>1164000</v>
      </c>
      <c r="H84" s="4">
        <f>110000+110000+330000+110000+80000</f>
        <v>740000</v>
      </c>
      <c r="I84" s="4">
        <f>20000+60000</f>
        <v>80000</v>
      </c>
      <c r="J84" s="9">
        <f t="shared" ref="J84:J114" si="105">SUM(F84:I84)</f>
        <v>2139000</v>
      </c>
      <c r="K84" s="77">
        <v>290000</v>
      </c>
      <c r="L84" s="77">
        <v>2150000</v>
      </c>
      <c r="M84" s="77">
        <v>1650000</v>
      </c>
      <c r="N84" s="77">
        <v>200000</v>
      </c>
      <c r="O84" s="9">
        <f t="shared" ref="O84:O114" si="106">SUM(K84:N84)</f>
        <v>4290000</v>
      </c>
      <c r="P84" s="20"/>
      <c r="Q84" s="20"/>
      <c r="R84" s="4">
        <v>590000</v>
      </c>
      <c r="S84" s="23"/>
      <c r="T84" s="9">
        <f t="shared" ref="T84:T114" si="107">SUM(P84:S84)</f>
        <v>590000</v>
      </c>
      <c r="U84" s="20">
        <v>195000</v>
      </c>
      <c r="V84" s="25">
        <v>1676350</v>
      </c>
      <c r="W84" s="25">
        <f>792000+30000</f>
        <v>822000</v>
      </c>
      <c r="X84" s="24">
        <v>30000</v>
      </c>
      <c r="Y84" s="21">
        <f t="shared" ref="Y84:Y114" si="108">SUM(U84:X84)</f>
        <v>2723350</v>
      </c>
      <c r="Z84" s="25">
        <v>0</v>
      </c>
      <c r="AA84" s="21">
        <f t="shared" ref="AA84:AA114" si="109">SUM(Z84:Z84)</f>
        <v>0</v>
      </c>
      <c r="AB84" s="24">
        <v>900000</v>
      </c>
      <c r="AC84" s="21">
        <f t="shared" ref="AC84:AC114" si="110">SUM(AB84:AB84)</f>
        <v>900000</v>
      </c>
      <c r="AD84" s="25"/>
      <c r="AE84" s="24">
        <f>100000+248400</f>
        <v>348400</v>
      </c>
      <c r="AF84" s="25"/>
      <c r="AG84" s="25"/>
      <c r="AH84" s="21">
        <f t="shared" ref="AH84:AH114" si="111">SUM(AD84:AG84)</f>
        <v>348400</v>
      </c>
      <c r="AI84" s="4">
        <f t="shared" ref="AI84:AI114" si="112">F84+K84+P84+U84+AD84</f>
        <v>640000</v>
      </c>
      <c r="AJ84" s="4">
        <f t="shared" ref="AJ84:AJ114" si="113">G84+L84+Q84+V84+AE84</f>
        <v>5338750</v>
      </c>
      <c r="AK84" s="4">
        <f t="shared" ref="AK84:AK114" si="114">H84+M84+R84+W84+AF84</f>
        <v>3802000</v>
      </c>
      <c r="AL84" s="4">
        <f t="shared" ref="AL84:AL114" si="115">I84+N84+S84+X84+Z84+AB84+AG84</f>
        <v>1210000</v>
      </c>
      <c r="AM84" s="9">
        <f t="shared" ref="AM84:AM114" si="116">SUM(AI84:AL84)</f>
        <v>10990750</v>
      </c>
    </row>
    <row r="85" spans="1:39">
      <c r="A85" s="186"/>
      <c r="B85" s="8">
        <v>2</v>
      </c>
      <c r="C85" s="1" t="s">
        <v>180</v>
      </c>
      <c r="D85" s="4" t="s">
        <v>181</v>
      </c>
      <c r="E85" s="4" t="s">
        <v>17</v>
      </c>
      <c r="F85" s="4"/>
      <c r="G85" s="4"/>
      <c r="H85" s="4">
        <v>155000</v>
      </c>
      <c r="I85" s="4">
        <f>156000+16000</f>
        <v>172000</v>
      </c>
      <c r="J85" s="9">
        <f t="shared" si="105"/>
        <v>327000</v>
      </c>
      <c r="K85" s="77"/>
      <c r="L85" s="77"/>
      <c r="M85" s="77">
        <v>390000</v>
      </c>
      <c r="N85" s="77"/>
      <c r="O85" s="9">
        <f t="shared" si="106"/>
        <v>390000</v>
      </c>
      <c r="P85" s="20"/>
      <c r="Q85" s="20"/>
      <c r="R85" s="4"/>
      <c r="S85" s="20"/>
      <c r="T85" s="9">
        <f t="shared" si="107"/>
        <v>0</v>
      </c>
      <c r="U85" s="20"/>
      <c r="V85" s="25">
        <v>195000</v>
      </c>
      <c r="W85" s="25">
        <f>165550+208000</f>
        <v>373550</v>
      </c>
      <c r="X85" s="24">
        <v>30000</v>
      </c>
      <c r="Y85" s="21">
        <f t="shared" si="108"/>
        <v>598550</v>
      </c>
      <c r="Z85" s="25">
        <v>945000</v>
      </c>
      <c r="AA85" s="21">
        <f t="shared" si="109"/>
        <v>945000</v>
      </c>
      <c r="AB85" s="25"/>
      <c r="AC85" s="21">
        <f t="shared" si="110"/>
        <v>0</v>
      </c>
      <c r="AD85" s="25"/>
      <c r="AE85" s="25"/>
      <c r="AF85" s="25"/>
      <c r="AG85" s="25"/>
      <c r="AH85" s="21">
        <f t="shared" si="111"/>
        <v>0</v>
      </c>
      <c r="AI85" s="4">
        <f t="shared" si="112"/>
        <v>0</v>
      </c>
      <c r="AJ85" s="4">
        <f t="shared" si="113"/>
        <v>195000</v>
      </c>
      <c r="AK85" s="4">
        <f t="shared" si="114"/>
        <v>918550</v>
      </c>
      <c r="AL85" s="4">
        <f t="shared" si="115"/>
        <v>1147000</v>
      </c>
      <c r="AM85" s="9">
        <f t="shared" si="116"/>
        <v>2260550</v>
      </c>
    </row>
    <row r="86" spans="1:39">
      <c r="A86" s="186"/>
      <c r="B86" s="8">
        <v>3</v>
      </c>
      <c r="C86" s="1" t="s">
        <v>182</v>
      </c>
      <c r="D86" s="4" t="s">
        <v>183</v>
      </c>
      <c r="E86" s="4" t="s">
        <v>17</v>
      </c>
      <c r="F86" s="4"/>
      <c r="G86" s="4"/>
      <c r="H86" s="4"/>
      <c r="I86" s="4"/>
      <c r="J86" s="9">
        <f t="shared" si="105"/>
        <v>0</v>
      </c>
      <c r="K86" s="77"/>
      <c r="L86" s="77"/>
      <c r="M86" s="77">
        <v>290000</v>
      </c>
      <c r="N86" s="77">
        <v>-290000</v>
      </c>
      <c r="O86" s="9">
        <f t="shared" si="106"/>
        <v>0</v>
      </c>
      <c r="P86" s="20"/>
      <c r="Q86" s="20"/>
      <c r="R86" s="4"/>
      <c r="S86" s="20"/>
      <c r="T86" s="9">
        <f t="shared" si="107"/>
        <v>0</v>
      </c>
      <c r="U86" s="20"/>
      <c r="V86" s="25"/>
      <c r="W86" s="25">
        <v>225000</v>
      </c>
      <c r="X86" s="24">
        <v>963000</v>
      </c>
      <c r="Y86" s="21">
        <f t="shared" si="108"/>
        <v>1188000</v>
      </c>
      <c r="Z86" s="25">
        <v>0</v>
      </c>
      <c r="AA86" s="21">
        <f t="shared" si="109"/>
        <v>0</v>
      </c>
      <c r="AB86" s="25"/>
      <c r="AC86" s="21">
        <f t="shared" si="110"/>
        <v>0</v>
      </c>
      <c r="AD86" s="25"/>
      <c r="AE86" s="25"/>
      <c r="AF86" s="25"/>
      <c r="AG86" s="25"/>
      <c r="AH86" s="21">
        <f t="shared" si="111"/>
        <v>0</v>
      </c>
      <c r="AI86" s="4">
        <f t="shared" si="112"/>
        <v>0</v>
      </c>
      <c r="AJ86" s="4">
        <f t="shared" si="113"/>
        <v>0</v>
      </c>
      <c r="AK86" s="4">
        <f t="shared" si="114"/>
        <v>515000</v>
      </c>
      <c r="AL86" s="4">
        <f t="shared" si="115"/>
        <v>673000</v>
      </c>
      <c r="AM86" s="9">
        <f t="shared" si="116"/>
        <v>1188000</v>
      </c>
    </row>
    <row r="87" spans="1:39">
      <c r="A87" s="186"/>
      <c r="B87" s="8">
        <v>4</v>
      </c>
      <c r="C87" s="1" t="s">
        <v>184</v>
      </c>
      <c r="D87" s="4" t="s">
        <v>185</v>
      </c>
      <c r="E87" s="4" t="s">
        <v>17</v>
      </c>
      <c r="F87" s="4"/>
      <c r="G87" s="4">
        <v>323000</v>
      </c>
      <c r="H87" s="4">
        <f>93500+55000+253000+71500+55000+20000+60000</f>
        <v>608000</v>
      </c>
      <c r="I87" s="4">
        <v>649000</v>
      </c>
      <c r="J87" s="9">
        <f t="shared" si="105"/>
        <v>1580000</v>
      </c>
      <c r="K87" s="4"/>
      <c r="L87" s="4"/>
      <c r="M87" s="4"/>
      <c r="N87" s="4"/>
      <c r="O87" s="9">
        <f t="shared" si="106"/>
        <v>0</v>
      </c>
      <c r="P87" s="20"/>
      <c r="Q87" s="20"/>
      <c r="R87" s="4"/>
      <c r="S87" s="20"/>
      <c r="T87" s="9">
        <f t="shared" si="107"/>
        <v>0</v>
      </c>
      <c r="U87" s="20"/>
      <c r="V87" s="20"/>
      <c r="W87" s="20"/>
      <c r="X87" s="20"/>
      <c r="Y87" s="21">
        <f t="shared" si="108"/>
        <v>0</v>
      </c>
      <c r="Z87" s="25">
        <v>0</v>
      </c>
      <c r="AA87" s="21">
        <f t="shared" si="109"/>
        <v>0</v>
      </c>
      <c r="AB87" s="25"/>
      <c r="AC87" s="21">
        <f t="shared" si="110"/>
        <v>0</v>
      </c>
      <c r="AD87" s="25"/>
      <c r="AE87" s="25"/>
      <c r="AF87" s="25"/>
      <c r="AG87" s="25"/>
      <c r="AH87" s="21">
        <f t="shared" si="111"/>
        <v>0</v>
      </c>
      <c r="AI87" s="4">
        <f t="shared" si="112"/>
        <v>0</v>
      </c>
      <c r="AJ87" s="4">
        <f t="shared" si="113"/>
        <v>323000</v>
      </c>
      <c r="AK87" s="4">
        <f t="shared" si="114"/>
        <v>608000</v>
      </c>
      <c r="AL87" s="4">
        <f t="shared" si="115"/>
        <v>649000</v>
      </c>
      <c r="AM87" s="9">
        <f t="shared" si="116"/>
        <v>1580000</v>
      </c>
    </row>
    <row r="88" spans="1:39">
      <c r="A88" s="186"/>
      <c r="B88" s="8">
        <v>5</v>
      </c>
      <c r="C88" s="42" t="s">
        <v>186</v>
      </c>
      <c r="D88" s="43" t="s">
        <v>187</v>
      </c>
      <c r="E88" s="4" t="s">
        <v>17</v>
      </c>
      <c r="F88" s="4"/>
      <c r="G88" s="4"/>
      <c r="H88" s="4"/>
      <c r="I88" s="4"/>
      <c r="J88" s="9">
        <f t="shared" si="105"/>
        <v>0</v>
      </c>
      <c r="K88" s="4"/>
      <c r="L88" s="4"/>
      <c r="M88" s="4"/>
      <c r="N88" s="4"/>
      <c r="O88" s="9">
        <f t="shared" si="106"/>
        <v>0</v>
      </c>
      <c r="P88" s="20"/>
      <c r="Q88" s="20"/>
      <c r="R88" s="4">
        <v>290000</v>
      </c>
      <c r="S88" s="20"/>
      <c r="T88" s="9">
        <f t="shared" si="107"/>
        <v>290000</v>
      </c>
      <c r="U88" s="20"/>
      <c r="V88" s="20"/>
      <c r="W88" s="20"/>
      <c r="X88" s="20"/>
      <c r="Y88" s="21">
        <f t="shared" si="108"/>
        <v>0</v>
      </c>
      <c r="Z88" s="25">
        <v>0</v>
      </c>
      <c r="AA88" s="21">
        <f t="shared" si="109"/>
        <v>0</v>
      </c>
      <c r="AB88" s="25"/>
      <c r="AC88" s="21">
        <f t="shared" si="110"/>
        <v>0</v>
      </c>
      <c r="AD88" s="25"/>
      <c r="AE88" s="25"/>
      <c r="AF88" s="25"/>
      <c r="AG88" s="25"/>
      <c r="AH88" s="21">
        <f t="shared" si="111"/>
        <v>0</v>
      </c>
      <c r="AI88" s="4">
        <f t="shared" si="112"/>
        <v>0</v>
      </c>
      <c r="AJ88" s="4">
        <f t="shared" si="113"/>
        <v>0</v>
      </c>
      <c r="AK88" s="4">
        <f t="shared" si="114"/>
        <v>290000</v>
      </c>
      <c r="AL88" s="4">
        <f t="shared" si="115"/>
        <v>0</v>
      </c>
      <c r="AM88" s="9">
        <f t="shared" si="116"/>
        <v>290000</v>
      </c>
    </row>
    <row r="89" spans="1:39">
      <c r="A89" s="186"/>
      <c r="B89" s="8">
        <v>6</v>
      </c>
      <c r="C89" s="1" t="s">
        <v>188</v>
      </c>
      <c r="D89" s="4" t="s">
        <v>413</v>
      </c>
      <c r="E89" s="4" t="s">
        <v>17</v>
      </c>
      <c r="F89" s="4"/>
      <c r="G89" s="4"/>
      <c r="H89" s="4"/>
      <c r="I89" s="4"/>
      <c r="J89" s="9">
        <f t="shared" si="105"/>
        <v>0</v>
      </c>
      <c r="K89" s="76"/>
      <c r="L89" s="76">
        <v>290000</v>
      </c>
      <c r="M89" s="76">
        <v>1620000</v>
      </c>
      <c r="N89" s="76"/>
      <c r="O89" s="9">
        <f t="shared" si="106"/>
        <v>1910000</v>
      </c>
      <c r="P89" s="20"/>
      <c r="Q89" s="20"/>
      <c r="R89" s="20"/>
      <c r="S89" s="20"/>
      <c r="T89" s="9">
        <f t="shared" si="107"/>
        <v>0</v>
      </c>
      <c r="U89" s="20"/>
      <c r="V89" s="25">
        <v>616950</v>
      </c>
      <c r="W89" s="25">
        <v>708100</v>
      </c>
      <c r="X89" s="24">
        <v>898000</v>
      </c>
      <c r="Y89" s="21">
        <f t="shared" si="108"/>
        <v>2223050</v>
      </c>
      <c r="Z89" s="25">
        <v>0</v>
      </c>
      <c r="AA89" s="21">
        <f t="shared" si="109"/>
        <v>0</v>
      </c>
      <c r="AB89" s="25"/>
      <c r="AC89" s="21">
        <f t="shared" si="110"/>
        <v>0</v>
      </c>
      <c r="AD89" s="25"/>
      <c r="AE89" s="25"/>
      <c r="AF89" s="25"/>
      <c r="AG89" s="25"/>
      <c r="AH89" s="21">
        <f t="shared" si="111"/>
        <v>0</v>
      </c>
      <c r="AI89" s="4">
        <f t="shared" si="112"/>
        <v>0</v>
      </c>
      <c r="AJ89" s="4">
        <f t="shared" si="113"/>
        <v>906950</v>
      </c>
      <c r="AK89" s="4">
        <f t="shared" si="114"/>
        <v>2328100</v>
      </c>
      <c r="AL89" s="4">
        <f t="shared" si="115"/>
        <v>898000</v>
      </c>
      <c r="AM89" s="9">
        <f t="shared" si="116"/>
        <v>4133050</v>
      </c>
    </row>
    <row r="90" spans="1:39" ht="47.25">
      <c r="A90" s="186"/>
      <c r="B90" s="8">
        <v>7</v>
      </c>
      <c r="C90" s="1" t="s">
        <v>189</v>
      </c>
      <c r="D90" s="4" t="s">
        <v>190</v>
      </c>
      <c r="E90" s="4" t="s">
        <v>17</v>
      </c>
      <c r="F90" s="4"/>
      <c r="G90" s="4">
        <v>287500</v>
      </c>
      <c r="H90" s="4">
        <f>137000+74000+352000</f>
        <v>563000</v>
      </c>
      <c r="I90" s="4"/>
      <c r="J90" s="9">
        <f t="shared" si="105"/>
        <v>850500</v>
      </c>
      <c r="K90" s="76"/>
      <c r="L90" s="76">
        <v>410000</v>
      </c>
      <c r="M90" s="76">
        <v>940000</v>
      </c>
      <c r="N90" s="76">
        <v>400000</v>
      </c>
      <c r="O90" s="9">
        <f t="shared" si="106"/>
        <v>1750000</v>
      </c>
      <c r="P90" s="20"/>
      <c r="Q90" s="20"/>
      <c r="R90" s="20"/>
      <c r="S90" s="20"/>
      <c r="T90" s="9">
        <f t="shared" si="107"/>
        <v>0</v>
      </c>
      <c r="U90" s="20"/>
      <c r="V90" s="20"/>
      <c r="W90" s="25">
        <v>350200</v>
      </c>
      <c r="X90" s="24">
        <v>1040000</v>
      </c>
      <c r="Y90" s="21">
        <f t="shared" si="108"/>
        <v>1390200</v>
      </c>
      <c r="Z90" s="25">
        <v>0</v>
      </c>
      <c r="AA90" s="21">
        <f t="shared" si="109"/>
        <v>0</v>
      </c>
      <c r="AB90" s="25"/>
      <c r="AC90" s="21">
        <f t="shared" si="110"/>
        <v>0</v>
      </c>
      <c r="AD90" s="25"/>
      <c r="AE90" s="25"/>
      <c r="AF90" s="25"/>
      <c r="AG90" s="25"/>
      <c r="AH90" s="21">
        <f t="shared" si="111"/>
        <v>0</v>
      </c>
      <c r="AI90" s="4">
        <f t="shared" si="112"/>
        <v>0</v>
      </c>
      <c r="AJ90" s="4">
        <f t="shared" si="113"/>
        <v>697500</v>
      </c>
      <c r="AK90" s="4">
        <f t="shared" si="114"/>
        <v>1853200</v>
      </c>
      <c r="AL90" s="4">
        <f t="shared" si="115"/>
        <v>1440000</v>
      </c>
      <c r="AM90" s="9">
        <f t="shared" si="116"/>
        <v>3990700</v>
      </c>
    </row>
    <row r="91" spans="1:39" ht="31.5">
      <c r="A91" s="186"/>
      <c r="B91" s="8">
        <v>8</v>
      </c>
      <c r="C91" s="1" t="s">
        <v>191</v>
      </c>
      <c r="D91" s="4" t="s">
        <v>185</v>
      </c>
      <c r="E91" s="4" t="s">
        <v>17</v>
      </c>
      <c r="F91" s="4">
        <v>155000</v>
      </c>
      <c r="G91" s="4">
        <v>490500</v>
      </c>
      <c r="H91" s="4">
        <f>93500+99000+396000+99000</f>
        <v>687500</v>
      </c>
      <c r="I91" s="4">
        <f>60000+20000+20000</f>
        <v>100000</v>
      </c>
      <c r="J91" s="9">
        <f t="shared" si="105"/>
        <v>1433000</v>
      </c>
      <c r="K91" s="4"/>
      <c r="L91" s="4"/>
      <c r="M91" s="4"/>
      <c r="N91" s="4"/>
      <c r="O91" s="9">
        <f t="shared" si="106"/>
        <v>0</v>
      </c>
      <c r="P91" s="20"/>
      <c r="Q91" s="20"/>
      <c r="R91" s="20"/>
      <c r="S91" s="20"/>
      <c r="T91" s="9">
        <f t="shared" si="107"/>
        <v>0</v>
      </c>
      <c r="U91" s="20">
        <v>195000</v>
      </c>
      <c r="V91" s="25">
        <v>662850</v>
      </c>
      <c r="W91" s="25">
        <v>522700</v>
      </c>
      <c r="X91" s="24">
        <v>144000</v>
      </c>
      <c r="Y91" s="21">
        <f t="shared" si="108"/>
        <v>1524550</v>
      </c>
      <c r="Z91" s="25">
        <v>781000</v>
      </c>
      <c r="AA91" s="21">
        <f t="shared" si="109"/>
        <v>781000</v>
      </c>
      <c r="AB91" s="25"/>
      <c r="AC91" s="21">
        <f t="shared" si="110"/>
        <v>0</v>
      </c>
      <c r="AD91" s="25"/>
      <c r="AE91" s="25"/>
      <c r="AF91" s="25"/>
      <c r="AG91" s="25"/>
      <c r="AH91" s="21">
        <f t="shared" si="111"/>
        <v>0</v>
      </c>
      <c r="AI91" s="4">
        <f t="shared" si="112"/>
        <v>350000</v>
      </c>
      <c r="AJ91" s="4">
        <f t="shared" si="113"/>
        <v>1153350</v>
      </c>
      <c r="AK91" s="4">
        <f t="shared" si="114"/>
        <v>1210200</v>
      </c>
      <c r="AL91" s="4">
        <f t="shared" si="115"/>
        <v>1025000</v>
      </c>
      <c r="AM91" s="9">
        <f t="shared" si="116"/>
        <v>3738550</v>
      </c>
    </row>
    <row r="92" spans="1:39">
      <c r="A92" s="186"/>
      <c r="B92" s="8">
        <v>9</v>
      </c>
      <c r="C92" s="1" t="s">
        <v>192</v>
      </c>
      <c r="D92" s="4" t="s">
        <v>193</v>
      </c>
      <c r="E92" s="4" t="s">
        <v>17</v>
      </c>
      <c r="F92" s="4"/>
      <c r="G92" s="4">
        <v>804000</v>
      </c>
      <c r="H92" s="4">
        <f>99000+99000+297000</f>
        <v>495000</v>
      </c>
      <c r="I92" s="4">
        <f>20000+160000</f>
        <v>180000</v>
      </c>
      <c r="J92" s="9">
        <f t="shared" si="105"/>
        <v>1479000</v>
      </c>
      <c r="K92" s="76"/>
      <c r="L92" s="76">
        <v>1050000</v>
      </c>
      <c r="M92" s="76">
        <v>760000</v>
      </c>
      <c r="N92" s="76">
        <v>1025000</v>
      </c>
      <c r="O92" s="9">
        <f t="shared" si="106"/>
        <v>2835000</v>
      </c>
      <c r="P92" s="20"/>
      <c r="Q92" s="20"/>
      <c r="R92" s="20"/>
      <c r="S92" s="20"/>
      <c r="T92" s="9">
        <f t="shared" si="107"/>
        <v>0</v>
      </c>
      <c r="U92" s="20"/>
      <c r="V92" s="25">
        <v>1339600</v>
      </c>
      <c r="W92" s="25">
        <v>582000</v>
      </c>
      <c r="X92" s="24">
        <v>270000</v>
      </c>
      <c r="Y92" s="21">
        <f t="shared" si="108"/>
        <v>2191600</v>
      </c>
      <c r="Z92" s="25">
        <v>0</v>
      </c>
      <c r="AA92" s="21">
        <f t="shared" si="109"/>
        <v>0</v>
      </c>
      <c r="AB92" s="25"/>
      <c r="AC92" s="21">
        <f t="shared" si="110"/>
        <v>0</v>
      </c>
      <c r="AD92" s="25"/>
      <c r="AE92" s="25"/>
      <c r="AF92" s="25">
        <v>366800</v>
      </c>
      <c r="AG92" s="25"/>
      <c r="AH92" s="21">
        <f t="shared" si="111"/>
        <v>366800</v>
      </c>
      <c r="AI92" s="4">
        <f t="shared" si="112"/>
        <v>0</v>
      </c>
      <c r="AJ92" s="4">
        <f t="shared" si="113"/>
        <v>3193600</v>
      </c>
      <c r="AK92" s="4">
        <f t="shared" si="114"/>
        <v>2203800</v>
      </c>
      <c r="AL92" s="4">
        <f t="shared" si="115"/>
        <v>1475000</v>
      </c>
      <c r="AM92" s="9">
        <f t="shared" si="116"/>
        <v>6872400</v>
      </c>
    </row>
    <row r="93" spans="1:39" ht="31.5">
      <c r="A93" s="186"/>
      <c r="B93" s="8">
        <v>10</v>
      </c>
      <c r="C93" s="1" t="s">
        <v>194</v>
      </c>
      <c r="D93" s="4" t="s">
        <v>187</v>
      </c>
      <c r="E93" s="4" t="s">
        <v>17</v>
      </c>
      <c r="F93" s="4"/>
      <c r="G93" s="4">
        <v>155000</v>
      </c>
      <c r="H93" s="4">
        <v>151000</v>
      </c>
      <c r="I93" s="4"/>
      <c r="J93" s="9">
        <f t="shared" si="105"/>
        <v>306000</v>
      </c>
      <c r="K93" s="4"/>
      <c r="L93" s="4"/>
      <c r="M93" s="4"/>
      <c r="N93" s="4"/>
      <c r="O93" s="9">
        <f t="shared" si="106"/>
        <v>0</v>
      </c>
      <c r="P93" s="20"/>
      <c r="Q93" s="20"/>
      <c r="R93" s="20"/>
      <c r="S93" s="20"/>
      <c r="T93" s="9">
        <f t="shared" si="107"/>
        <v>0</v>
      </c>
      <c r="U93" s="20"/>
      <c r="V93" s="20"/>
      <c r="W93" s="20"/>
      <c r="X93" s="20"/>
      <c r="Y93" s="21">
        <f t="shared" si="108"/>
        <v>0</v>
      </c>
      <c r="Z93" s="25">
        <v>0</v>
      </c>
      <c r="AA93" s="21">
        <f t="shared" si="109"/>
        <v>0</v>
      </c>
      <c r="AB93" s="25"/>
      <c r="AC93" s="21">
        <f t="shared" si="110"/>
        <v>0</v>
      </c>
      <c r="AD93" s="25"/>
      <c r="AE93" s="25"/>
      <c r="AF93" s="25"/>
      <c r="AG93" s="25"/>
      <c r="AH93" s="21">
        <f t="shared" si="111"/>
        <v>0</v>
      </c>
      <c r="AI93" s="4">
        <f t="shared" si="112"/>
        <v>0</v>
      </c>
      <c r="AJ93" s="4">
        <f t="shared" si="113"/>
        <v>155000</v>
      </c>
      <c r="AK93" s="4">
        <f t="shared" si="114"/>
        <v>151000</v>
      </c>
      <c r="AL93" s="4">
        <f t="shared" si="115"/>
        <v>0</v>
      </c>
      <c r="AM93" s="9">
        <f t="shared" si="116"/>
        <v>306000</v>
      </c>
    </row>
    <row r="94" spans="1:39">
      <c r="A94" s="186"/>
      <c r="B94" s="8">
        <v>11</v>
      </c>
      <c r="C94" s="1" t="s">
        <v>195</v>
      </c>
      <c r="D94" s="4" t="s">
        <v>196</v>
      </c>
      <c r="E94" s="4" t="s">
        <v>17</v>
      </c>
      <c r="F94" s="4"/>
      <c r="G94" s="4">
        <v>155000</v>
      </c>
      <c r="H94" s="4">
        <v>154000</v>
      </c>
      <c r="I94" s="4"/>
      <c r="J94" s="9">
        <f t="shared" si="105"/>
        <v>309000</v>
      </c>
      <c r="K94" s="76"/>
      <c r="L94" s="76">
        <v>790000</v>
      </c>
      <c r="M94" s="76">
        <v>1260000</v>
      </c>
      <c r="N94" s="76">
        <v>975000</v>
      </c>
      <c r="O94" s="9">
        <f t="shared" si="106"/>
        <v>3025000</v>
      </c>
      <c r="P94" s="20"/>
      <c r="Q94" s="20"/>
      <c r="R94" s="20"/>
      <c r="S94" s="20"/>
      <c r="T94" s="9">
        <f t="shared" si="107"/>
        <v>0</v>
      </c>
      <c r="U94" s="20"/>
      <c r="V94" s="25">
        <v>447200</v>
      </c>
      <c r="W94" s="25">
        <v>504400</v>
      </c>
      <c r="X94" s="24">
        <v>270000</v>
      </c>
      <c r="Y94" s="21">
        <f t="shared" si="108"/>
        <v>1221600</v>
      </c>
      <c r="Z94" s="25">
        <v>0</v>
      </c>
      <c r="AA94" s="21">
        <f t="shared" si="109"/>
        <v>0</v>
      </c>
      <c r="AB94" s="25"/>
      <c r="AC94" s="21">
        <f t="shared" si="110"/>
        <v>0</v>
      </c>
      <c r="AD94" s="25"/>
      <c r="AE94" s="25"/>
      <c r="AF94" s="25"/>
      <c r="AG94" s="25"/>
      <c r="AH94" s="21">
        <f t="shared" si="111"/>
        <v>0</v>
      </c>
      <c r="AI94" s="4">
        <f t="shared" si="112"/>
        <v>0</v>
      </c>
      <c r="AJ94" s="4">
        <f t="shared" si="113"/>
        <v>1392200</v>
      </c>
      <c r="AK94" s="4">
        <f t="shared" si="114"/>
        <v>1918400</v>
      </c>
      <c r="AL94" s="4">
        <f t="shared" si="115"/>
        <v>1245000</v>
      </c>
      <c r="AM94" s="9">
        <f t="shared" si="116"/>
        <v>4555600</v>
      </c>
    </row>
    <row r="95" spans="1:39">
      <c r="A95" s="186"/>
      <c r="B95" s="8">
        <v>12</v>
      </c>
      <c r="C95" s="1" t="s">
        <v>197</v>
      </c>
      <c r="D95" s="4" t="s">
        <v>187</v>
      </c>
      <c r="E95" s="4" t="s">
        <v>17</v>
      </c>
      <c r="F95" s="4"/>
      <c r="G95" s="4">
        <v>512500</v>
      </c>
      <c r="H95" s="4">
        <f>104500+110000+110000</f>
        <v>324500</v>
      </c>
      <c r="I95" s="4">
        <v>200000</v>
      </c>
      <c r="J95" s="9">
        <f t="shared" si="105"/>
        <v>1037000</v>
      </c>
      <c r="K95" s="76"/>
      <c r="L95" s="76">
        <v>1300000</v>
      </c>
      <c r="M95" s="76">
        <v>1480000</v>
      </c>
      <c r="N95" s="76">
        <v>250000</v>
      </c>
      <c r="O95" s="9">
        <f t="shared" si="106"/>
        <v>3030000</v>
      </c>
      <c r="P95" s="20"/>
      <c r="Q95" s="20">
        <v>290000</v>
      </c>
      <c r="R95" s="20"/>
      <c r="S95" s="22">
        <v>1072000</v>
      </c>
      <c r="T95" s="9">
        <f t="shared" si="107"/>
        <v>1362000</v>
      </c>
      <c r="U95" s="20"/>
      <c r="V95" s="25">
        <v>943600</v>
      </c>
      <c r="W95" s="20">
        <v>780850</v>
      </c>
      <c r="X95" s="20">
        <v>150000</v>
      </c>
      <c r="Y95" s="21">
        <f t="shared" si="108"/>
        <v>1874450</v>
      </c>
      <c r="Z95" s="25">
        <v>0</v>
      </c>
      <c r="AA95" s="21">
        <f t="shared" si="109"/>
        <v>0</v>
      </c>
      <c r="AB95" s="24">
        <v>900000</v>
      </c>
      <c r="AC95" s="21">
        <f t="shared" si="110"/>
        <v>900000</v>
      </c>
      <c r="AD95" s="25"/>
      <c r="AE95" s="25">
        <v>100000</v>
      </c>
      <c r="AF95" s="25">
        <v>276000</v>
      </c>
      <c r="AG95" s="25"/>
      <c r="AH95" s="21">
        <f t="shared" si="111"/>
        <v>376000</v>
      </c>
      <c r="AI95" s="4">
        <f t="shared" si="112"/>
        <v>0</v>
      </c>
      <c r="AJ95" s="4">
        <f t="shared" si="113"/>
        <v>3146100</v>
      </c>
      <c r="AK95" s="4">
        <f t="shared" si="114"/>
        <v>2861350</v>
      </c>
      <c r="AL95" s="4">
        <f t="shared" si="115"/>
        <v>2572000</v>
      </c>
      <c r="AM95" s="9">
        <f t="shared" si="116"/>
        <v>8579450</v>
      </c>
    </row>
    <row r="96" spans="1:39">
      <c r="A96" s="186"/>
      <c r="B96" s="8">
        <v>13</v>
      </c>
      <c r="C96" s="1" t="s">
        <v>198</v>
      </c>
      <c r="D96" s="4" t="s">
        <v>193</v>
      </c>
      <c r="E96" s="4" t="s">
        <v>17</v>
      </c>
      <c r="F96" s="4"/>
      <c r="G96" s="4"/>
      <c r="H96" s="4"/>
      <c r="I96" s="4"/>
      <c r="J96" s="9">
        <f t="shared" si="105"/>
        <v>0</v>
      </c>
      <c r="K96" s="76"/>
      <c r="L96" s="76">
        <v>1210000</v>
      </c>
      <c r="M96" s="76">
        <v>1000000</v>
      </c>
      <c r="N96" s="76">
        <v>1075000</v>
      </c>
      <c r="O96" s="9">
        <f t="shared" si="106"/>
        <v>3285000</v>
      </c>
      <c r="P96" s="20"/>
      <c r="Q96" s="20"/>
      <c r="R96" s="20"/>
      <c r="S96" s="20"/>
      <c r="T96" s="9">
        <f t="shared" si="107"/>
        <v>0</v>
      </c>
      <c r="U96" s="20"/>
      <c r="V96" s="25">
        <v>801250</v>
      </c>
      <c r="W96" s="25">
        <v>582000</v>
      </c>
      <c r="X96" s="24">
        <v>270000</v>
      </c>
      <c r="Y96" s="21">
        <f t="shared" si="108"/>
        <v>1653250</v>
      </c>
      <c r="Z96" s="25">
        <v>0</v>
      </c>
      <c r="AA96" s="21">
        <f t="shared" si="109"/>
        <v>0</v>
      </c>
      <c r="AB96" s="25"/>
      <c r="AC96" s="21">
        <f t="shared" si="110"/>
        <v>0</v>
      </c>
      <c r="AD96" s="25"/>
      <c r="AE96" s="25"/>
      <c r="AF96" s="25"/>
      <c r="AG96" s="25"/>
      <c r="AH96" s="21">
        <f t="shared" si="111"/>
        <v>0</v>
      </c>
      <c r="AI96" s="4">
        <f t="shared" si="112"/>
        <v>0</v>
      </c>
      <c r="AJ96" s="4">
        <f t="shared" si="113"/>
        <v>2011250</v>
      </c>
      <c r="AK96" s="4">
        <f t="shared" si="114"/>
        <v>1582000</v>
      </c>
      <c r="AL96" s="4">
        <f t="shared" si="115"/>
        <v>1345000</v>
      </c>
      <c r="AM96" s="9">
        <f t="shared" si="116"/>
        <v>4938250</v>
      </c>
    </row>
    <row r="97" spans="1:39" ht="31.5">
      <c r="A97" s="186"/>
      <c r="B97" s="8">
        <v>14</v>
      </c>
      <c r="C97" s="1" t="s">
        <v>199</v>
      </c>
      <c r="D97" s="4" t="s">
        <v>185</v>
      </c>
      <c r="E97" s="4" t="s">
        <v>17</v>
      </c>
      <c r="F97" s="4"/>
      <c r="G97" s="4"/>
      <c r="H97" s="4"/>
      <c r="I97" s="4"/>
      <c r="J97" s="9">
        <f t="shared" si="105"/>
        <v>0</v>
      </c>
      <c r="K97" s="4"/>
      <c r="L97" s="4"/>
      <c r="M97" s="4"/>
      <c r="N97" s="4"/>
      <c r="O97" s="9">
        <f t="shared" si="106"/>
        <v>0</v>
      </c>
      <c r="P97" s="20"/>
      <c r="Q97" s="20"/>
      <c r="R97" s="20"/>
      <c r="S97" s="20"/>
      <c r="T97" s="9">
        <f t="shared" si="107"/>
        <v>0</v>
      </c>
      <c r="U97" s="20"/>
      <c r="V97" s="25"/>
      <c r="W97" s="25">
        <v>680900</v>
      </c>
      <c r="X97" s="24">
        <v>150000</v>
      </c>
      <c r="Y97" s="21">
        <f t="shared" si="108"/>
        <v>830900</v>
      </c>
      <c r="Z97" s="25">
        <v>0</v>
      </c>
      <c r="AA97" s="21">
        <f t="shared" si="109"/>
        <v>0</v>
      </c>
      <c r="AB97" s="25"/>
      <c r="AC97" s="21">
        <f t="shared" si="110"/>
        <v>0</v>
      </c>
      <c r="AD97" s="25"/>
      <c r="AE97" s="25"/>
      <c r="AF97" s="25"/>
      <c r="AG97" s="25"/>
      <c r="AH97" s="21">
        <f t="shared" si="111"/>
        <v>0</v>
      </c>
      <c r="AI97" s="4">
        <f t="shared" si="112"/>
        <v>0</v>
      </c>
      <c r="AJ97" s="4">
        <f t="shared" si="113"/>
        <v>0</v>
      </c>
      <c r="AK97" s="4">
        <f t="shared" si="114"/>
        <v>680900</v>
      </c>
      <c r="AL97" s="4">
        <f t="shared" si="115"/>
        <v>150000</v>
      </c>
      <c r="AM97" s="9">
        <f t="shared" si="116"/>
        <v>830900</v>
      </c>
    </row>
    <row r="98" spans="1:39" ht="31.5">
      <c r="A98" s="186"/>
      <c r="B98" s="8">
        <v>15</v>
      </c>
      <c r="C98" s="1" t="s">
        <v>200</v>
      </c>
      <c r="D98" s="4" t="s">
        <v>201</v>
      </c>
      <c r="E98" s="4" t="s">
        <v>17</v>
      </c>
      <c r="F98" s="4"/>
      <c r="G98" s="4"/>
      <c r="H98" s="4">
        <f>155000+72000</f>
        <v>227000</v>
      </c>
      <c r="I98" s="4">
        <f>58000+42000</f>
        <v>100000</v>
      </c>
      <c r="J98" s="9">
        <f t="shared" si="105"/>
        <v>327000</v>
      </c>
      <c r="K98" s="4"/>
      <c r="L98" s="4"/>
      <c r="M98" s="4"/>
      <c r="N98" s="4"/>
      <c r="O98" s="9">
        <f t="shared" si="106"/>
        <v>0</v>
      </c>
      <c r="P98" s="20"/>
      <c r="Q98" s="20"/>
      <c r="R98" s="20"/>
      <c r="S98" s="20"/>
      <c r="T98" s="9">
        <f t="shared" si="107"/>
        <v>0</v>
      </c>
      <c r="U98" s="20"/>
      <c r="V98" s="20"/>
      <c r="W98" s="25">
        <v>310500</v>
      </c>
      <c r="X98" s="24"/>
      <c r="Y98" s="21">
        <f t="shared" si="108"/>
        <v>310500</v>
      </c>
      <c r="Z98" s="25">
        <v>720000</v>
      </c>
      <c r="AA98" s="21">
        <f t="shared" si="109"/>
        <v>720000</v>
      </c>
      <c r="AB98" s="25"/>
      <c r="AC98" s="21">
        <f t="shared" si="110"/>
        <v>0</v>
      </c>
      <c r="AD98" s="25"/>
      <c r="AE98" s="25"/>
      <c r="AF98" s="25"/>
      <c r="AG98" s="25"/>
      <c r="AH98" s="21">
        <f t="shared" si="111"/>
        <v>0</v>
      </c>
      <c r="AI98" s="4">
        <f t="shared" si="112"/>
        <v>0</v>
      </c>
      <c r="AJ98" s="4">
        <f t="shared" si="113"/>
        <v>0</v>
      </c>
      <c r="AK98" s="4">
        <f t="shared" si="114"/>
        <v>537500</v>
      </c>
      <c r="AL98" s="4">
        <f t="shared" si="115"/>
        <v>820000</v>
      </c>
      <c r="AM98" s="9">
        <f t="shared" si="116"/>
        <v>1357500</v>
      </c>
    </row>
    <row r="99" spans="1:39">
      <c r="A99" s="186"/>
      <c r="B99" s="8">
        <v>16</v>
      </c>
      <c r="C99" s="1" t="s">
        <v>202</v>
      </c>
      <c r="D99" s="4" t="s">
        <v>203</v>
      </c>
      <c r="E99" s="4" t="s">
        <v>17</v>
      </c>
      <c r="F99" s="4">
        <v>155000</v>
      </c>
      <c r="G99" s="4">
        <v>699500</v>
      </c>
      <c r="H99" s="4">
        <f>198000+324500</f>
        <v>522500</v>
      </c>
      <c r="I99" s="4">
        <v>180000</v>
      </c>
      <c r="J99" s="9">
        <f t="shared" si="105"/>
        <v>1557000</v>
      </c>
      <c r="K99" s="76"/>
      <c r="L99" s="76"/>
      <c r="M99" s="76">
        <v>290000</v>
      </c>
      <c r="N99" s="76">
        <v>395000</v>
      </c>
      <c r="O99" s="9">
        <f t="shared" si="106"/>
        <v>685000</v>
      </c>
      <c r="P99" s="20"/>
      <c r="Q99" s="20"/>
      <c r="R99" s="20"/>
      <c r="S99" s="20"/>
      <c r="T99" s="9">
        <f t="shared" si="107"/>
        <v>0</v>
      </c>
      <c r="U99" s="20"/>
      <c r="V99" s="25">
        <v>1407050</v>
      </c>
      <c r="W99" s="25">
        <v>582000</v>
      </c>
      <c r="X99" s="24">
        <v>270000</v>
      </c>
      <c r="Y99" s="21">
        <f t="shared" si="108"/>
        <v>2259050</v>
      </c>
      <c r="Z99" s="25">
        <v>945000</v>
      </c>
      <c r="AA99" s="21">
        <f t="shared" si="109"/>
        <v>945000</v>
      </c>
      <c r="AB99" s="25"/>
      <c r="AC99" s="21">
        <f t="shared" si="110"/>
        <v>0</v>
      </c>
      <c r="AD99" s="25"/>
      <c r="AE99" s="24">
        <v>100000</v>
      </c>
      <c r="AF99" s="25"/>
      <c r="AG99" s="25">
        <v>208000</v>
      </c>
      <c r="AH99" s="21">
        <f t="shared" si="111"/>
        <v>308000</v>
      </c>
      <c r="AI99" s="4">
        <f t="shared" si="112"/>
        <v>155000</v>
      </c>
      <c r="AJ99" s="4">
        <f t="shared" si="113"/>
        <v>2206550</v>
      </c>
      <c r="AK99" s="4">
        <f t="shared" si="114"/>
        <v>1394500</v>
      </c>
      <c r="AL99" s="4">
        <f t="shared" si="115"/>
        <v>1998000</v>
      </c>
      <c r="AM99" s="9">
        <f t="shared" si="116"/>
        <v>5754050</v>
      </c>
    </row>
    <row r="100" spans="1:39">
      <c r="A100" s="186"/>
      <c r="B100" s="8">
        <v>17</v>
      </c>
      <c r="C100" s="1" t="s">
        <v>204</v>
      </c>
      <c r="D100" s="4" t="s">
        <v>205</v>
      </c>
      <c r="E100" s="4" t="s">
        <v>17</v>
      </c>
      <c r="F100" s="4"/>
      <c r="G100" s="4"/>
      <c r="H100" s="4">
        <v>155000</v>
      </c>
      <c r="I100" s="4"/>
      <c r="J100" s="9">
        <f t="shared" si="105"/>
        <v>155000</v>
      </c>
      <c r="K100" s="76"/>
      <c r="L100" s="76"/>
      <c r="M100" s="76">
        <v>290000</v>
      </c>
      <c r="N100" s="76"/>
      <c r="O100" s="9">
        <f t="shared" si="106"/>
        <v>290000</v>
      </c>
      <c r="P100" s="20"/>
      <c r="Q100" s="20"/>
      <c r="R100" s="20"/>
      <c r="S100" s="20"/>
      <c r="T100" s="9">
        <f t="shared" si="107"/>
        <v>0</v>
      </c>
      <c r="U100" s="20"/>
      <c r="V100" s="20">
        <v>195000</v>
      </c>
      <c r="W100" s="25">
        <v>237650</v>
      </c>
      <c r="X100" s="24"/>
      <c r="Y100" s="21">
        <f t="shared" si="108"/>
        <v>432650</v>
      </c>
      <c r="Z100" s="25">
        <v>0</v>
      </c>
      <c r="AA100" s="21">
        <f t="shared" si="109"/>
        <v>0</v>
      </c>
      <c r="AB100" s="25"/>
      <c r="AC100" s="21">
        <f t="shared" si="110"/>
        <v>0</v>
      </c>
      <c r="AD100" s="25"/>
      <c r="AE100" s="24"/>
      <c r="AF100" s="25"/>
      <c r="AG100" s="25"/>
      <c r="AH100" s="21">
        <f t="shared" si="111"/>
        <v>0</v>
      </c>
      <c r="AI100" s="4">
        <f t="shared" si="112"/>
        <v>0</v>
      </c>
      <c r="AJ100" s="4">
        <f t="shared" si="113"/>
        <v>195000</v>
      </c>
      <c r="AK100" s="4">
        <f t="shared" si="114"/>
        <v>682650</v>
      </c>
      <c r="AL100" s="4">
        <f t="shared" si="115"/>
        <v>0</v>
      </c>
      <c r="AM100" s="9">
        <f t="shared" si="116"/>
        <v>877650</v>
      </c>
    </row>
    <row r="101" spans="1:39">
      <c r="A101" s="186"/>
      <c r="B101" s="8">
        <v>18</v>
      </c>
      <c r="C101" s="1" t="s">
        <v>5</v>
      </c>
      <c r="D101" s="4" t="s">
        <v>36</v>
      </c>
      <c r="E101" s="4" t="s">
        <v>17</v>
      </c>
      <c r="F101" s="4">
        <v>155000</v>
      </c>
      <c r="G101" s="4">
        <v>925328</v>
      </c>
      <c r="H101" s="4">
        <f>104500+104500+330000+220000+110000</f>
        <v>869000</v>
      </c>
      <c r="I101" s="4">
        <f>100000+20000</f>
        <v>120000</v>
      </c>
      <c r="J101" s="9">
        <f t="shared" si="105"/>
        <v>2069328</v>
      </c>
      <c r="K101" s="4"/>
      <c r="L101" s="4"/>
      <c r="M101" s="4"/>
      <c r="N101" s="4"/>
      <c r="O101" s="9">
        <f t="shared" si="106"/>
        <v>0</v>
      </c>
      <c r="P101" s="20"/>
      <c r="Q101" s="20"/>
      <c r="R101" s="20"/>
      <c r="S101" s="20"/>
      <c r="T101" s="9">
        <f t="shared" si="107"/>
        <v>0</v>
      </c>
      <c r="U101" s="20">
        <v>195000</v>
      </c>
      <c r="V101" s="25">
        <v>1595650</v>
      </c>
      <c r="W101" s="25">
        <v>1129700</v>
      </c>
      <c r="X101" s="24">
        <v>30000</v>
      </c>
      <c r="Y101" s="21">
        <f t="shared" si="108"/>
        <v>2950350</v>
      </c>
      <c r="Z101" s="25">
        <v>1155000</v>
      </c>
      <c r="AA101" s="21">
        <f t="shared" si="109"/>
        <v>1155000</v>
      </c>
      <c r="AB101" s="25"/>
      <c r="AC101" s="21">
        <f t="shared" si="110"/>
        <v>0</v>
      </c>
      <c r="AD101" s="25"/>
      <c r="AE101" s="24">
        <v>100000</v>
      </c>
      <c r="AF101" s="25">
        <f>276000+540000</f>
        <v>816000</v>
      </c>
      <c r="AG101" s="25"/>
      <c r="AH101" s="21">
        <f t="shared" si="111"/>
        <v>916000</v>
      </c>
      <c r="AI101" s="4">
        <f t="shared" si="112"/>
        <v>350000</v>
      </c>
      <c r="AJ101" s="4">
        <f t="shared" si="113"/>
        <v>2620978</v>
      </c>
      <c r="AK101" s="4">
        <f t="shared" si="114"/>
        <v>2814700</v>
      </c>
      <c r="AL101" s="4">
        <f t="shared" si="115"/>
        <v>1305000</v>
      </c>
      <c r="AM101" s="9">
        <f t="shared" si="116"/>
        <v>7090678</v>
      </c>
    </row>
    <row r="102" spans="1:39" ht="31.5">
      <c r="A102" s="186"/>
      <c r="B102" s="8">
        <v>19</v>
      </c>
      <c r="C102" s="1" t="s">
        <v>206</v>
      </c>
      <c r="D102" s="4" t="s">
        <v>193</v>
      </c>
      <c r="E102" s="4" t="s">
        <v>17</v>
      </c>
      <c r="F102" s="4"/>
      <c r="G102" s="4">
        <v>821267</v>
      </c>
      <c r="H102" s="4">
        <f>99000+99000+297000</f>
        <v>495000</v>
      </c>
      <c r="I102" s="4">
        <f>160000+20000</f>
        <v>180000</v>
      </c>
      <c r="J102" s="9">
        <f t="shared" si="105"/>
        <v>1496267</v>
      </c>
      <c r="K102" s="76"/>
      <c r="L102" s="76">
        <v>1870000</v>
      </c>
      <c r="M102" s="76">
        <v>1200000</v>
      </c>
      <c r="N102" s="76">
        <v>350000</v>
      </c>
      <c r="O102" s="9">
        <f t="shared" si="106"/>
        <v>3420000</v>
      </c>
      <c r="P102" s="20"/>
      <c r="Q102" s="26">
        <v>920000</v>
      </c>
      <c r="R102" s="4">
        <v>434000</v>
      </c>
      <c r="S102" s="22">
        <v>424000</v>
      </c>
      <c r="T102" s="9">
        <f t="shared" si="107"/>
        <v>1778000</v>
      </c>
      <c r="U102" s="20"/>
      <c r="V102" s="25">
        <v>1203800</v>
      </c>
      <c r="W102" s="25">
        <v>446200</v>
      </c>
      <c r="X102" s="24">
        <v>270000</v>
      </c>
      <c r="Y102" s="21">
        <f t="shared" si="108"/>
        <v>1920000</v>
      </c>
      <c r="Z102" s="25">
        <v>0</v>
      </c>
      <c r="AA102" s="21">
        <f t="shared" si="109"/>
        <v>0</v>
      </c>
      <c r="AB102" s="24">
        <v>900000</v>
      </c>
      <c r="AC102" s="21">
        <f t="shared" si="110"/>
        <v>900000</v>
      </c>
      <c r="AD102" s="25"/>
      <c r="AE102" s="25"/>
      <c r="AF102" s="25"/>
      <c r="AG102" s="25"/>
      <c r="AH102" s="21">
        <f t="shared" si="111"/>
        <v>0</v>
      </c>
      <c r="AI102" s="4">
        <f t="shared" si="112"/>
        <v>0</v>
      </c>
      <c r="AJ102" s="4">
        <f t="shared" si="113"/>
        <v>4815067</v>
      </c>
      <c r="AK102" s="4">
        <f t="shared" si="114"/>
        <v>2575200</v>
      </c>
      <c r="AL102" s="4">
        <f t="shared" si="115"/>
        <v>2124000</v>
      </c>
      <c r="AM102" s="9">
        <f t="shared" si="116"/>
        <v>9514267</v>
      </c>
    </row>
    <row r="103" spans="1:39" ht="31.5">
      <c r="A103" s="186"/>
      <c r="B103" s="8">
        <v>20</v>
      </c>
      <c r="C103" s="1" t="s">
        <v>207</v>
      </c>
      <c r="D103" s="5" t="s">
        <v>36</v>
      </c>
      <c r="E103" s="4" t="s">
        <v>17</v>
      </c>
      <c r="F103" s="4"/>
      <c r="G103" s="4"/>
      <c r="H103" s="4"/>
      <c r="I103" s="4"/>
      <c r="J103" s="9">
        <f t="shared" si="105"/>
        <v>0</v>
      </c>
      <c r="K103" s="4"/>
      <c r="L103" s="4"/>
      <c r="M103" s="4"/>
      <c r="N103" s="4"/>
      <c r="O103" s="9">
        <f t="shared" si="106"/>
        <v>0</v>
      </c>
      <c r="P103" s="20"/>
      <c r="Q103" s="20"/>
      <c r="R103" s="4"/>
      <c r="S103" s="20"/>
      <c r="T103" s="9">
        <f t="shared" si="107"/>
        <v>0</v>
      </c>
      <c r="U103" s="20"/>
      <c r="V103" s="25">
        <v>279700</v>
      </c>
      <c r="W103" s="25">
        <v>140400</v>
      </c>
      <c r="X103" s="24">
        <v>470000</v>
      </c>
      <c r="Y103" s="21">
        <f t="shared" si="108"/>
        <v>890100</v>
      </c>
      <c r="Z103" s="25">
        <v>0</v>
      </c>
      <c r="AA103" s="21">
        <f t="shared" si="109"/>
        <v>0</v>
      </c>
      <c r="AB103" s="25"/>
      <c r="AC103" s="21">
        <f t="shared" si="110"/>
        <v>0</v>
      </c>
      <c r="AD103" s="25"/>
      <c r="AE103" s="25"/>
      <c r="AF103" s="25"/>
      <c r="AG103" s="25"/>
      <c r="AH103" s="21">
        <f t="shared" si="111"/>
        <v>0</v>
      </c>
      <c r="AI103" s="4">
        <f t="shared" si="112"/>
        <v>0</v>
      </c>
      <c r="AJ103" s="4">
        <f t="shared" si="113"/>
        <v>279700</v>
      </c>
      <c r="AK103" s="4">
        <f t="shared" si="114"/>
        <v>140400</v>
      </c>
      <c r="AL103" s="4">
        <f t="shared" si="115"/>
        <v>470000</v>
      </c>
      <c r="AM103" s="9">
        <f t="shared" si="116"/>
        <v>890100</v>
      </c>
    </row>
    <row r="104" spans="1:39">
      <c r="A104" s="186"/>
      <c r="B104" s="8">
        <v>21</v>
      </c>
      <c r="C104" s="44" t="s">
        <v>208</v>
      </c>
      <c r="D104" s="45" t="s">
        <v>209</v>
      </c>
      <c r="E104" s="4" t="s">
        <v>17</v>
      </c>
      <c r="F104" s="4"/>
      <c r="G104" s="4"/>
      <c r="H104" s="4"/>
      <c r="I104" s="4"/>
      <c r="J104" s="9">
        <f t="shared" si="105"/>
        <v>0</v>
      </c>
      <c r="K104" s="76"/>
      <c r="L104" s="76"/>
      <c r="M104" s="76">
        <v>530000</v>
      </c>
      <c r="N104" s="76">
        <v>975000</v>
      </c>
      <c r="O104" s="9">
        <f t="shared" si="106"/>
        <v>1505000</v>
      </c>
      <c r="P104" s="20"/>
      <c r="Q104" s="20"/>
      <c r="R104" s="4"/>
      <c r="S104" s="20"/>
      <c r="T104" s="9">
        <f t="shared" si="107"/>
        <v>0</v>
      </c>
      <c r="U104" s="20"/>
      <c r="V104" s="25"/>
      <c r="W104" s="25"/>
      <c r="X104" s="25"/>
      <c r="Y104" s="21">
        <f t="shared" si="108"/>
        <v>0</v>
      </c>
      <c r="Z104" s="25">
        <v>0</v>
      </c>
      <c r="AA104" s="21">
        <f t="shared" si="109"/>
        <v>0</v>
      </c>
      <c r="AB104" s="25"/>
      <c r="AC104" s="21">
        <f t="shared" si="110"/>
        <v>0</v>
      </c>
      <c r="AD104" s="25"/>
      <c r="AE104" s="25"/>
      <c r="AF104" s="25"/>
      <c r="AG104" s="25"/>
      <c r="AH104" s="21">
        <f t="shared" si="111"/>
        <v>0</v>
      </c>
      <c r="AI104" s="4">
        <f t="shared" si="112"/>
        <v>0</v>
      </c>
      <c r="AJ104" s="4">
        <f t="shared" si="113"/>
        <v>0</v>
      </c>
      <c r="AK104" s="4">
        <f t="shared" si="114"/>
        <v>530000</v>
      </c>
      <c r="AL104" s="4">
        <f t="shared" si="115"/>
        <v>975000</v>
      </c>
      <c r="AM104" s="9">
        <f t="shared" si="116"/>
        <v>1505000</v>
      </c>
    </row>
    <row r="105" spans="1:39" ht="31.5">
      <c r="A105" s="186"/>
      <c r="B105" s="8">
        <v>22</v>
      </c>
      <c r="C105" s="1" t="s">
        <v>210</v>
      </c>
      <c r="D105" s="4" t="s">
        <v>211</v>
      </c>
      <c r="E105" s="4" t="s">
        <v>17</v>
      </c>
      <c r="F105" s="4">
        <v>155000</v>
      </c>
      <c r="G105" s="4">
        <v>501565</v>
      </c>
      <c r="H105" s="4">
        <f>544500+110000</f>
        <v>654500</v>
      </c>
      <c r="I105" s="4">
        <f>220000+20000</f>
        <v>240000</v>
      </c>
      <c r="J105" s="9">
        <f t="shared" si="105"/>
        <v>1551065</v>
      </c>
      <c r="K105" s="76"/>
      <c r="L105" s="76">
        <v>290000</v>
      </c>
      <c r="M105" s="76">
        <v>870000</v>
      </c>
      <c r="N105" s="76">
        <v>250000</v>
      </c>
      <c r="O105" s="9">
        <f t="shared" si="106"/>
        <v>1410000</v>
      </c>
      <c r="P105" s="20"/>
      <c r="Q105" s="20"/>
      <c r="R105" s="4"/>
      <c r="S105" s="20"/>
      <c r="T105" s="9">
        <f t="shared" si="107"/>
        <v>0</v>
      </c>
      <c r="U105" s="20"/>
      <c r="V105" s="25">
        <v>1475506</v>
      </c>
      <c r="W105" s="25">
        <v>557750</v>
      </c>
      <c r="X105" s="25">
        <v>270000</v>
      </c>
      <c r="Y105" s="21">
        <f t="shared" si="108"/>
        <v>2303256</v>
      </c>
      <c r="Z105" s="25">
        <v>1155000</v>
      </c>
      <c r="AA105" s="21">
        <f t="shared" si="109"/>
        <v>1155000</v>
      </c>
      <c r="AB105" s="25"/>
      <c r="AC105" s="21">
        <f t="shared" si="110"/>
        <v>0</v>
      </c>
      <c r="AD105" s="25"/>
      <c r="AE105" s="25">
        <v>100000</v>
      </c>
      <c r="AF105" s="25">
        <v>276000</v>
      </c>
      <c r="AG105" s="25"/>
      <c r="AH105" s="21">
        <f t="shared" si="111"/>
        <v>376000</v>
      </c>
      <c r="AI105" s="4">
        <f t="shared" si="112"/>
        <v>155000</v>
      </c>
      <c r="AJ105" s="4">
        <f t="shared" si="113"/>
        <v>2367071</v>
      </c>
      <c r="AK105" s="4">
        <f t="shared" si="114"/>
        <v>2358250</v>
      </c>
      <c r="AL105" s="4">
        <f t="shared" si="115"/>
        <v>1915000</v>
      </c>
      <c r="AM105" s="9">
        <f t="shared" si="116"/>
        <v>6795321</v>
      </c>
    </row>
    <row r="106" spans="1:39" ht="31.5">
      <c r="A106" s="186"/>
      <c r="B106" s="8">
        <v>23</v>
      </c>
      <c r="C106" s="1" t="s">
        <v>212</v>
      </c>
      <c r="D106" s="4" t="s">
        <v>213</v>
      </c>
      <c r="E106" s="4" t="s">
        <v>17</v>
      </c>
      <c r="F106" s="4"/>
      <c r="G106" s="4"/>
      <c r="H106" s="4">
        <v>155000</v>
      </c>
      <c r="I106" s="4"/>
      <c r="J106" s="9">
        <f t="shared" si="105"/>
        <v>155000</v>
      </c>
      <c r="K106" s="76"/>
      <c r="L106" s="76">
        <v>890000</v>
      </c>
      <c r="M106" s="76">
        <v>580000</v>
      </c>
      <c r="N106" s="76"/>
      <c r="O106" s="9">
        <f t="shared" si="106"/>
        <v>1470000</v>
      </c>
      <c r="P106" s="20"/>
      <c r="Q106" s="20"/>
      <c r="R106" s="4"/>
      <c r="S106" s="20"/>
      <c r="T106" s="9">
        <f t="shared" si="107"/>
        <v>0</v>
      </c>
      <c r="U106" s="20"/>
      <c r="V106" s="25">
        <v>413250</v>
      </c>
      <c r="W106" s="25">
        <v>548050</v>
      </c>
      <c r="X106" s="25"/>
      <c r="Y106" s="21">
        <f t="shared" si="108"/>
        <v>961300</v>
      </c>
      <c r="Z106" s="25">
        <v>0</v>
      </c>
      <c r="AA106" s="21">
        <f t="shared" si="109"/>
        <v>0</v>
      </c>
      <c r="AB106" s="25"/>
      <c r="AC106" s="21">
        <f t="shared" si="110"/>
        <v>0</v>
      </c>
      <c r="AD106" s="25"/>
      <c r="AE106" s="25"/>
      <c r="AF106" s="25"/>
      <c r="AG106" s="25"/>
      <c r="AH106" s="21">
        <f t="shared" si="111"/>
        <v>0</v>
      </c>
      <c r="AI106" s="4">
        <f t="shared" si="112"/>
        <v>0</v>
      </c>
      <c r="AJ106" s="4">
        <f t="shared" si="113"/>
        <v>1303250</v>
      </c>
      <c r="AK106" s="4">
        <f t="shared" si="114"/>
        <v>1283050</v>
      </c>
      <c r="AL106" s="4">
        <f t="shared" si="115"/>
        <v>0</v>
      </c>
      <c r="AM106" s="9">
        <f t="shared" si="116"/>
        <v>2586300</v>
      </c>
    </row>
    <row r="107" spans="1:39" ht="31.5">
      <c r="A107" s="186"/>
      <c r="B107" s="8">
        <v>24</v>
      </c>
      <c r="C107" s="1" t="s">
        <v>214</v>
      </c>
      <c r="D107" s="4" t="s">
        <v>187</v>
      </c>
      <c r="E107" s="4" t="s">
        <v>17</v>
      </c>
      <c r="F107" s="4"/>
      <c r="G107" s="4">
        <v>155000</v>
      </c>
      <c r="H107" s="4">
        <f>52983+660000</f>
        <v>712983</v>
      </c>
      <c r="I107" s="4"/>
      <c r="J107" s="9">
        <f t="shared" si="105"/>
        <v>867983</v>
      </c>
      <c r="K107" s="76"/>
      <c r="L107" s="76">
        <v>1420000</v>
      </c>
      <c r="M107" s="76">
        <v>200000</v>
      </c>
      <c r="N107" s="76"/>
      <c r="O107" s="9">
        <f t="shared" si="106"/>
        <v>1620000</v>
      </c>
      <c r="P107" s="20"/>
      <c r="Q107" s="26">
        <v>1228000</v>
      </c>
      <c r="R107" s="4">
        <v>182000</v>
      </c>
      <c r="S107" s="23">
        <v>720000</v>
      </c>
      <c r="T107" s="9">
        <f t="shared" si="107"/>
        <v>2130000</v>
      </c>
      <c r="U107" s="20"/>
      <c r="V107" s="25">
        <v>592700</v>
      </c>
      <c r="W107" s="25">
        <v>530500</v>
      </c>
      <c r="X107" s="25">
        <v>900000</v>
      </c>
      <c r="Y107" s="21">
        <f t="shared" si="108"/>
        <v>2023200</v>
      </c>
      <c r="Z107" s="25">
        <v>0</v>
      </c>
      <c r="AA107" s="21">
        <f t="shared" si="109"/>
        <v>0</v>
      </c>
      <c r="AB107" s="25"/>
      <c r="AC107" s="21">
        <f t="shared" si="110"/>
        <v>0</v>
      </c>
      <c r="AD107" s="25"/>
      <c r="AE107" s="25">
        <v>100000</v>
      </c>
      <c r="AF107" s="25">
        <v>276000</v>
      </c>
      <c r="AG107" s="25"/>
      <c r="AH107" s="21">
        <f t="shared" si="111"/>
        <v>376000</v>
      </c>
      <c r="AI107" s="4">
        <f t="shared" si="112"/>
        <v>0</v>
      </c>
      <c r="AJ107" s="4">
        <f t="shared" si="113"/>
        <v>3495700</v>
      </c>
      <c r="AK107" s="4">
        <f t="shared" si="114"/>
        <v>1901483</v>
      </c>
      <c r="AL107" s="4">
        <f t="shared" si="115"/>
        <v>1620000</v>
      </c>
      <c r="AM107" s="9">
        <f t="shared" si="116"/>
        <v>7017183</v>
      </c>
    </row>
    <row r="108" spans="1:39">
      <c r="A108" s="186"/>
      <c r="B108" s="8">
        <v>25</v>
      </c>
      <c r="C108" s="1" t="s">
        <v>215</v>
      </c>
      <c r="D108" s="4" t="s">
        <v>209</v>
      </c>
      <c r="E108" s="4" t="s">
        <v>17</v>
      </c>
      <c r="F108" s="4"/>
      <c r="G108" s="4"/>
      <c r="H108" s="4"/>
      <c r="I108" s="4"/>
      <c r="J108" s="9">
        <f t="shared" si="105"/>
        <v>0</v>
      </c>
      <c r="K108" s="4"/>
      <c r="L108" s="4"/>
      <c r="M108" s="4"/>
      <c r="N108" s="4"/>
      <c r="O108" s="9">
        <f t="shared" si="106"/>
        <v>0</v>
      </c>
      <c r="P108" s="20"/>
      <c r="Q108" s="26">
        <v>864000</v>
      </c>
      <c r="R108" s="4">
        <v>1078000</v>
      </c>
      <c r="S108" s="22">
        <v>1045000</v>
      </c>
      <c r="T108" s="9">
        <f t="shared" si="107"/>
        <v>2987000</v>
      </c>
      <c r="U108" s="20"/>
      <c r="V108" s="25"/>
      <c r="W108" s="25">
        <v>453700</v>
      </c>
      <c r="X108" s="25">
        <v>180000</v>
      </c>
      <c r="Y108" s="21">
        <f t="shared" si="108"/>
        <v>633700</v>
      </c>
      <c r="Z108" s="25">
        <v>0</v>
      </c>
      <c r="AA108" s="21">
        <f t="shared" si="109"/>
        <v>0</v>
      </c>
      <c r="AB108" s="25"/>
      <c r="AC108" s="21">
        <f t="shared" si="110"/>
        <v>0</v>
      </c>
      <c r="AD108" s="25"/>
      <c r="AE108" s="25"/>
      <c r="AF108" s="25"/>
      <c r="AG108" s="25"/>
      <c r="AH108" s="21">
        <f t="shared" si="111"/>
        <v>0</v>
      </c>
      <c r="AI108" s="4">
        <f t="shared" si="112"/>
        <v>0</v>
      </c>
      <c r="AJ108" s="4">
        <f t="shared" si="113"/>
        <v>864000</v>
      </c>
      <c r="AK108" s="4">
        <f t="shared" si="114"/>
        <v>1531700</v>
      </c>
      <c r="AL108" s="4">
        <f t="shared" si="115"/>
        <v>1225000</v>
      </c>
      <c r="AM108" s="9">
        <f t="shared" si="116"/>
        <v>3620700</v>
      </c>
    </row>
    <row r="109" spans="1:39" ht="47.25">
      <c r="A109" s="186"/>
      <c r="B109" s="8">
        <v>26</v>
      </c>
      <c r="C109" s="1" t="s">
        <v>217</v>
      </c>
      <c r="D109" s="4" t="s">
        <v>211</v>
      </c>
      <c r="E109" s="4" t="s">
        <v>17</v>
      </c>
      <c r="F109" s="4"/>
      <c r="G109" s="4"/>
      <c r="H109" s="4">
        <f>155000+52903</f>
        <v>207903</v>
      </c>
      <c r="I109" s="4">
        <v>270000</v>
      </c>
      <c r="J109" s="9">
        <f t="shared" si="105"/>
        <v>477903</v>
      </c>
      <c r="K109" s="4"/>
      <c r="L109" s="4"/>
      <c r="M109" s="4"/>
      <c r="N109" s="4"/>
      <c r="O109" s="9">
        <f t="shared" si="106"/>
        <v>0</v>
      </c>
      <c r="P109" s="20"/>
      <c r="Q109" s="20"/>
      <c r="R109" s="20"/>
      <c r="S109" s="20"/>
      <c r="T109" s="9">
        <f t="shared" si="107"/>
        <v>0</v>
      </c>
      <c r="U109" s="20"/>
      <c r="V109" s="20"/>
      <c r="W109" s="20"/>
      <c r="X109" s="20"/>
      <c r="Y109" s="21">
        <f t="shared" si="108"/>
        <v>0</v>
      </c>
      <c r="Z109" s="25">
        <v>0</v>
      </c>
      <c r="AA109" s="21">
        <f t="shared" si="109"/>
        <v>0</v>
      </c>
      <c r="AB109" s="25"/>
      <c r="AC109" s="21">
        <f t="shared" si="110"/>
        <v>0</v>
      </c>
      <c r="AD109" s="25"/>
      <c r="AE109" s="25"/>
      <c r="AF109" s="25"/>
      <c r="AG109" s="25"/>
      <c r="AH109" s="21">
        <f t="shared" si="111"/>
        <v>0</v>
      </c>
      <c r="AI109" s="4">
        <f t="shared" si="112"/>
        <v>0</v>
      </c>
      <c r="AJ109" s="4">
        <f t="shared" si="113"/>
        <v>0</v>
      </c>
      <c r="AK109" s="4">
        <f t="shared" si="114"/>
        <v>207903</v>
      </c>
      <c r="AL109" s="4">
        <f t="shared" si="115"/>
        <v>270000</v>
      </c>
      <c r="AM109" s="9">
        <f t="shared" si="116"/>
        <v>477903</v>
      </c>
    </row>
    <row r="110" spans="1:39">
      <c r="A110" s="186"/>
      <c r="B110" s="8">
        <v>27</v>
      </c>
      <c r="C110" s="1" t="s">
        <v>218</v>
      </c>
      <c r="D110" s="4" t="s">
        <v>193</v>
      </c>
      <c r="E110" s="4" t="s">
        <v>17</v>
      </c>
      <c r="F110" s="4"/>
      <c r="G110" s="4"/>
      <c r="H110" s="4"/>
      <c r="I110" s="4"/>
      <c r="J110" s="9">
        <f t="shared" si="105"/>
        <v>0</v>
      </c>
      <c r="K110" s="4"/>
      <c r="L110" s="4"/>
      <c r="M110" s="4"/>
      <c r="N110" s="4"/>
      <c r="O110" s="9">
        <f t="shared" si="106"/>
        <v>0</v>
      </c>
      <c r="P110" s="20"/>
      <c r="Q110" s="20"/>
      <c r="R110" s="20"/>
      <c r="S110" s="20"/>
      <c r="T110" s="9">
        <f t="shared" si="107"/>
        <v>0</v>
      </c>
      <c r="U110" s="20"/>
      <c r="V110" s="25">
        <v>340500</v>
      </c>
      <c r="W110" s="25">
        <v>455900</v>
      </c>
      <c r="X110" s="25">
        <v>-230000</v>
      </c>
      <c r="Y110" s="21">
        <f t="shared" si="108"/>
        <v>566400</v>
      </c>
      <c r="Z110" s="25">
        <v>0</v>
      </c>
      <c r="AA110" s="21">
        <f t="shared" si="109"/>
        <v>0</v>
      </c>
      <c r="AB110" s="25"/>
      <c r="AC110" s="21">
        <f t="shared" si="110"/>
        <v>0</v>
      </c>
      <c r="AD110" s="25"/>
      <c r="AE110" s="25"/>
      <c r="AF110" s="25"/>
      <c r="AG110" s="25"/>
      <c r="AH110" s="21">
        <f t="shared" si="111"/>
        <v>0</v>
      </c>
      <c r="AI110" s="4">
        <f t="shared" si="112"/>
        <v>0</v>
      </c>
      <c r="AJ110" s="4">
        <f t="shared" si="113"/>
        <v>340500</v>
      </c>
      <c r="AK110" s="4">
        <f t="shared" si="114"/>
        <v>455900</v>
      </c>
      <c r="AL110" s="4">
        <f t="shared" si="115"/>
        <v>-230000</v>
      </c>
      <c r="AM110" s="9">
        <f t="shared" si="116"/>
        <v>566400</v>
      </c>
    </row>
    <row r="111" spans="1:39">
      <c r="A111" s="186"/>
      <c r="B111" s="8">
        <v>28</v>
      </c>
      <c r="C111" s="1" t="s">
        <v>219</v>
      </c>
      <c r="D111" s="4" t="s">
        <v>185</v>
      </c>
      <c r="E111" s="4" t="s">
        <v>17</v>
      </c>
      <c r="F111" s="4"/>
      <c r="G111" s="4">
        <v>155000</v>
      </c>
      <c r="H111" s="4">
        <v>108928</v>
      </c>
      <c r="I111" s="4"/>
      <c r="J111" s="9">
        <f t="shared" si="105"/>
        <v>263928</v>
      </c>
      <c r="K111" s="76"/>
      <c r="L111" s="76">
        <v>450000</v>
      </c>
      <c r="M111" s="76">
        <v>720000</v>
      </c>
      <c r="N111" s="76"/>
      <c r="O111" s="9">
        <f t="shared" si="106"/>
        <v>1170000</v>
      </c>
      <c r="P111" s="20"/>
      <c r="Q111" s="20"/>
      <c r="R111" s="20"/>
      <c r="S111" s="20"/>
      <c r="T111" s="9">
        <f t="shared" si="107"/>
        <v>0</v>
      </c>
      <c r="U111" s="20"/>
      <c r="V111" s="25">
        <v>519950</v>
      </c>
      <c r="W111" s="25">
        <v>349200</v>
      </c>
      <c r="X111" s="25"/>
      <c r="Y111" s="21">
        <f t="shared" si="108"/>
        <v>869150</v>
      </c>
      <c r="Z111" s="25">
        <v>0</v>
      </c>
      <c r="AA111" s="21">
        <f t="shared" si="109"/>
        <v>0</v>
      </c>
      <c r="AB111" s="25"/>
      <c r="AC111" s="21">
        <f t="shared" si="110"/>
        <v>0</v>
      </c>
      <c r="AD111" s="25"/>
      <c r="AE111" s="25"/>
      <c r="AF111" s="25"/>
      <c r="AG111" s="25"/>
      <c r="AH111" s="21">
        <f t="shared" si="111"/>
        <v>0</v>
      </c>
      <c r="AI111" s="4">
        <f t="shared" si="112"/>
        <v>0</v>
      </c>
      <c r="AJ111" s="4">
        <f t="shared" si="113"/>
        <v>1124950</v>
      </c>
      <c r="AK111" s="4">
        <f t="shared" si="114"/>
        <v>1178128</v>
      </c>
      <c r="AL111" s="4">
        <f t="shared" si="115"/>
        <v>0</v>
      </c>
      <c r="AM111" s="9">
        <f t="shared" si="116"/>
        <v>2303078</v>
      </c>
    </row>
    <row r="112" spans="1:39">
      <c r="A112" s="186"/>
      <c r="B112" s="8">
        <v>29</v>
      </c>
      <c r="C112" s="1" t="s">
        <v>428</v>
      </c>
      <c r="D112" s="4" t="s">
        <v>187</v>
      </c>
      <c r="E112" s="4" t="s">
        <v>17</v>
      </c>
      <c r="F112" s="4"/>
      <c r="G112" s="4"/>
      <c r="H112" s="4">
        <v>155000</v>
      </c>
      <c r="I112" s="4">
        <f>60000+120000</f>
        <v>180000</v>
      </c>
      <c r="J112" s="9">
        <f t="shared" si="105"/>
        <v>335000</v>
      </c>
      <c r="K112" s="4"/>
      <c r="L112" s="4"/>
      <c r="M112" s="4"/>
      <c r="N112" s="4"/>
      <c r="O112" s="9">
        <f t="shared" si="106"/>
        <v>0</v>
      </c>
      <c r="P112" s="20"/>
      <c r="Q112" s="20"/>
      <c r="R112" s="20"/>
      <c r="S112" s="20"/>
      <c r="T112" s="9">
        <f t="shared" si="107"/>
        <v>0</v>
      </c>
      <c r="U112" s="20"/>
      <c r="V112" s="20">
        <v>195000</v>
      </c>
      <c r="W112" s="25">
        <v>446200</v>
      </c>
      <c r="X112" s="25">
        <v>240000</v>
      </c>
      <c r="Y112" s="21">
        <f t="shared" si="108"/>
        <v>881200</v>
      </c>
      <c r="Z112" s="25">
        <v>1134000</v>
      </c>
      <c r="AA112" s="21">
        <f t="shared" si="109"/>
        <v>1134000</v>
      </c>
      <c r="AB112" s="25"/>
      <c r="AC112" s="21">
        <f t="shared" si="110"/>
        <v>0</v>
      </c>
      <c r="AD112" s="25"/>
      <c r="AE112" s="25"/>
      <c r="AF112" s="25"/>
      <c r="AG112" s="25"/>
      <c r="AH112" s="21">
        <f t="shared" si="111"/>
        <v>0</v>
      </c>
      <c r="AI112" s="4">
        <f t="shared" si="112"/>
        <v>0</v>
      </c>
      <c r="AJ112" s="4">
        <f t="shared" si="113"/>
        <v>195000</v>
      </c>
      <c r="AK112" s="4">
        <f t="shared" si="114"/>
        <v>601200</v>
      </c>
      <c r="AL112" s="4">
        <f t="shared" si="115"/>
        <v>1554000</v>
      </c>
      <c r="AM112" s="9">
        <f t="shared" si="116"/>
        <v>2350200</v>
      </c>
    </row>
    <row r="113" spans="1:39">
      <c r="A113" s="186"/>
      <c r="B113" s="8">
        <v>30</v>
      </c>
      <c r="C113" s="1" t="s">
        <v>221</v>
      </c>
      <c r="D113" s="4" t="s">
        <v>222</v>
      </c>
      <c r="E113" s="4" t="s">
        <v>17</v>
      </c>
      <c r="F113" s="4"/>
      <c r="G113" s="4"/>
      <c r="H113" s="4">
        <v>155000</v>
      </c>
      <c r="I113" s="4">
        <f>40000+96000</f>
        <v>136000</v>
      </c>
      <c r="J113" s="9">
        <f t="shared" si="105"/>
        <v>291000</v>
      </c>
      <c r="K113" s="4"/>
      <c r="L113" s="4"/>
      <c r="M113" s="4"/>
      <c r="N113" s="4"/>
      <c r="O113" s="9">
        <f t="shared" si="106"/>
        <v>0</v>
      </c>
      <c r="P113" s="20"/>
      <c r="Q113" s="20"/>
      <c r="R113" s="20"/>
      <c r="S113" s="20"/>
      <c r="T113" s="9">
        <f t="shared" si="107"/>
        <v>0</v>
      </c>
      <c r="U113" s="20"/>
      <c r="V113" s="20"/>
      <c r="W113" s="25">
        <v>195000</v>
      </c>
      <c r="X113" s="25">
        <v>182000</v>
      </c>
      <c r="Y113" s="21">
        <f t="shared" si="108"/>
        <v>377000</v>
      </c>
      <c r="Z113" s="25">
        <v>945000</v>
      </c>
      <c r="AA113" s="21">
        <f t="shared" si="109"/>
        <v>945000</v>
      </c>
      <c r="AB113" s="25"/>
      <c r="AC113" s="21">
        <f t="shared" si="110"/>
        <v>0</v>
      </c>
      <c r="AD113" s="25"/>
      <c r="AE113" s="25"/>
      <c r="AF113" s="25"/>
      <c r="AG113" s="25"/>
      <c r="AH113" s="21">
        <f t="shared" si="111"/>
        <v>0</v>
      </c>
      <c r="AI113" s="4">
        <f t="shared" si="112"/>
        <v>0</v>
      </c>
      <c r="AJ113" s="4">
        <f t="shared" si="113"/>
        <v>0</v>
      </c>
      <c r="AK113" s="4">
        <f t="shared" si="114"/>
        <v>350000</v>
      </c>
      <c r="AL113" s="4">
        <f t="shared" si="115"/>
        <v>1263000</v>
      </c>
      <c r="AM113" s="9">
        <f t="shared" si="116"/>
        <v>1613000</v>
      </c>
    </row>
    <row r="114" spans="1:39" ht="31.5">
      <c r="A114" s="187"/>
      <c r="B114" s="8">
        <v>31</v>
      </c>
      <c r="C114" s="1" t="s">
        <v>223</v>
      </c>
      <c r="D114" s="4" t="s">
        <v>224</v>
      </c>
      <c r="E114" s="4" t="s">
        <v>17</v>
      </c>
      <c r="F114" s="4"/>
      <c r="G114" s="4"/>
      <c r="H114" s="4">
        <v>155000</v>
      </c>
      <c r="I114" s="4"/>
      <c r="J114" s="9">
        <f t="shared" si="105"/>
        <v>155000</v>
      </c>
      <c r="K114" s="4"/>
      <c r="L114" s="4"/>
      <c r="M114" s="4"/>
      <c r="N114" s="4"/>
      <c r="O114" s="9">
        <f t="shared" si="106"/>
        <v>0</v>
      </c>
      <c r="P114" s="20"/>
      <c r="Q114" s="20"/>
      <c r="R114" s="4">
        <v>290000</v>
      </c>
      <c r="S114" s="20"/>
      <c r="T114" s="9">
        <f t="shared" si="107"/>
        <v>290000</v>
      </c>
      <c r="U114" s="20"/>
      <c r="V114" s="20"/>
      <c r="W114" s="25">
        <v>195000</v>
      </c>
      <c r="X114" s="25"/>
      <c r="Y114" s="21">
        <f t="shared" si="108"/>
        <v>195000</v>
      </c>
      <c r="Z114" s="25">
        <v>0</v>
      </c>
      <c r="AA114" s="21">
        <f t="shared" si="109"/>
        <v>0</v>
      </c>
      <c r="AB114" s="25"/>
      <c r="AC114" s="21">
        <f t="shared" si="110"/>
        <v>0</v>
      </c>
      <c r="AD114" s="25"/>
      <c r="AE114" s="25"/>
      <c r="AF114" s="25"/>
      <c r="AG114" s="25"/>
      <c r="AH114" s="21">
        <f t="shared" si="111"/>
        <v>0</v>
      </c>
      <c r="AI114" s="4">
        <f t="shared" si="112"/>
        <v>0</v>
      </c>
      <c r="AJ114" s="4">
        <f t="shared" si="113"/>
        <v>0</v>
      </c>
      <c r="AK114" s="4">
        <f t="shared" si="114"/>
        <v>640000</v>
      </c>
      <c r="AL114" s="4">
        <f t="shared" si="115"/>
        <v>0</v>
      </c>
      <c r="AM114" s="9">
        <f t="shared" si="116"/>
        <v>640000</v>
      </c>
    </row>
    <row r="115" spans="1:39" s="38" customFormat="1">
      <c r="A115" s="34"/>
      <c r="B115" s="85"/>
      <c r="C115" s="35" t="s">
        <v>225</v>
      </c>
      <c r="D115" s="37"/>
      <c r="E115" s="37"/>
      <c r="F115" s="37">
        <f>SUM(F84:F114)</f>
        <v>775000</v>
      </c>
      <c r="G115" s="37">
        <f t="shared" ref="G115:AM115" si="117">SUM(G84:G114)</f>
        <v>7149160</v>
      </c>
      <c r="H115" s="37">
        <f t="shared" si="117"/>
        <v>8450814</v>
      </c>
      <c r="I115" s="37">
        <f t="shared" si="117"/>
        <v>2787000</v>
      </c>
      <c r="J115" s="37">
        <f t="shared" si="117"/>
        <v>19161974</v>
      </c>
      <c r="K115" s="37">
        <f t="shared" si="117"/>
        <v>290000</v>
      </c>
      <c r="L115" s="37">
        <f t="shared" si="117"/>
        <v>12120000</v>
      </c>
      <c r="M115" s="37">
        <f t="shared" si="117"/>
        <v>14070000</v>
      </c>
      <c r="N115" s="37">
        <f t="shared" si="117"/>
        <v>5605000</v>
      </c>
      <c r="O115" s="37">
        <f t="shared" si="117"/>
        <v>32085000</v>
      </c>
      <c r="P115" s="37">
        <f t="shared" si="117"/>
        <v>0</v>
      </c>
      <c r="Q115" s="37">
        <f t="shared" si="117"/>
        <v>3302000</v>
      </c>
      <c r="R115" s="37">
        <f t="shared" si="117"/>
        <v>2864000</v>
      </c>
      <c r="S115" s="37">
        <f t="shared" si="117"/>
        <v>3261000</v>
      </c>
      <c r="T115" s="37">
        <f t="shared" si="117"/>
        <v>9427000</v>
      </c>
      <c r="U115" s="37">
        <f t="shared" si="117"/>
        <v>585000</v>
      </c>
      <c r="V115" s="37">
        <f t="shared" si="117"/>
        <v>14900906</v>
      </c>
      <c r="W115" s="37">
        <f t="shared" si="117"/>
        <v>12709450</v>
      </c>
      <c r="X115" s="37">
        <f t="shared" si="117"/>
        <v>6797000</v>
      </c>
      <c r="Y115" s="37">
        <f t="shared" si="117"/>
        <v>34992356</v>
      </c>
      <c r="Z115" s="37">
        <f t="shared" si="117"/>
        <v>7780000</v>
      </c>
      <c r="AA115" s="37">
        <f t="shared" si="117"/>
        <v>7780000</v>
      </c>
      <c r="AB115" s="37">
        <f t="shared" si="117"/>
        <v>2700000</v>
      </c>
      <c r="AC115" s="37">
        <f t="shared" si="117"/>
        <v>2700000</v>
      </c>
      <c r="AD115" s="37">
        <f t="shared" si="117"/>
        <v>0</v>
      </c>
      <c r="AE115" s="37">
        <f t="shared" si="117"/>
        <v>848400</v>
      </c>
      <c r="AF115" s="37">
        <f t="shared" si="117"/>
        <v>2010800</v>
      </c>
      <c r="AG115" s="37">
        <f t="shared" si="117"/>
        <v>208000</v>
      </c>
      <c r="AH115" s="37">
        <f t="shared" si="117"/>
        <v>3067200</v>
      </c>
      <c r="AI115" s="37">
        <f t="shared" si="117"/>
        <v>1650000</v>
      </c>
      <c r="AJ115" s="37">
        <f t="shared" si="117"/>
        <v>38320466</v>
      </c>
      <c r="AK115" s="37">
        <f t="shared" si="117"/>
        <v>40105064</v>
      </c>
      <c r="AL115" s="37">
        <f t="shared" si="117"/>
        <v>29138000</v>
      </c>
      <c r="AM115" s="37">
        <f t="shared" si="117"/>
        <v>109213530</v>
      </c>
    </row>
    <row r="116" spans="1:39" ht="31.5">
      <c r="A116" s="185" t="s">
        <v>226</v>
      </c>
      <c r="B116" s="8">
        <v>1</v>
      </c>
      <c r="C116" s="1" t="s">
        <v>227</v>
      </c>
      <c r="D116" s="5" t="s">
        <v>228</v>
      </c>
      <c r="E116" s="4" t="s">
        <v>226</v>
      </c>
      <c r="F116" s="4"/>
      <c r="G116" s="4"/>
      <c r="H116" s="5"/>
      <c r="I116" s="4"/>
      <c r="J116" s="9">
        <f t="shared" ref="J116:J119" si="118">SUM(F116:I116)</f>
        <v>0</v>
      </c>
      <c r="K116" s="4"/>
      <c r="L116" s="4"/>
      <c r="M116" s="4"/>
      <c r="N116" s="4"/>
      <c r="O116" s="9">
        <f t="shared" ref="O116:O119" si="119">SUM(K116:N116)</f>
        <v>0</v>
      </c>
      <c r="P116" s="20">
        <v>290000</v>
      </c>
      <c r="Q116" s="20"/>
      <c r="R116" s="4">
        <v>273000</v>
      </c>
      <c r="S116" s="22">
        <v>252000</v>
      </c>
      <c r="T116" s="9">
        <f t="shared" ref="T116:T119" si="120">SUM(P116:S116)</f>
        <v>815000</v>
      </c>
      <c r="U116" s="20"/>
      <c r="V116" s="20"/>
      <c r="W116" s="25"/>
      <c r="X116" s="25"/>
      <c r="Y116" s="21">
        <f t="shared" ref="Y116:Y119" si="121">SUM(U116:X116)</f>
        <v>0</v>
      </c>
      <c r="Z116" s="25"/>
      <c r="AA116" s="21">
        <f>SUM(Z116:Z116)</f>
        <v>0</v>
      </c>
      <c r="AB116" s="25"/>
      <c r="AC116" s="21">
        <f>SUM(AB116:AB116)</f>
        <v>0</v>
      </c>
      <c r="AD116" s="25"/>
      <c r="AE116" s="25"/>
      <c r="AF116" s="25"/>
      <c r="AG116" s="25"/>
      <c r="AH116" s="21">
        <f t="shared" ref="AH116:AH119" si="122">SUM(AD116:AG116)</f>
        <v>0</v>
      </c>
      <c r="AI116" s="4">
        <f t="shared" ref="AI116:AK119" si="123">F116+K116+P116+U116+AD116</f>
        <v>290000</v>
      </c>
      <c r="AJ116" s="4">
        <f t="shared" si="123"/>
        <v>0</v>
      </c>
      <c r="AK116" s="4">
        <f t="shared" si="123"/>
        <v>273000</v>
      </c>
      <c r="AL116" s="4">
        <f>I116+N116+S116+X116+Z116+AB116+AG116</f>
        <v>252000</v>
      </c>
      <c r="AM116" s="9">
        <f t="shared" ref="AM116:AM119" si="124">SUM(AI116:AL116)</f>
        <v>815000</v>
      </c>
    </row>
    <row r="117" spans="1:39" ht="47.25">
      <c r="A117" s="186"/>
      <c r="B117" s="8">
        <v>2</v>
      </c>
      <c r="C117" s="1" t="s">
        <v>229</v>
      </c>
      <c r="D117" s="4" t="s">
        <v>230</v>
      </c>
      <c r="E117" s="4" t="s">
        <v>226</v>
      </c>
      <c r="F117" s="4"/>
      <c r="G117" s="4"/>
      <c r="H117" s="5"/>
      <c r="I117" s="4"/>
      <c r="J117" s="9">
        <f t="shared" si="118"/>
        <v>0</v>
      </c>
      <c r="K117" s="76"/>
      <c r="L117" s="76">
        <v>310000</v>
      </c>
      <c r="M117" s="76">
        <v>480000</v>
      </c>
      <c r="N117" s="76">
        <v>330000</v>
      </c>
      <c r="O117" s="9">
        <f t="shared" si="119"/>
        <v>1120000</v>
      </c>
      <c r="P117" s="20"/>
      <c r="Q117" s="20"/>
      <c r="R117" s="4"/>
      <c r="S117" s="20"/>
      <c r="T117" s="9">
        <f t="shared" si="120"/>
        <v>0</v>
      </c>
      <c r="U117" s="20"/>
      <c r="V117" s="20"/>
      <c r="W117" s="25"/>
      <c r="X117" s="25"/>
      <c r="Y117" s="21">
        <f t="shared" si="121"/>
        <v>0</v>
      </c>
      <c r="Z117" s="25"/>
      <c r="AA117" s="21">
        <f>SUM(Z117:Z117)</f>
        <v>0</v>
      </c>
      <c r="AB117" s="25"/>
      <c r="AC117" s="21">
        <f>SUM(AB117:AB117)</f>
        <v>0</v>
      </c>
      <c r="AD117" s="25"/>
      <c r="AE117" s="25"/>
      <c r="AF117" s="25"/>
      <c r="AG117" s="25"/>
      <c r="AH117" s="21">
        <f t="shared" si="122"/>
        <v>0</v>
      </c>
      <c r="AI117" s="4">
        <f t="shared" si="123"/>
        <v>0</v>
      </c>
      <c r="AJ117" s="4">
        <f t="shared" si="123"/>
        <v>310000</v>
      </c>
      <c r="AK117" s="4">
        <f t="shared" si="123"/>
        <v>480000</v>
      </c>
      <c r="AL117" s="4">
        <f>I117+N117+S117+X117+Z117+AB117+AG117</f>
        <v>330000</v>
      </c>
      <c r="AM117" s="9">
        <f t="shared" si="124"/>
        <v>1120000</v>
      </c>
    </row>
    <row r="118" spans="1:39" ht="31.5">
      <c r="A118" s="186"/>
      <c r="B118" s="8">
        <v>3</v>
      </c>
      <c r="C118" s="1" t="s">
        <v>231</v>
      </c>
      <c r="D118" s="5" t="s">
        <v>414</v>
      </c>
      <c r="E118" s="4" t="s">
        <v>226</v>
      </c>
      <c r="F118" s="4"/>
      <c r="G118" s="4"/>
      <c r="H118" s="5"/>
      <c r="I118" s="4"/>
      <c r="J118" s="9">
        <f t="shared" si="118"/>
        <v>0</v>
      </c>
      <c r="K118" s="4"/>
      <c r="L118" s="4"/>
      <c r="M118" s="4"/>
      <c r="N118" s="4"/>
      <c r="O118" s="9">
        <f t="shared" si="119"/>
        <v>0</v>
      </c>
      <c r="P118" s="20"/>
      <c r="Q118" s="20"/>
      <c r="R118" s="4"/>
      <c r="S118" s="20"/>
      <c r="T118" s="9">
        <f t="shared" si="120"/>
        <v>0</v>
      </c>
      <c r="U118" s="20"/>
      <c r="V118" s="25">
        <v>330800</v>
      </c>
      <c r="W118" s="25">
        <f>106700+198000</f>
        <v>304700</v>
      </c>
      <c r="X118" s="25">
        <v>446500</v>
      </c>
      <c r="Y118" s="21">
        <f t="shared" si="121"/>
        <v>1082000</v>
      </c>
      <c r="Z118" s="25"/>
      <c r="AA118" s="21">
        <f>SUM(Z118:Z118)</f>
        <v>0</v>
      </c>
      <c r="AB118" s="25"/>
      <c r="AC118" s="21">
        <f>SUM(AB118:AB118)</f>
        <v>0</v>
      </c>
      <c r="AD118" s="25"/>
      <c r="AE118" s="25"/>
      <c r="AF118" s="25"/>
      <c r="AG118" s="25"/>
      <c r="AH118" s="21">
        <f t="shared" si="122"/>
        <v>0</v>
      </c>
      <c r="AI118" s="4">
        <f t="shared" si="123"/>
        <v>0</v>
      </c>
      <c r="AJ118" s="4">
        <f t="shared" si="123"/>
        <v>330800</v>
      </c>
      <c r="AK118" s="4">
        <f t="shared" si="123"/>
        <v>304700</v>
      </c>
      <c r="AL118" s="4">
        <f>I118+N118+S118+X118+Z118+AB118+AG118</f>
        <v>446500</v>
      </c>
      <c r="AM118" s="9">
        <f t="shared" si="124"/>
        <v>1082000</v>
      </c>
    </row>
    <row r="119" spans="1:39" ht="31.5">
      <c r="A119" s="187"/>
      <c r="B119" s="8">
        <v>4</v>
      </c>
      <c r="C119" s="1" t="s">
        <v>232</v>
      </c>
      <c r="D119" s="4" t="s">
        <v>233</v>
      </c>
      <c r="E119" s="4" t="s">
        <v>226</v>
      </c>
      <c r="F119" s="4">
        <v>155000</v>
      </c>
      <c r="G119" s="4"/>
      <c r="H119" s="5"/>
      <c r="I119" s="4"/>
      <c r="J119" s="9">
        <f t="shared" si="118"/>
        <v>155000</v>
      </c>
      <c r="K119" s="4"/>
      <c r="L119" s="4"/>
      <c r="M119" s="4"/>
      <c r="N119" s="4"/>
      <c r="O119" s="9">
        <f t="shared" si="119"/>
        <v>0</v>
      </c>
      <c r="P119" s="20"/>
      <c r="Q119" s="20"/>
      <c r="R119" s="20"/>
      <c r="S119" s="20"/>
      <c r="T119" s="9">
        <f t="shared" si="120"/>
        <v>0</v>
      </c>
      <c r="U119" s="20">
        <v>195000</v>
      </c>
      <c r="V119" s="20"/>
      <c r="W119" s="20"/>
      <c r="X119" s="20"/>
      <c r="Y119" s="21">
        <f t="shared" si="121"/>
        <v>195000</v>
      </c>
      <c r="Z119" s="25"/>
      <c r="AA119" s="21">
        <f>SUM(Z119:Z119)</f>
        <v>0</v>
      </c>
      <c r="AB119" s="25"/>
      <c r="AC119" s="21">
        <f>SUM(AB119:AB119)</f>
        <v>0</v>
      </c>
      <c r="AD119" s="25"/>
      <c r="AE119" s="25"/>
      <c r="AF119" s="25"/>
      <c r="AG119" s="25"/>
      <c r="AH119" s="21">
        <f t="shared" si="122"/>
        <v>0</v>
      </c>
      <c r="AI119" s="4">
        <f t="shared" si="123"/>
        <v>350000</v>
      </c>
      <c r="AJ119" s="4">
        <f t="shared" si="123"/>
        <v>0</v>
      </c>
      <c r="AK119" s="4">
        <f t="shared" si="123"/>
        <v>0</v>
      </c>
      <c r="AL119" s="4">
        <f>I119+N119+S119+X119+Z119+AB119+AG119</f>
        <v>0</v>
      </c>
      <c r="AM119" s="9">
        <f t="shared" si="124"/>
        <v>350000</v>
      </c>
    </row>
    <row r="120" spans="1:39" s="38" customFormat="1">
      <c r="A120" s="34"/>
      <c r="B120" s="85"/>
      <c r="C120" s="35" t="s">
        <v>234</v>
      </c>
      <c r="D120" s="37"/>
      <c r="E120" s="37"/>
      <c r="F120" s="37">
        <f>SUM(F116:F119)</f>
        <v>155000</v>
      </c>
      <c r="G120" s="37">
        <f t="shared" ref="G120:AM120" si="125">SUM(G116:G119)</f>
        <v>0</v>
      </c>
      <c r="H120" s="37">
        <f t="shared" si="125"/>
        <v>0</v>
      </c>
      <c r="I120" s="37">
        <f t="shared" si="125"/>
        <v>0</v>
      </c>
      <c r="J120" s="37">
        <f t="shared" si="125"/>
        <v>155000</v>
      </c>
      <c r="K120" s="37">
        <f t="shared" si="125"/>
        <v>0</v>
      </c>
      <c r="L120" s="37">
        <f t="shared" si="125"/>
        <v>310000</v>
      </c>
      <c r="M120" s="37">
        <f t="shared" si="125"/>
        <v>480000</v>
      </c>
      <c r="N120" s="37">
        <f t="shared" si="125"/>
        <v>330000</v>
      </c>
      <c r="O120" s="37">
        <f t="shared" si="125"/>
        <v>1120000</v>
      </c>
      <c r="P120" s="37">
        <f t="shared" si="125"/>
        <v>290000</v>
      </c>
      <c r="Q120" s="37">
        <f t="shared" si="125"/>
        <v>0</v>
      </c>
      <c r="R120" s="37">
        <f t="shared" si="125"/>
        <v>273000</v>
      </c>
      <c r="S120" s="37">
        <f t="shared" si="125"/>
        <v>252000</v>
      </c>
      <c r="T120" s="37">
        <f t="shared" si="125"/>
        <v>815000</v>
      </c>
      <c r="U120" s="37">
        <f t="shared" si="125"/>
        <v>195000</v>
      </c>
      <c r="V120" s="37">
        <f t="shared" si="125"/>
        <v>330800</v>
      </c>
      <c r="W120" s="37">
        <f t="shared" si="125"/>
        <v>304700</v>
      </c>
      <c r="X120" s="37">
        <f t="shared" si="125"/>
        <v>446500</v>
      </c>
      <c r="Y120" s="37">
        <f t="shared" si="125"/>
        <v>1277000</v>
      </c>
      <c r="Z120" s="37">
        <f t="shared" si="125"/>
        <v>0</v>
      </c>
      <c r="AA120" s="37">
        <f t="shared" si="125"/>
        <v>0</v>
      </c>
      <c r="AB120" s="37">
        <f t="shared" si="125"/>
        <v>0</v>
      </c>
      <c r="AC120" s="37">
        <f t="shared" si="125"/>
        <v>0</v>
      </c>
      <c r="AD120" s="37">
        <f t="shared" si="125"/>
        <v>0</v>
      </c>
      <c r="AE120" s="37">
        <f t="shared" si="125"/>
        <v>0</v>
      </c>
      <c r="AF120" s="37">
        <f t="shared" si="125"/>
        <v>0</v>
      </c>
      <c r="AG120" s="37">
        <f t="shared" si="125"/>
        <v>0</v>
      </c>
      <c r="AH120" s="37">
        <f t="shared" si="125"/>
        <v>0</v>
      </c>
      <c r="AI120" s="37">
        <f t="shared" si="125"/>
        <v>640000</v>
      </c>
      <c r="AJ120" s="37">
        <f t="shared" si="125"/>
        <v>640800</v>
      </c>
      <c r="AK120" s="37">
        <f t="shared" si="125"/>
        <v>1057700</v>
      </c>
      <c r="AL120" s="37">
        <f t="shared" si="125"/>
        <v>1028500</v>
      </c>
      <c r="AM120" s="37">
        <f t="shared" si="125"/>
        <v>3367000</v>
      </c>
    </row>
    <row r="121" spans="1:39" ht="31.5">
      <c r="A121" s="185" t="s">
        <v>235</v>
      </c>
      <c r="B121" s="8">
        <v>1</v>
      </c>
      <c r="C121" s="1" t="s">
        <v>236</v>
      </c>
      <c r="D121" s="4" t="s">
        <v>237</v>
      </c>
      <c r="E121" s="4" t="s">
        <v>235</v>
      </c>
      <c r="F121" s="4"/>
      <c r="G121" s="4">
        <v>155000</v>
      </c>
      <c r="H121" s="4"/>
      <c r="I121" s="4"/>
      <c r="J121" s="9">
        <f t="shared" ref="J121:J122" si="126">SUM(F121:I121)</f>
        <v>155000</v>
      </c>
      <c r="K121" s="76"/>
      <c r="L121" s="76">
        <v>290000</v>
      </c>
      <c r="M121" s="76"/>
      <c r="N121" s="76"/>
      <c r="O121" s="9">
        <f t="shared" ref="O121:O122" si="127">SUM(K121:N121)</f>
        <v>290000</v>
      </c>
      <c r="P121" s="20"/>
      <c r="Q121" s="20">
        <v>290000</v>
      </c>
      <c r="R121" s="4">
        <v>175000</v>
      </c>
      <c r="S121" s="20"/>
      <c r="T121" s="9">
        <f t="shared" ref="T121:T122" si="128">SUM(P121:S121)</f>
        <v>465000</v>
      </c>
      <c r="U121" s="20"/>
      <c r="V121" s="20"/>
      <c r="W121" s="20"/>
      <c r="X121" s="20"/>
      <c r="Y121" s="21">
        <f t="shared" ref="Y121:Y122" si="129">SUM(U121:X121)</f>
        <v>0</v>
      </c>
      <c r="Z121" s="25"/>
      <c r="AA121" s="21">
        <f>SUM(Z121:Z121)</f>
        <v>0</v>
      </c>
      <c r="AB121" s="25"/>
      <c r="AC121" s="21">
        <f>SUM(AB121:AB121)</f>
        <v>0</v>
      </c>
      <c r="AD121" s="25"/>
      <c r="AE121" s="25"/>
      <c r="AF121" s="25"/>
      <c r="AG121" s="25"/>
      <c r="AH121" s="21">
        <f t="shared" ref="AH121:AH122" si="130">SUM(AD121:AG121)</f>
        <v>0</v>
      </c>
      <c r="AI121" s="4">
        <f t="shared" ref="AI121:AK122" si="131">F121+K121+P121+U121+AD121</f>
        <v>0</v>
      </c>
      <c r="AJ121" s="4">
        <f t="shared" si="131"/>
        <v>735000</v>
      </c>
      <c r="AK121" s="4">
        <f t="shared" si="131"/>
        <v>175000</v>
      </c>
      <c r="AL121" s="4">
        <f>I121+N121+S121+X121+Z121+AB121+AG121</f>
        <v>0</v>
      </c>
      <c r="AM121" s="9">
        <f t="shared" ref="AM121:AM122" si="132">SUM(AI121:AL121)</f>
        <v>910000</v>
      </c>
    </row>
    <row r="122" spans="1:39" ht="31.5">
      <c r="A122" s="187"/>
      <c r="B122" s="8">
        <v>2</v>
      </c>
      <c r="C122" s="1" t="s">
        <v>238</v>
      </c>
      <c r="D122" s="4" t="s">
        <v>239</v>
      </c>
      <c r="E122" s="4" t="s">
        <v>235</v>
      </c>
      <c r="F122" s="4"/>
      <c r="G122" s="4"/>
      <c r="H122" s="4">
        <f>155000+31667+20000</f>
        <v>206667</v>
      </c>
      <c r="I122" s="4">
        <v>777500</v>
      </c>
      <c r="J122" s="9">
        <f t="shared" si="126"/>
        <v>984167</v>
      </c>
      <c r="K122" s="4"/>
      <c r="L122" s="4"/>
      <c r="M122" s="4"/>
      <c r="N122" s="4"/>
      <c r="O122" s="9">
        <f t="shared" si="127"/>
        <v>0</v>
      </c>
      <c r="P122" s="20"/>
      <c r="Q122" s="20"/>
      <c r="R122" s="20"/>
      <c r="S122" s="20"/>
      <c r="T122" s="9">
        <f t="shared" si="128"/>
        <v>0</v>
      </c>
      <c r="U122" s="20"/>
      <c r="V122" s="20"/>
      <c r="W122" s="20"/>
      <c r="X122" s="20"/>
      <c r="Y122" s="21">
        <f t="shared" si="129"/>
        <v>0</v>
      </c>
      <c r="Z122" s="25"/>
      <c r="AA122" s="21">
        <f>SUM(Z122:Z122)</f>
        <v>0</v>
      </c>
      <c r="AB122" s="25"/>
      <c r="AC122" s="21">
        <f>SUM(AB122:AB122)</f>
        <v>0</v>
      </c>
      <c r="AD122" s="25"/>
      <c r="AE122" s="25"/>
      <c r="AF122" s="25"/>
      <c r="AG122" s="25"/>
      <c r="AH122" s="21">
        <f t="shared" si="130"/>
        <v>0</v>
      </c>
      <c r="AI122" s="4">
        <f t="shared" si="131"/>
        <v>0</v>
      </c>
      <c r="AJ122" s="4">
        <f t="shared" si="131"/>
        <v>0</v>
      </c>
      <c r="AK122" s="4">
        <f t="shared" si="131"/>
        <v>206667</v>
      </c>
      <c r="AL122" s="4">
        <f>I122+N122+S122+X122+Z122+AB122+AG122</f>
        <v>777500</v>
      </c>
      <c r="AM122" s="9">
        <f t="shared" si="132"/>
        <v>984167</v>
      </c>
    </row>
    <row r="123" spans="1:39" s="38" customFormat="1">
      <c r="A123" s="34"/>
      <c r="B123" s="85"/>
      <c r="C123" s="35" t="s">
        <v>240</v>
      </c>
      <c r="D123" s="37"/>
      <c r="E123" s="37"/>
      <c r="F123" s="37">
        <f>SUM(F121:F122)</f>
        <v>0</v>
      </c>
      <c r="G123" s="37">
        <f t="shared" ref="G123:AM123" si="133">SUM(G121:G122)</f>
        <v>155000</v>
      </c>
      <c r="H123" s="37">
        <f t="shared" si="133"/>
        <v>206667</v>
      </c>
      <c r="I123" s="37">
        <f t="shared" si="133"/>
        <v>777500</v>
      </c>
      <c r="J123" s="37">
        <f t="shared" si="133"/>
        <v>1139167</v>
      </c>
      <c r="K123" s="37">
        <f t="shared" si="133"/>
        <v>0</v>
      </c>
      <c r="L123" s="37">
        <f t="shared" si="133"/>
        <v>290000</v>
      </c>
      <c r="M123" s="37">
        <f t="shared" si="133"/>
        <v>0</v>
      </c>
      <c r="N123" s="37">
        <f t="shared" si="133"/>
        <v>0</v>
      </c>
      <c r="O123" s="37">
        <f t="shared" si="133"/>
        <v>290000</v>
      </c>
      <c r="P123" s="37">
        <f t="shared" si="133"/>
        <v>0</v>
      </c>
      <c r="Q123" s="37">
        <f t="shared" si="133"/>
        <v>290000</v>
      </c>
      <c r="R123" s="37">
        <f t="shared" si="133"/>
        <v>175000</v>
      </c>
      <c r="S123" s="37">
        <f t="shared" si="133"/>
        <v>0</v>
      </c>
      <c r="T123" s="37">
        <f t="shared" si="133"/>
        <v>465000</v>
      </c>
      <c r="U123" s="37">
        <f t="shared" si="133"/>
        <v>0</v>
      </c>
      <c r="V123" s="37">
        <f t="shared" si="133"/>
        <v>0</v>
      </c>
      <c r="W123" s="37">
        <f t="shared" si="133"/>
        <v>0</v>
      </c>
      <c r="X123" s="37">
        <f t="shared" si="133"/>
        <v>0</v>
      </c>
      <c r="Y123" s="37">
        <f t="shared" si="133"/>
        <v>0</v>
      </c>
      <c r="Z123" s="37">
        <f t="shared" si="133"/>
        <v>0</v>
      </c>
      <c r="AA123" s="37">
        <f t="shared" si="133"/>
        <v>0</v>
      </c>
      <c r="AB123" s="37">
        <f t="shared" si="133"/>
        <v>0</v>
      </c>
      <c r="AC123" s="37">
        <f t="shared" si="133"/>
        <v>0</v>
      </c>
      <c r="AD123" s="37">
        <f t="shared" si="133"/>
        <v>0</v>
      </c>
      <c r="AE123" s="37">
        <f t="shared" si="133"/>
        <v>0</v>
      </c>
      <c r="AF123" s="37">
        <f t="shared" si="133"/>
        <v>0</v>
      </c>
      <c r="AG123" s="37">
        <f t="shared" si="133"/>
        <v>0</v>
      </c>
      <c r="AH123" s="37">
        <f t="shared" si="133"/>
        <v>0</v>
      </c>
      <c r="AI123" s="37">
        <f t="shared" si="133"/>
        <v>0</v>
      </c>
      <c r="AJ123" s="37">
        <f t="shared" si="133"/>
        <v>735000</v>
      </c>
      <c r="AK123" s="37">
        <f t="shared" si="133"/>
        <v>381667</v>
      </c>
      <c r="AL123" s="37">
        <f t="shared" si="133"/>
        <v>777500</v>
      </c>
      <c r="AM123" s="37">
        <f t="shared" si="133"/>
        <v>1894167</v>
      </c>
    </row>
    <row r="124" spans="1:39" ht="27.75" customHeight="1">
      <c r="A124" s="82" t="s">
        <v>44</v>
      </c>
      <c r="B124" s="8">
        <v>1</v>
      </c>
      <c r="C124" s="1" t="s">
        <v>10</v>
      </c>
      <c r="D124" s="4" t="s">
        <v>43</v>
      </c>
      <c r="E124" s="4" t="s">
        <v>44</v>
      </c>
      <c r="F124" s="4"/>
      <c r="G124" s="4">
        <v>155000</v>
      </c>
      <c r="H124" s="5"/>
      <c r="I124" s="4">
        <f>72000+18000</f>
        <v>90000</v>
      </c>
      <c r="J124" s="9">
        <f>SUM(F124:I124)</f>
        <v>245000</v>
      </c>
      <c r="K124" s="4"/>
      <c r="L124" s="4"/>
      <c r="M124" s="4"/>
      <c r="N124" s="4"/>
      <c r="O124" s="9">
        <f>SUM(K124:N124)</f>
        <v>0</v>
      </c>
      <c r="P124" s="20"/>
      <c r="Q124" s="20">
        <v>290000</v>
      </c>
      <c r="R124" s="20"/>
      <c r="S124" s="20">
        <v>116000</v>
      </c>
      <c r="T124" s="9">
        <f>SUM(P124:S124)</f>
        <v>406000</v>
      </c>
      <c r="U124" s="20"/>
      <c r="V124" s="20">
        <v>195000</v>
      </c>
      <c r="W124" s="20">
        <v>96000</v>
      </c>
      <c r="X124" s="20">
        <v>20000</v>
      </c>
      <c r="Y124" s="21">
        <f>SUM(U124:X124)</f>
        <v>311000</v>
      </c>
      <c r="Z124" s="25"/>
      <c r="AA124" s="21">
        <f>SUM(Z124:Z124)</f>
        <v>0</v>
      </c>
      <c r="AB124" s="25"/>
      <c r="AC124" s="21">
        <f>SUM(AB124:AB124)</f>
        <v>0</v>
      </c>
      <c r="AD124" s="25"/>
      <c r="AE124" s="25"/>
      <c r="AF124" s="25"/>
      <c r="AG124" s="25"/>
      <c r="AH124" s="21">
        <f>SUM(AD124:AG124)</f>
        <v>0</v>
      </c>
      <c r="AI124" s="4">
        <f>F124+K124+P124+U124+AD124</f>
        <v>0</v>
      </c>
      <c r="AJ124" s="4">
        <f>G124+L124+Q124+V124+AE124</f>
        <v>640000</v>
      </c>
      <c r="AK124" s="4">
        <f>H124+M124+R124+W124+AF124</f>
        <v>96000</v>
      </c>
      <c r="AL124" s="4">
        <f>I124+N124+S124+X124+Z124+AB124+AG124</f>
        <v>226000</v>
      </c>
      <c r="AM124" s="9">
        <f>SUM(AI124:AL124)</f>
        <v>962000</v>
      </c>
    </row>
    <row r="125" spans="1:39" s="38" customFormat="1">
      <c r="A125" s="34"/>
      <c r="B125" s="85"/>
      <c r="C125" s="35" t="s">
        <v>241</v>
      </c>
      <c r="D125" s="37"/>
      <c r="E125" s="37"/>
      <c r="F125" s="37">
        <f>SUM(F124)</f>
        <v>0</v>
      </c>
      <c r="G125" s="37">
        <f t="shared" ref="G125:AM125" si="134">SUM(G124)</f>
        <v>155000</v>
      </c>
      <c r="H125" s="37">
        <f t="shared" si="134"/>
        <v>0</v>
      </c>
      <c r="I125" s="37">
        <f t="shared" si="134"/>
        <v>90000</v>
      </c>
      <c r="J125" s="37">
        <f t="shared" si="134"/>
        <v>245000</v>
      </c>
      <c r="K125" s="37">
        <f t="shared" si="134"/>
        <v>0</v>
      </c>
      <c r="L125" s="37">
        <f t="shared" si="134"/>
        <v>0</v>
      </c>
      <c r="M125" s="37">
        <f t="shared" si="134"/>
        <v>0</v>
      </c>
      <c r="N125" s="37">
        <f t="shared" si="134"/>
        <v>0</v>
      </c>
      <c r="O125" s="37">
        <f t="shared" si="134"/>
        <v>0</v>
      </c>
      <c r="P125" s="37">
        <f t="shared" si="134"/>
        <v>0</v>
      </c>
      <c r="Q125" s="37">
        <f t="shared" si="134"/>
        <v>290000</v>
      </c>
      <c r="R125" s="37">
        <f t="shared" si="134"/>
        <v>0</v>
      </c>
      <c r="S125" s="37">
        <f t="shared" si="134"/>
        <v>116000</v>
      </c>
      <c r="T125" s="37">
        <f t="shared" si="134"/>
        <v>406000</v>
      </c>
      <c r="U125" s="37">
        <f t="shared" si="134"/>
        <v>0</v>
      </c>
      <c r="V125" s="37">
        <f t="shared" si="134"/>
        <v>195000</v>
      </c>
      <c r="W125" s="37">
        <f t="shared" si="134"/>
        <v>96000</v>
      </c>
      <c r="X125" s="37">
        <f t="shared" si="134"/>
        <v>20000</v>
      </c>
      <c r="Y125" s="37">
        <f t="shared" si="134"/>
        <v>311000</v>
      </c>
      <c r="Z125" s="37">
        <f t="shared" si="134"/>
        <v>0</v>
      </c>
      <c r="AA125" s="37">
        <f t="shared" si="134"/>
        <v>0</v>
      </c>
      <c r="AB125" s="37">
        <f t="shared" si="134"/>
        <v>0</v>
      </c>
      <c r="AC125" s="37">
        <f t="shared" si="134"/>
        <v>0</v>
      </c>
      <c r="AD125" s="37">
        <f t="shared" si="134"/>
        <v>0</v>
      </c>
      <c r="AE125" s="37">
        <f t="shared" si="134"/>
        <v>0</v>
      </c>
      <c r="AF125" s="37">
        <f t="shared" si="134"/>
        <v>0</v>
      </c>
      <c r="AG125" s="37">
        <f t="shared" si="134"/>
        <v>0</v>
      </c>
      <c r="AH125" s="37">
        <f t="shared" si="134"/>
        <v>0</v>
      </c>
      <c r="AI125" s="37">
        <f t="shared" si="134"/>
        <v>0</v>
      </c>
      <c r="AJ125" s="37">
        <f t="shared" si="134"/>
        <v>640000</v>
      </c>
      <c r="AK125" s="37">
        <f t="shared" si="134"/>
        <v>96000</v>
      </c>
      <c r="AL125" s="37">
        <f t="shared" si="134"/>
        <v>226000</v>
      </c>
      <c r="AM125" s="37">
        <f t="shared" si="134"/>
        <v>962000</v>
      </c>
    </row>
    <row r="126" spans="1:39" ht="47.25">
      <c r="A126" s="185" t="s">
        <v>61</v>
      </c>
      <c r="B126" s="8">
        <v>1</v>
      </c>
      <c r="C126" s="1" t="s">
        <v>242</v>
      </c>
      <c r="D126" s="4" t="s">
        <v>243</v>
      </c>
      <c r="E126" s="4" t="s">
        <v>244</v>
      </c>
      <c r="F126" s="4"/>
      <c r="G126" s="4"/>
      <c r="H126" s="4">
        <v>155000</v>
      </c>
      <c r="I126" s="4"/>
      <c r="J126" s="9">
        <f t="shared" ref="J126:J141" si="135">SUM(F126:I126)</f>
        <v>155000</v>
      </c>
      <c r="K126" s="4"/>
      <c r="L126" s="4"/>
      <c r="M126" s="4"/>
      <c r="N126" s="4"/>
      <c r="O126" s="9">
        <f t="shared" ref="O126:O141" si="136">SUM(K126:N126)</f>
        <v>0</v>
      </c>
      <c r="P126" s="20"/>
      <c r="Q126" s="20"/>
      <c r="R126" s="4">
        <v>290000</v>
      </c>
      <c r="S126" s="20"/>
      <c r="T126" s="9">
        <f t="shared" ref="T126:T141" si="137">SUM(P126:S126)</f>
        <v>290000</v>
      </c>
      <c r="U126" s="20"/>
      <c r="V126" s="25">
        <v>195000</v>
      </c>
      <c r="W126" s="20"/>
      <c r="X126" s="20"/>
      <c r="Y126" s="21">
        <f t="shared" ref="Y126:Y141" si="138">SUM(U126:X126)</f>
        <v>195000</v>
      </c>
      <c r="Z126" s="25"/>
      <c r="AA126" s="21">
        <f t="shared" ref="AA126:AA141" si="139">SUM(Z126:Z126)</f>
        <v>0</v>
      </c>
      <c r="AB126" s="25"/>
      <c r="AC126" s="21">
        <f t="shared" ref="AC126:AC141" si="140">SUM(AB126:AB126)</f>
        <v>0</v>
      </c>
      <c r="AD126" s="25"/>
      <c r="AE126" s="24">
        <f>100000+257600</f>
        <v>357600</v>
      </c>
      <c r="AF126" s="25"/>
      <c r="AG126" s="25"/>
      <c r="AH126" s="21">
        <f t="shared" ref="AH126:AH141" si="141">SUM(AD126:AG126)</f>
        <v>357600</v>
      </c>
      <c r="AI126" s="4">
        <f t="shared" ref="AI126:AI141" si="142">F126+K126+P126+U126+AD126</f>
        <v>0</v>
      </c>
      <c r="AJ126" s="4">
        <f t="shared" ref="AJ126:AJ141" si="143">G126+L126+Q126+V126+AE126</f>
        <v>552600</v>
      </c>
      <c r="AK126" s="4">
        <f t="shared" ref="AK126:AK141" si="144">H126+M126+R126+W126+AF126</f>
        <v>445000</v>
      </c>
      <c r="AL126" s="4">
        <f t="shared" ref="AL126:AL141" si="145">I126+N126+S126+X126+Z126+AB126+AG126</f>
        <v>0</v>
      </c>
      <c r="AM126" s="9">
        <f t="shared" ref="AM126:AM141" si="146">SUM(AI126:AL126)</f>
        <v>997600</v>
      </c>
    </row>
    <row r="127" spans="1:39">
      <c r="A127" s="186"/>
      <c r="B127" s="8">
        <v>2</v>
      </c>
      <c r="C127" s="1" t="s">
        <v>245</v>
      </c>
      <c r="D127" s="4" t="s">
        <v>246</v>
      </c>
      <c r="E127" s="4" t="s">
        <v>244</v>
      </c>
      <c r="F127" s="4"/>
      <c r="G127" s="4"/>
      <c r="H127" s="5"/>
      <c r="I127" s="4"/>
      <c r="J127" s="9">
        <f t="shared" si="135"/>
        <v>0</v>
      </c>
      <c r="K127" s="76"/>
      <c r="L127" s="76">
        <v>1690000</v>
      </c>
      <c r="M127" s="76">
        <v>1290000</v>
      </c>
      <c r="N127" s="76">
        <v>150000</v>
      </c>
      <c r="O127" s="9">
        <f t="shared" si="136"/>
        <v>3130000</v>
      </c>
      <c r="P127" s="20"/>
      <c r="Q127" s="26">
        <v>1389000</v>
      </c>
      <c r="R127" s="4">
        <v>1080000</v>
      </c>
      <c r="S127" s="22">
        <v>420000</v>
      </c>
      <c r="T127" s="9">
        <f t="shared" si="137"/>
        <v>2889000</v>
      </c>
      <c r="U127" s="20"/>
      <c r="V127" s="25"/>
      <c r="W127" s="20"/>
      <c r="X127" s="20"/>
      <c r="Y127" s="21">
        <f t="shared" si="138"/>
        <v>0</v>
      </c>
      <c r="Z127" s="25"/>
      <c r="AA127" s="21">
        <f t="shared" si="139"/>
        <v>0</v>
      </c>
      <c r="AB127" s="24">
        <v>900000</v>
      </c>
      <c r="AC127" s="21">
        <f t="shared" si="140"/>
        <v>900000</v>
      </c>
      <c r="AD127" s="25"/>
      <c r="AE127" s="25">
        <v>100000</v>
      </c>
      <c r="AF127" s="25">
        <v>540000</v>
      </c>
      <c r="AG127" s="25"/>
      <c r="AH127" s="21">
        <f t="shared" si="141"/>
        <v>640000</v>
      </c>
      <c r="AI127" s="4">
        <f t="shared" si="142"/>
        <v>0</v>
      </c>
      <c r="AJ127" s="4">
        <f t="shared" si="143"/>
        <v>3179000</v>
      </c>
      <c r="AK127" s="4">
        <f t="shared" si="144"/>
        <v>2910000</v>
      </c>
      <c r="AL127" s="4">
        <f t="shared" si="145"/>
        <v>1470000</v>
      </c>
      <c r="AM127" s="9">
        <f t="shared" si="146"/>
        <v>7559000</v>
      </c>
    </row>
    <row r="128" spans="1:39">
      <c r="A128" s="186"/>
      <c r="B128" s="8">
        <v>3</v>
      </c>
      <c r="C128" s="1" t="s">
        <v>247</v>
      </c>
      <c r="D128" s="5" t="s">
        <v>262</v>
      </c>
      <c r="E128" s="4" t="s">
        <v>244</v>
      </c>
      <c r="F128" s="4"/>
      <c r="G128" s="4"/>
      <c r="H128" s="5"/>
      <c r="I128" s="4"/>
      <c r="J128" s="9">
        <f t="shared" si="135"/>
        <v>0</v>
      </c>
      <c r="K128" s="4"/>
      <c r="L128" s="72"/>
      <c r="M128" s="4"/>
      <c r="N128" s="4"/>
      <c r="O128" s="9">
        <f t="shared" si="136"/>
        <v>0</v>
      </c>
      <c r="P128" s="20"/>
      <c r="Q128" s="20"/>
      <c r="R128" s="4"/>
      <c r="S128" s="20"/>
      <c r="T128" s="9">
        <f t="shared" si="137"/>
        <v>0</v>
      </c>
      <c r="U128" s="20"/>
      <c r="V128" s="25">
        <v>438200</v>
      </c>
      <c r="W128" s="25">
        <v>274300</v>
      </c>
      <c r="X128" s="24">
        <v>959000</v>
      </c>
      <c r="Y128" s="21">
        <f t="shared" si="138"/>
        <v>1671500</v>
      </c>
      <c r="Z128" s="25"/>
      <c r="AA128" s="21">
        <f t="shared" si="139"/>
        <v>0</v>
      </c>
      <c r="AB128" s="25"/>
      <c r="AC128" s="21">
        <f t="shared" si="140"/>
        <v>0</v>
      </c>
      <c r="AD128" s="25"/>
      <c r="AE128" s="25">
        <v>100000</v>
      </c>
      <c r="AF128" s="25"/>
      <c r="AG128" s="25">
        <v>120000</v>
      </c>
      <c r="AH128" s="21">
        <f t="shared" si="141"/>
        <v>220000</v>
      </c>
      <c r="AI128" s="4">
        <f t="shared" si="142"/>
        <v>0</v>
      </c>
      <c r="AJ128" s="4">
        <f t="shared" si="143"/>
        <v>538200</v>
      </c>
      <c r="AK128" s="4">
        <f t="shared" si="144"/>
        <v>274300</v>
      </c>
      <c r="AL128" s="4">
        <f t="shared" si="145"/>
        <v>1079000</v>
      </c>
      <c r="AM128" s="9">
        <f t="shared" si="146"/>
        <v>1891500</v>
      </c>
    </row>
    <row r="129" spans="1:39" ht="31.5">
      <c r="A129" s="186"/>
      <c r="B129" s="8">
        <v>4</v>
      </c>
      <c r="C129" s="1" t="s">
        <v>248</v>
      </c>
      <c r="D129" s="46" t="s">
        <v>249</v>
      </c>
      <c r="E129" s="4" t="s">
        <v>244</v>
      </c>
      <c r="F129" s="4"/>
      <c r="G129" s="4"/>
      <c r="H129" s="5"/>
      <c r="I129" s="4"/>
      <c r="J129" s="9">
        <f t="shared" si="135"/>
        <v>0</v>
      </c>
      <c r="K129" s="76">
        <v>290000</v>
      </c>
      <c r="L129" s="76">
        <v>1830000</v>
      </c>
      <c r="M129" s="76">
        <v>1500000</v>
      </c>
      <c r="N129" s="76">
        <v>250000</v>
      </c>
      <c r="O129" s="9">
        <f t="shared" si="136"/>
        <v>3870000</v>
      </c>
      <c r="P129" s="20">
        <v>290000</v>
      </c>
      <c r="Q129" s="26">
        <v>2142000</v>
      </c>
      <c r="R129" s="4">
        <v>840000</v>
      </c>
      <c r="S129" s="22">
        <v>540000</v>
      </c>
      <c r="T129" s="9">
        <f t="shared" si="137"/>
        <v>3812000</v>
      </c>
      <c r="U129" s="20">
        <v>195000</v>
      </c>
      <c r="V129" s="25">
        <v>1226050</v>
      </c>
      <c r="W129" s="25">
        <v>607150</v>
      </c>
      <c r="X129" s="24">
        <v>240000</v>
      </c>
      <c r="Y129" s="21">
        <f t="shared" si="138"/>
        <v>2268200</v>
      </c>
      <c r="Z129" s="25"/>
      <c r="AA129" s="21">
        <f t="shared" si="139"/>
        <v>0</v>
      </c>
      <c r="AB129" s="25"/>
      <c r="AC129" s="21">
        <f t="shared" si="140"/>
        <v>0</v>
      </c>
      <c r="AD129" s="25"/>
      <c r="AE129" s="25">
        <v>100000</v>
      </c>
      <c r="AF129" s="25">
        <v>522000</v>
      </c>
      <c r="AG129" s="25"/>
      <c r="AH129" s="21">
        <f t="shared" si="141"/>
        <v>622000</v>
      </c>
      <c r="AI129" s="4">
        <f t="shared" si="142"/>
        <v>775000</v>
      </c>
      <c r="AJ129" s="4">
        <f t="shared" si="143"/>
        <v>5298050</v>
      </c>
      <c r="AK129" s="4">
        <f t="shared" si="144"/>
        <v>3469150</v>
      </c>
      <c r="AL129" s="4">
        <f t="shared" si="145"/>
        <v>1030000</v>
      </c>
      <c r="AM129" s="9">
        <f t="shared" si="146"/>
        <v>10572200</v>
      </c>
    </row>
    <row r="130" spans="1:39" ht="31.5">
      <c r="A130" s="186"/>
      <c r="B130" s="8">
        <v>5</v>
      </c>
      <c r="C130" s="1" t="s">
        <v>250</v>
      </c>
      <c r="D130" s="4" t="s">
        <v>251</v>
      </c>
      <c r="E130" s="4" t="s">
        <v>244</v>
      </c>
      <c r="F130" s="4"/>
      <c r="G130" s="4"/>
      <c r="H130" s="5"/>
      <c r="I130" s="4"/>
      <c r="J130" s="9">
        <f t="shared" si="135"/>
        <v>0</v>
      </c>
      <c r="K130" s="76"/>
      <c r="L130" s="76">
        <v>290000</v>
      </c>
      <c r="M130" s="76"/>
      <c r="N130" s="76"/>
      <c r="O130" s="9">
        <f t="shared" si="136"/>
        <v>290000</v>
      </c>
      <c r="P130" s="20"/>
      <c r="Q130" s="20"/>
      <c r="R130" s="4"/>
      <c r="S130" s="20"/>
      <c r="T130" s="9">
        <f t="shared" si="137"/>
        <v>0</v>
      </c>
      <c r="U130" s="20"/>
      <c r="V130" s="25"/>
      <c r="W130" s="25"/>
      <c r="X130" s="24"/>
      <c r="Y130" s="21">
        <f t="shared" si="138"/>
        <v>0</v>
      </c>
      <c r="Z130" s="25"/>
      <c r="AA130" s="21">
        <f t="shared" si="139"/>
        <v>0</v>
      </c>
      <c r="AB130" s="25"/>
      <c r="AC130" s="21">
        <f t="shared" si="140"/>
        <v>0</v>
      </c>
      <c r="AD130" s="25"/>
      <c r="AE130" s="25"/>
      <c r="AF130" s="25"/>
      <c r="AG130" s="25"/>
      <c r="AH130" s="21">
        <f t="shared" si="141"/>
        <v>0</v>
      </c>
      <c r="AI130" s="4">
        <f t="shared" si="142"/>
        <v>0</v>
      </c>
      <c r="AJ130" s="4">
        <f t="shared" si="143"/>
        <v>290000</v>
      </c>
      <c r="AK130" s="4">
        <f t="shared" si="144"/>
        <v>0</v>
      </c>
      <c r="AL130" s="4">
        <f t="shared" si="145"/>
        <v>0</v>
      </c>
      <c r="AM130" s="9">
        <f t="shared" si="146"/>
        <v>290000</v>
      </c>
    </row>
    <row r="131" spans="1:39" ht="47.25">
      <c r="A131" s="186"/>
      <c r="B131" s="8">
        <v>6</v>
      </c>
      <c r="C131" s="1" t="s">
        <v>252</v>
      </c>
      <c r="D131" s="4" t="s">
        <v>253</v>
      </c>
      <c r="E131" s="4" t="s">
        <v>25</v>
      </c>
      <c r="F131" s="4">
        <v>155000</v>
      </c>
      <c r="G131" s="4"/>
      <c r="H131" s="4">
        <f>891000+110000</f>
        <v>1001000</v>
      </c>
      <c r="I131" s="4"/>
      <c r="J131" s="9">
        <f t="shared" si="135"/>
        <v>1156000</v>
      </c>
      <c r="K131" s="76">
        <v>290000</v>
      </c>
      <c r="L131" s="76"/>
      <c r="M131" s="76">
        <v>1800000</v>
      </c>
      <c r="N131" s="76"/>
      <c r="O131" s="9">
        <f t="shared" si="136"/>
        <v>2090000</v>
      </c>
      <c r="P131" s="20"/>
      <c r="Q131" s="20"/>
      <c r="R131" s="4"/>
      <c r="S131" s="20"/>
      <c r="T131" s="9">
        <f t="shared" si="137"/>
        <v>0</v>
      </c>
      <c r="U131" s="20"/>
      <c r="V131" s="20"/>
      <c r="W131" s="20"/>
      <c r="X131" s="20"/>
      <c r="Y131" s="21">
        <f t="shared" si="138"/>
        <v>0</v>
      </c>
      <c r="Z131" s="25"/>
      <c r="AA131" s="21">
        <f t="shared" si="139"/>
        <v>0</v>
      </c>
      <c r="AB131" s="25"/>
      <c r="AC131" s="21">
        <f t="shared" si="140"/>
        <v>0</v>
      </c>
      <c r="AD131" s="25"/>
      <c r="AE131" s="24">
        <v>100000</v>
      </c>
      <c r="AF131" s="25"/>
      <c r="AG131" s="25"/>
      <c r="AH131" s="21">
        <f t="shared" si="141"/>
        <v>100000</v>
      </c>
      <c r="AI131" s="4">
        <f t="shared" si="142"/>
        <v>445000</v>
      </c>
      <c r="AJ131" s="4">
        <f t="shared" si="143"/>
        <v>100000</v>
      </c>
      <c r="AK131" s="4">
        <f t="shared" si="144"/>
        <v>2801000</v>
      </c>
      <c r="AL131" s="4">
        <f t="shared" si="145"/>
        <v>0</v>
      </c>
      <c r="AM131" s="9">
        <f t="shared" si="146"/>
        <v>3346000</v>
      </c>
    </row>
    <row r="132" spans="1:39" ht="31.5">
      <c r="A132" s="186"/>
      <c r="B132" s="8">
        <v>7</v>
      </c>
      <c r="C132" s="1" t="s">
        <v>2</v>
      </c>
      <c r="D132" s="43" t="s">
        <v>243</v>
      </c>
      <c r="E132" s="4" t="s">
        <v>25</v>
      </c>
      <c r="F132" s="4"/>
      <c r="G132" s="4"/>
      <c r="H132" s="4"/>
      <c r="I132" s="4"/>
      <c r="J132" s="9">
        <f t="shared" si="135"/>
        <v>0</v>
      </c>
      <c r="K132" s="4"/>
      <c r="L132" s="72"/>
      <c r="M132" s="4"/>
      <c r="N132" s="4"/>
      <c r="O132" s="9">
        <f t="shared" si="136"/>
        <v>0</v>
      </c>
      <c r="P132" s="20"/>
      <c r="Q132" s="20">
        <v>290000</v>
      </c>
      <c r="R132" s="4">
        <v>-290000</v>
      </c>
      <c r="S132" s="20"/>
      <c r="T132" s="9">
        <f t="shared" si="137"/>
        <v>0</v>
      </c>
      <c r="U132" s="20"/>
      <c r="V132" s="25">
        <v>195000</v>
      </c>
      <c r="W132" s="20"/>
      <c r="X132" s="20"/>
      <c r="Y132" s="21">
        <f t="shared" si="138"/>
        <v>195000</v>
      </c>
      <c r="Z132" s="25"/>
      <c r="AA132" s="21">
        <f t="shared" si="139"/>
        <v>0</v>
      </c>
      <c r="AB132" s="25"/>
      <c r="AC132" s="21">
        <f t="shared" si="140"/>
        <v>0</v>
      </c>
      <c r="AD132" s="25"/>
      <c r="AE132" s="25"/>
      <c r="AF132" s="25"/>
      <c r="AG132" s="25"/>
      <c r="AH132" s="21">
        <f t="shared" si="141"/>
        <v>0</v>
      </c>
      <c r="AI132" s="4">
        <f t="shared" si="142"/>
        <v>0</v>
      </c>
      <c r="AJ132" s="4">
        <f t="shared" si="143"/>
        <v>485000</v>
      </c>
      <c r="AK132" s="4">
        <f t="shared" si="144"/>
        <v>-290000</v>
      </c>
      <c r="AL132" s="4">
        <f t="shared" si="145"/>
        <v>0</v>
      </c>
      <c r="AM132" s="9">
        <f t="shared" si="146"/>
        <v>195000</v>
      </c>
    </row>
    <row r="133" spans="1:39">
      <c r="A133" s="186"/>
      <c r="B133" s="8">
        <v>8</v>
      </c>
      <c r="C133" s="1" t="s">
        <v>476</v>
      </c>
      <c r="D133" s="43"/>
      <c r="E133" s="4" t="s">
        <v>25</v>
      </c>
      <c r="F133" s="4"/>
      <c r="G133" s="4"/>
      <c r="H133" s="4"/>
      <c r="I133" s="4"/>
      <c r="J133" s="9">
        <f t="shared" si="135"/>
        <v>0</v>
      </c>
      <c r="K133" s="4"/>
      <c r="L133" s="72"/>
      <c r="M133" s="4">
        <v>-200000</v>
      </c>
      <c r="N133" s="4"/>
      <c r="O133" s="9">
        <f t="shared" si="136"/>
        <v>-200000</v>
      </c>
      <c r="P133" s="20"/>
      <c r="Q133" s="20"/>
      <c r="R133" s="4"/>
      <c r="S133" s="20"/>
      <c r="T133" s="9">
        <f t="shared" si="137"/>
        <v>0</v>
      </c>
      <c r="U133" s="20"/>
      <c r="V133" s="25"/>
      <c r="W133" s="20"/>
      <c r="X133" s="20"/>
      <c r="Y133" s="21">
        <f t="shared" si="138"/>
        <v>0</v>
      </c>
      <c r="Z133" s="25"/>
      <c r="AA133" s="21">
        <f t="shared" si="139"/>
        <v>0</v>
      </c>
      <c r="AB133" s="25"/>
      <c r="AC133" s="21">
        <f t="shared" si="140"/>
        <v>0</v>
      </c>
      <c r="AD133" s="25"/>
      <c r="AE133" s="25"/>
      <c r="AF133" s="25"/>
      <c r="AG133" s="25"/>
      <c r="AH133" s="21">
        <f t="shared" si="141"/>
        <v>0</v>
      </c>
      <c r="AI133" s="4">
        <f t="shared" si="142"/>
        <v>0</v>
      </c>
      <c r="AJ133" s="4">
        <f t="shared" si="143"/>
        <v>0</v>
      </c>
      <c r="AK133" s="4">
        <f t="shared" si="144"/>
        <v>-200000</v>
      </c>
      <c r="AL133" s="4">
        <f t="shared" si="145"/>
        <v>0</v>
      </c>
      <c r="AM133" s="9">
        <f t="shared" si="146"/>
        <v>-200000</v>
      </c>
    </row>
    <row r="134" spans="1:39">
      <c r="A134" s="186"/>
      <c r="B134" s="8">
        <v>9</v>
      </c>
      <c r="C134" s="40" t="s">
        <v>254</v>
      </c>
      <c r="D134" s="41" t="s">
        <v>255</v>
      </c>
      <c r="E134" s="4" t="s">
        <v>25</v>
      </c>
      <c r="F134" s="4"/>
      <c r="G134" s="4"/>
      <c r="H134" s="4"/>
      <c r="I134" s="4"/>
      <c r="J134" s="9">
        <f t="shared" si="135"/>
        <v>0</v>
      </c>
      <c r="K134" s="76">
        <v>290000</v>
      </c>
      <c r="L134" s="76">
        <v>1200000</v>
      </c>
      <c r="M134" s="76">
        <v>2060000</v>
      </c>
      <c r="N134" s="76">
        <v>250000</v>
      </c>
      <c r="O134" s="9">
        <f t="shared" si="136"/>
        <v>3800000</v>
      </c>
      <c r="P134" s="20"/>
      <c r="Q134" s="20">
        <v>290000</v>
      </c>
      <c r="R134" s="4">
        <v>1008000</v>
      </c>
      <c r="S134" s="22">
        <v>360000</v>
      </c>
      <c r="T134" s="9">
        <f t="shared" si="137"/>
        <v>1658000</v>
      </c>
      <c r="U134" s="20"/>
      <c r="V134" s="25"/>
      <c r="W134" s="20"/>
      <c r="X134" s="20"/>
      <c r="Y134" s="21">
        <f t="shared" si="138"/>
        <v>0</v>
      </c>
      <c r="Z134" s="25"/>
      <c r="AA134" s="21">
        <f t="shared" si="139"/>
        <v>0</v>
      </c>
      <c r="AB134" s="24">
        <v>900000</v>
      </c>
      <c r="AC134" s="21">
        <f t="shared" si="140"/>
        <v>900000</v>
      </c>
      <c r="AD134" s="25"/>
      <c r="AE134" s="25"/>
      <c r="AF134" s="25"/>
      <c r="AG134" s="25"/>
      <c r="AH134" s="21">
        <f t="shared" si="141"/>
        <v>0</v>
      </c>
      <c r="AI134" s="4">
        <f t="shared" si="142"/>
        <v>290000</v>
      </c>
      <c r="AJ134" s="4">
        <f t="shared" si="143"/>
        <v>1490000</v>
      </c>
      <c r="AK134" s="4">
        <f t="shared" si="144"/>
        <v>3068000</v>
      </c>
      <c r="AL134" s="4">
        <f t="shared" si="145"/>
        <v>1510000</v>
      </c>
      <c r="AM134" s="9">
        <f t="shared" si="146"/>
        <v>6358000</v>
      </c>
    </row>
    <row r="135" spans="1:39" ht="31.5">
      <c r="A135" s="186"/>
      <c r="B135" s="8">
        <v>10</v>
      </c>
      <c r="C135" s="1" t="s">
        <v>256</v>
      </c>
      <c r="D135" s="4" t="s">
        <v>257</v>
      </c>
      <c r="E135" s="4" t="s">
        <v>258</v>
      </c>
      <c r="F135" s="4"/>
      <c r="G135" s="4">
        <v>298000</v>
      </c>
      <c r="H135" s="4">
        <v>60000</v>
      </c>
      <c r="I135" s="4">
        <v>200000</v>
      </c>
      <c r="J135" s="9">
        <f t="shared" si="135"/>
        <v>558000</v>
      </c>
      <c r="K135" s="4"/>
      <c r="L135" s="72"/>
      <c r="M135" s="4"/>
      <c r="N135" s="4"/>
      <c r="O135" s="9">
        <f t="shared" si="136"/>
        <v>0</v>
      </c>
      <c r="P135" s="20"/>
      <c r="Q135" s="20"/>
      <c r="R135" s="20"/>
      <c r="S135" s="20"/>
      <c r="T135" s="9">
        <f t="shared" si="137"/>
        <v>0</v>
      </c>
      <c r="U135" s="20"/>
      <c r="V135" s="25">
        <v>330800</v>
      </c>
      <c r="W135" s="20"/>
      <c r="X135" s="20">
        <v>450000</v>
      </c>
      <c r="Y135" s="21">
        <f t="shared" si="138"/>
        <v>780800</v>
      </c>
      <c r="Z135" s="25">
        <v>315000</v>
      </c>
      <c r="AA135" s="21">
        <f t="shared" si="139"/>
        <v>315000</v>
      </c>
      <c r="AB135" s="25"/>
      <c r="AC135" s="21">
        <f t="shared" si="140"/>
        <v>0</v>
      </c>
      <c r="AD135" s="25"/>
      <c r="AE135" s="25"/>
      <c r="AF135" s="25"/>
      <c r="AG135" s="25"/>
      <c r="AH135" s="21">
        <f t="shared" si="141"/>
        <v>0</v>
      </c>
      <c r="AI135" s="4">
        <f t="shared" si="142"/>
        <v>0</v>
      </c>
      <c r="AJ135" s="4">
        <f t="shared" si="143"/>
        <v>628800</v>
      </c>
      <c r="AK135" s="4">
        <f t="shared" si="144"/>
        <v>60000</v>
      </c>
      <c r="AL135" s="4">
        <f t="shared" si="145"/>
        <v>965000</v>
      </c>
      <c r="AM135" s="9">
        <f t="shared" si="146"/>
        <v>1653800</v>
      </c>
    </row>
    <row r="136" spans="1:39" ht="31.5">
      <c r="A136" s="186"/>
      <c r="B136" s="8">
        <v>11</v>
      </c>
      <c r="C136" s="1" t="s">
        <v>259</v>
      </c>
      <c r="D136" s="4" t="s">
        <v>260</v>
      </c>
      <c r="E136" s="4" t="s">
        <v>258</v>
      </c>
      <c r="F136" s="4">
        <v>155000</v>
      </c>
      <c r="G136" s="4">
        <v>789000</v>
      </c>
      <c r="H136" s="4">
        <f>71500+71500</f>
        <v>143000</v>
      </c>
      <c r="I136" s="4">
        <f>100000+120000+20000</f>
        <v>240000</v>
      </c>
      <c r="J136" s="9">
        <f t="shared" si="135"/>
        <v>1327000</v>
      </c>
      <c r="K136" s="4"/>
      <c r="L136" s="72"/>
      <c r="M136" s="4"/>
      <c r="N136" s="4"/>
      <c r="O136" s="9">
        <f t="shared" si="136"/>
        <v>0</v>
      </c>
      <c r="P136" s="20"/>
      <c r="Q136" s="20"/>
      <c r="R136" s="20"/>
      <c r="S136" s="20"/>
      <c r="T136" s="9">
        <f t="shared" si="137"/>
        <v>0</v>
      </c>
      <c r="U136" s="20"/>
      <c r="V136" s="25">
        <v>1145600</v>
      </c>
      <c r="W136" s="25">
        <v>916650</v>
      </c>
      <c r="X136" s="20"/>
      <c r="Y136" s="21">
        <f t="shared" si="138"/>
        <v>2062250</v>
      </c>
      <c r="Z136" s="25">
        <v>1155000</v>
      </c>
      <c r="AA136" s="21">
        <f t="shared" si="139"/>
        <v>1155000</v>
      </c>
      <c r="AB136" s="25"/>
      <c r="AC136" s="21">
        <f t="shared" si="140"/>
        <v>0</v>
      </c>
      <c r="AD136" s="25"/>
      <c r="AE136" s="25"/>
      <c r="AF136" s="25">
        <v>100000</v>
      </c>
      <c r="AG136" s="25"/>
      <c r="AH136" s="21">
        <f t="shared" si="141"/>
        <v>100000</v>
      </c>
      <c r="AI136" s="4">
        <f t="shared" si="142"/>
        <v>155000</v>
      </c>
      <c r="AJ136" s="4">
        <f t="shared" si="143"/>
        <v>1934600</v>
      </c>
      <c r="AK136" s="4">
        <f t="shared" si="144"/>
        <v>1159650</v>
      </c>
      <c r="AL136" s="4">
        <f t="shared" si="145"/>
        <v>1395000</v>
      </c>
      <c r="AM136" s="9">
        <f t="shared" si="146"/>
        <v>4644250</v>
      </c>
    </row>
    <row r="137" spans="1:39" ht="31.5">
      <c r="A137" s="186"/>
      <c r="B137" s="8">
        <v>12</v>
      </c>
      <c r="C137" s="1" t="s">
        <v>259</v>
      </c>
      <c r="D137" s="4" t="s">
        <v>246</v>
      </c>
      <c r="E137" s="4" t="s">
        <v>258</v>
      </c>
      <c r="F137" s="4"/>
      <c r="G137" s="4"/>
      <c r="H137" s="4">
        <f>155000+453000</f>
        <v>608000</v>
      </c>
      <c r="I137" s="4"/>
      <c r="J137" s="9">
        <f t="shared" si="135"/>
        <v>608000</v>
      </c>
      <c r="K137" s="4"/>
      <c r="L137" s="72"/>
      <c r="M137" s="4"/>
      <c r="N137" s="4"/>
      <c r="O137" s="9">
        <f t="shared" si="136"/>
        <v>0</v>
      </c>
      <c r="P137" s="20"/>
      <c r="Q137" s="20"/>
      <c r="R137" s="20"/>
      <c r="S137" s="20"/>
      <c r="T137" s="9">
        <f t="shared" si="137"/>
        <v>0</v>
      </c>
      <c r="U137" s="20"/>
      <c r="V137" s="20"/>
      <c r="W137" s="20"/>
      <c r="X137" s="20">
        <v>180000</v>
      </c>
      <c r="Y137" s="21">
        <f t="shared" si="138"/>
        <v>180000</v>
      </c>
      <c r="Z137" s="25"/>
      <c r="AA137" s="21">
        <f t="shared" si="139"/>
        <v>0</v>
      </c>
      <c r="AB137" s="25"/>
      <c r="AC137" s="21">
        <f t="shared" si="140"/>
        <v>0</v>
      </c>
      <c r="AD137" s="25"/>
      <c r="AE137" s="25"/>
      <c r="AF137" s="25"/>
      <c r="AG137" s="25"/>
      <c r="AH137" s="21">
        <f t="shared" si="141"/>
        <v>0</v>
      </c>
      <c r="AI137" s="4">
        <f t="shared" si="142"/>
        <v>0</v>
      </c>
      <c r="AJ137" s="4">
        <f t="shared" si="143"/>
        <v>0</v>
      </c>
      <c r="AK137" s="4">
        <f t="shared" si="144"/>
        <v>608000</v>
      </c>
      <c r="AL137" s="4">
        <f t="shared" si="145"/>
        <v>180000</v>
      </c>
      <c r="AM137" s="9">
        <f t="shared" si="146"/>
        <v>788000</v>
      </c>
    </row>
    <row r="138" spans="1:39">
      <c r="A138" s="186"/>
      <c r="B138" s="8">
        <v>13</v>
      </c>
      <c r="C138" s="42" t="s">
        <v>261</v>
      </c>
      <c r="D138" s="43" t="s">
        <v>262</v>
      </c>
      <c r="E138" s="4" t="s">
        <v>258</v>
      </c>
      <c r="F138" s="4"/>
      <c r="G138" s="4"/>
      <c r="H138" s="4"/>
      <c r="I138" s="4"/>
      <c r="J138" s="9">
        <f t="shared" si="135"/>
        <v>0</v>
      </c>
      <c r="K138" s="4"/>
      <c r="L138" s="72"/>
      <c r="M138" s="4"/>
      <c r="N138" s="4"/>
      <c r="O138" s="9">
        <f t="shared" si="136"/>
        <v>0</v>
      </c>
      <c r="P138" s="20"/>
      <c r="Q138" s="20"/>
      <c r="R138" s="4">
        <v>290000</v>
      </c>
      <c r="S138" s="20">
        <v>1080000</v>
      </c>
      <c r="T138" s="9">
        <f t="shared" si="137"/>
        <v>1370000</v>
      </c>
      <c r="U138" s="20"/>
      <c r="V138" s="20"/>
      <c r="W138" s="20"/>
      <c r="X138" s="20"/>
      <c r="Y138" s="21">
        <f t="shared" si="138"/>
        <v>0</v>
      </c>
      <c r="Z138" s="25"/>
      <c r="AA138" s="21">
        <f t="shared" si="139"/>
        <v>0</v>
      </c>
      <c r="AB138" s="25"/>
      <c r="AC138" s="21">
        <f t="shared" si="140"/>
        <v>0</v>
      </c>
      <c r="AD138" s="25"/>
      <c r="AE138" s="25"/>
      <c r="AF138" s="25"/>
      <c r="AG138" s="25"/>
      <c r="AH138" s="21">
        <f t="shared" si="141"/>
        <v>0</v>
      </c>
      <c r="AI138" s="4">
        <f t="shared" si="142"/>
        <v>0</v>
      </c>
      <c r="AJ138" s="4">
        <f t="shared" si="143"/>
        <v>0</v>
      </c>
      <c r="AK138" s="4">
        <f t="shared" si="144"/>
        <v>290000</v>
      </c>
      <c r="AL138" s="4">
        <f t="shared" si="145"/>
        <v>1080000</v>
      </c>
      <c r="AM138" s="9">
        <f t="shared" si="146"/>
        <v>1370000</v>
      </c>
    </row>
    <row r="139" spans="1:39">
      <c r="A139" s="186"/>
      <c r="B139" s="8">
        <v>14</v>
      </c>
      <c r="C139" s="44" t="s">
        <v>263</v>
      </c>
      <c r="D139" s="45" t="s">
        <v>264</v>
      </c>
      <c r="E139" s="4" t="s">
        <v>258</v>
      </c>
      <c r="F139" s="4"/>
      <c r="G139" s="4"/>
      <c r="H139" s="4"/>
      <c r="I139" s="4"/>
      <c r="J139" s="9">
        <f t="shared" si="135"/>
        <v>0</v>
      </c>
      <c r="K139" s="76"/>
      <c r="L139" s="76"/>
      <c r="M139" s="76">
        <v>430000</v>
      </c>
      <c r="N139" s="76">
        <v>250000</v>
      </c>
      <c r="O139" s="9">
        <f t="shared" si="136"/>
        <v>680000</v>
      </c>
      <c r="P139" s="20"/>
      <c r="Q139" s="20"/>
      <c r="R139" s="20"/>
      <c r="S139" s="20"/>
      <c r="T139" s="9">
        <f t="shared" si="137"/>
        <v>0</v>
      </c>
      <c r="U139" s="20"/>
      <c r="V139" s="20"/>
      <c r="W139" s="20"/>
      <c r="X139" s="20"/>
      <c r="Y139" s="21">
        <f t="shared" si="138"/>
        <v>0</v>
      </c>
      <c r="Z139" s="25"/>
      <c r="AA139" s="21">
        <f t="shared" si="139"/>
        <v>0</v>
      </c>
      <c r="AB139" s="25"/>
      <c r="AC139" s="21">
        <f t="shared" si="140"/>
        <v>0</v>
      </c>
      <c r="AD139" s="25"/>
      <c r="AE139" s="25"/>
      <c r="AF139" s="25"/>
      <c r="AG139" s="25"/>
      <c r="AH139" s="21">
        <f t="shared" si="141"/>
        <v>0</v>
      </c>
      <c r="AI139" s="4">
        <f t="shared" si="142"/>
        <v>0</v>
      </c>
      <c r="AJ139" s="4">
        <f t="shared" si="143"/>
        <v>0</v>
      </c>
      <c r="AK139" s="4">
        <f t="shared" si="144"/>
        <v>430000</v>
      </c>
      <c r="AL139" s="4">
        <f t="shared" si="145"/>
        <v>250000</v>
      </c>
      <c r="AM139" s="9">
        <f t="shared" si="146"/>
        <v>680000</v>
      </c>
    </row>
    <row r="140" spans="1:39">
      <c r="A140" s="186"/>
      <c r="B140" s="8">
        <v>15</v>
      </c>
      <c r="C140" s="40" t="s">
        <v>265</v>
      </c>
      <c r="D140" s="47" t="s">
        <v>266</v>
      </c>
      <c r="E140" s="4" t="s">
        <v>258</v>
      </c>
      <c r="F140" s="4"/>
      <c r="G140" s="4"/>
      <c r="H140" s="4"/>
      <c r="I140" s="4"/>
      <c r="J140" s="9">
        <f t="shared" si="135"/>
        <v>0</v>
      </c>
      <c r="K140" s="76"/>
      <c r="L140" s="76">
        <v>1890000</v>
      </c>
      <c r="M140" s="76">
        <v>200000</v>
      </c>
      <c r="N140" s="76"/>
      <c r="O140" s="9">
        <f t="shared" si="136"/>
        <v>2090000</v>
      </c>
      <c r="P140" s="20"/>
      <c r="Q140" s="20"/>
      <c r="R140" s="20"/>
      <c r="S140" s="20"/>
      <c r="T140" s="9">
        <f t="shared" si="137"/>
        <v>0</v>
      </c>
      <c r="U140" s="20"/>
      <c r="V140" s="20"/>
      <c r="W140" s="20"/>
      <c r="X140" s="20"/>
      <c r="Y140" s="21">
        <f t="shared" si="138"/>
        <v>0</v>
      </c>
      <c r="Z140" s="25"/>
      <c r="AA140" s="21">
        <f t="shared" si="139"/>
        <v>0</v>
      </c>
      <c r="AB140" s="25"/>
      <c r="AC140" s="21">
        <f t="shared" si="140"/>
        <v>0</v>
      </c>
      <c r="AD140" s="25"/>
      <c r="AE140" s="25"/>
      <c r="AF140" s="25">
        <v>100000</v>
      </c>
      <c r="AG140" s="25"/>
      <c r="AH140" s="21">
        <f t="shared" si="141"/>
        <v>100000</v>
      </c>
      <c r="AI140" s="4">
        <f t="shared" si="142"/>
        <v>0</v>
      </c>
      <c r="AJ140" s="4">
        <f t="shared" si="143"/>
        <v>1890000</v>
      </c>
      <c r="AK140" s="4">
        <f t="shared" si="144"/>
        <v>300000</v>
      </c>
      <c r="AL140" s="4">
        <f t="shared" si="145"/>
        <v>0</v>
      </c>
      <c r="AM140" s="9">
        <f t="shared" si="146"/>
        <v>2190000</v>
      </c>
    </row>
    <row r="141" spans="1:39" ht="31.5">
      <c r="A141" s="187"/>
      <c r="B141" s="8">
        <v>16</v>
      </c>
      <c r="C141" s="1" t="s">
        <v>267</v>
      </c>
      <c r="D141" s="4" t="s">
        <v>268</v>
      </c>
      <c r="E141" s="4" t="s">
        <v>25</v>
      </c>
      <c r="F141" s="4"/>
      <c r="G141" s="4">
        <v>776500</v>
      </c>
      <c r="H141" s="4">
        <f>82500+159500+341000</f>
        <v>583000</v>
      </c>
      <c r="I141" s="4">
        <v>100000</v>
      </c>
      <c r="J141" s="9">
        <f t="shared" si="135"/>
        <v>1459500</v>
      </c>
      <c r="K141" s="76"/>
      <c r="L141" s="76">
        <v>1510000</v>
      </c>
      <c r="M141" s="76">
        <v>1530000</v>
      </c>
      <c r="N141" s="76">
        <f>(250000)-140000</f>
        <v>110000</v>
      </c>
      <c r="O141" s="9">
        <f t="shared" si="136"/>
        <v>3150000</v>
      </c>
      <c r="P141" s="20"/>
      <c r="Q141" s="20"/>
      <c r="R141" s="20"/>
      <c r="S141" s="20"/>
      <c r="T141" s="9">
        <f t="shared" si="137"/>
        <v>0</v>
      </c>
      <c r="U141" s="20"/>
      <c r="V141" s="25">
        <v>898250</v>
      </c>
      <c r="W141" s="25">
        <v>572300</v>
      </c>
      <c r="X141" s="25">
        <v>150000</v>
      </c>
      <c r="Y141" s="21">
        <f t="shared" si="138"/>
        <v>1620550</v>
      </c>
      <c r="Z141" s="25"/>
      <c r="AA141" s="21">
        <f t="shared" si="139"/>
        <v>0</v>
      </c>
      <c r="AB141" s="25"/>
      <c r="AC141" s="21">
        <f t="shared" si="140"/>
        <v>0</v>
      </c>
      <c r="AD141" s="25"/>
      <c r="AE141" s="25"/>
      <c r="AF141" s="25"/>
      <c r="AG141" s="25"/>
      <c r="AH141" s="21">
        <f t="shared" si="141"/>
        <v>0</v>
      </c>
      <c r="AI141" s="4">
        <f t="shared" si="142"/>
        <v>0</v>
      </c>
      <c r="AJ141" s="4">
        <f t="shared" si="143"/>
        <v>3184750</v>
      </c>
      <c r="AK141" s="4">
        <f t="shared" si="144"/>
        <v>2685300</v>
      </c>
      <c r="AL141" s="4">
        <f t="shared" si="145"/>
        <v>360000</v>
      </c>
      <c r="AM141" s="9">
        <f t="shared" si="146"/>
        <v>6230050</v>
      </c>
    </row>
    <row r="142" spans="1:39" s="38" customFormat="1">
      <c r="A142" s="34"/>
      <c r="B142" s="85"/>
      <c r="C142" s="35" t="s">
        <v>269</v>
      </c>
      <c r="D142" s="37"/>
      <c r="E142" s="37"/>
      <c r="F142" s="37">
        <f>SUM(F126:F141)</f>
        <v>310000</v>
      </c>
      <c r="G142" s="37">
        <f t="shared" ref="G142:AM142" si="147">SUM(G126:G141)</f>
        <v>1863500</v>
      </c>
      <c r="H142" s="37">
        <f t="shared" si="147"/>
        <v>2550000</v>
      </c>
      <c r="I142" s="37">
        <f t="shared" si="147"/>
        <v>540000</v>
      </c>
      <c r="J142" s="37">
        <f t="shared" si="147"/>
        <v>5263500</v>
      </c>
      <c r="K142" s="37">
        <f t="shared" si="147"/>
        <v>870000</v>
      </c>
      <c r="L142" s="37">
        <f t="shared" si="147"/>
        <v>8410000</v>
      </c>
      <c r="M142" s="37">
        <f t="shared" si="147"/>
        <v>8610000</v>
      </c>
      <c r="N142" s="37">
        <f t="shared" si="147"/>
        <v>1010000</v>
      </c>
      <c r="O142" s="37">
        <f t="shared" si="147"/>
        <v>18900000</v>
      </c>
      <c r="P142" s="37">
        <f t="shared" si="147"/>
        <v>290000</v>
      </c>
      <c r="Q142" s="37">
        <f t="shared" si="147"/>
        <v>4111000</v>
      </c>
      <c r="R142" s="37">
        <f t="shared" si="147"/>
        <v>3218000</v>
      </c>
      <c r="S142" s="37">
        <f t="shared" si="147"/>
        <v>2400000</v>
      </c>
      <c r="T142" s="37">
        <f t="shared" si="147"/>
        <v>10019000</v>
      </c>
      <c r="U142" s="37">
        <f t="shared" si="147"/>
        <v>195000</v>
      </c>
      <c r="V142" s="37">
        <f t="shared" si="147"/>
        <v>4428900</v>
      </c>
      <c r="W142" s="37">
        <f t="shared" si="147"/>
        <v>2370400</v>
      </c>
      <c r="X142" s="37">
        <f t="shared" si="147"/>
        <v>1979000</v>
      </c>
      <c r="Y142" s="37">
        <f t="shared" si="147"/>
        <v>8973300</v>
      </c>
      <c r="Z142" s="37">
        <f t="shared" si="147"/>
        <v>1470000</v>
      </c>
      <c r="AA142" s="37">
        <f t="shared" si="147"/>
        <v>1470000</v>
      </c>
      <c r="AB142" s="37">
        <f t="shared" si="147"/>
        <v>1800000</v>
      </c>
      <c r="AC142" s="37">
        <f t="shared" si="147"/>
        <v>1800000</v>
      </c>
      <c r="AD142" s="37">
        <f t="shared" si="147"/>
        <v>0</v>
      </c>
      <c r="AE142" s="37">
        <f t="shared" si="147"/>
        <v>757600</v>
      </c>
      <c r="AF142" s="37">
        <f t="shared" si="147"/>
        <v>1262000</v>
      </c>
      <c r="AG142" s="37">
        <f t="shared" si="147"/>
        <v>120000</v>
      </c>
      <c r="AH142" s="37">
        <f t="shared" si="147"/>
        <v>2139600</v>
      </c>
      <c r="AI142" s="37">
        <f t="shared" si="147"/>
        <v>1665000</v>
      </c>
      <c r="AJ142" s="37">
        <f t="shared" si="147"/>
        <v>19571000</v>
      </c>
      <c r="AK142" s="37">
        <f t="shared" si="147"/>
        <v>18010400</v>
      </c>
      <c r="AL142" s="37">
        <f t="shared" si="147"/>
        <v>9319000</v>
      </c>
      <c r="AM142" s="37">
        <f t="shared" si="147"/>
        <v>48565400</v>
      </c>
    </row>
    <row r="143" spans="1:39" ht="31.5">
      <c r="A143" s="185" t="s">
        <v>38</v>
      </c>
      <c r="B143" s="8">
        <v>1</v>
      </c>
      <c r="C143" s="1" t="s">
        <v>1</v>
      </c>
      <c r="D143" s="5" t="s">
        <v>415</v>
      </c>
      <c r="E143" s="4" t="s">
        <v>38</v>
      </c>
      <c r="F143" s="4"/>
      <c r="G143" s="4"/>
      <c r="H143" s="5"/>
      <c r="I143" s="4"/>
      <c r="J143" s="9">
        <f t="shared" ref="J143:J144" si="148">SUM(F143:I143)</f>
        <v>0</v>
      </c>
      <c r="K143" s="4"/>
      <c r="L143" s="4"/>
      <c r="M143" s="4"/>
      <c r="N143" s="4"/>
      <c r="O143" s="9">
        <f t="shared" ref="O143:O144" si="149">SUM(K143:N143)</f>
        <v>0</v>
      </c>
      <c r="P143" s="20"/>
      <c r="Q143" s="20"/>
      <c r="R143" s="20"/>
      <c r="S143" s="20"/>
      <c r="T143" s="9">
        <f t="shared" ref="T143:T144" si="150">SUM(P143:S143)</f>
        <v>0</v>
      </c>
      <c r="U143" s="20"/>
      <c r="V143" s="25">
        <v>694100</v>
      </c>
      <c r="W143" s="25">
        <v>478450</v>
      </c>
      <c r="X143" s="24">
        <v>570000</v>
      </c>
      <c r="Y143" s="21">
        <f t="shared" ref="Y143:Y144" si="151">SUM(U143:X143)</f>
        <v>1742550</v>
      </c>
      <c r="Z143" s="25"/>
      <c r="AA143" s="21">
        <f>SUM(Z143:Z143)</f>
        <v>0</v>
      </c>
      <c r="AB143" s="25"/>
      <c r="AC143" s="21">
        <f>SUM(AB143:AB143)</f>
        <v>0</v>
      </c>
      <c r="AD143" s="25"/>
      <c r="AE143" s="25"/>
      <c r="AF143" s="25"/>
      <c r="AG143" s="25"/>
      <c r="AH143" s="21">
        <f t="shared" ref="AH143:AH144" si="152">SUM(AD143:AG143)</f>
        <v>0</v>
      </c>
      <c r="AI143" s="4">
        <f t="shared" ref="AI143:AK144" si="153">F143+K143+P143+U143+AD143</f>
        <v>0</v>
      </c>
      <c r="AJ143" s="4">
        <f t="shared" si="153"/>
        <v>694100</v>
      </c>
      <c r="AK143" s="4">
        <f t="shared" si="153"/>
        <v>478450</v>
      </c>
      <c r="AL143" s="4">
        <f>I143+N143+S143+X143+Z143+AB143+AG143</f>
        <v>570000</v>
      </c>
      <c r="AM143" s="9">
        <f t="shared" ref="AM143:AM144" si="154">SUM(AI143:AL143)</f>
        <v>1742550</v>
      </c>
    </row>
    <row r="144" spans="1:39">
      <c r="A144" s="187"/>
      <c r="B144" s="8">
        <v>2</v>
      </c>
      <c r="C144" s="1" t="s">
        <v>6</v>
      </c>
      <c r="D144" s="4" t="s">
        <v>37</v>
      </c>
      <c r="E144" s="4" t="s">
        <v>38</v>
      </c>
      <c r="F144" s="4"/>
      <c r="G144" s="4">
        <v>155000</v>
      </c>
      <c r="H144" s="4">
        <f>47000+98000+209000</f>
        <v>354000</v>
      </c>
      <c r="I144" s="4">
        <f>80000+20000+20000</f>
        <v>120000</v>
      </c>
      <c r="J144" s="9">
        <f t="shared" si="148"/>
        <v>629000</v>
      </c>
      <c r="K144" s="4"/>
      <c r="L144" s="4"/>
      <c r="M144" s="4"/>
      <c r="N144" s="4"/>
      <c r="O144" s="9">
        <f t="shared" si="149"/>
        <v>0</v>
      </c>
      <c r="P144" s="20"/>
      <c r="Q144" s="20"/>
      <c r="R144" s="20"/>
      <c r="S144" s="20"/>
      <c r="T144" s="9">
        <f t="shared" si="150"/>
        <v>0</v>
      </c>
      <c r="U144" s="20"/>
      <c r="V144" s="20">
        <v>287625</v>
      </c>
      <c r="W144" s="25">
        <v>488550</v>
      </c>
      <c r="X144" s="24">
        <v>180000</v>
      </c>
      <c r="Y144" s="21">
        <f t="shared" si="151"/>
        <v>956175</v>
      </c>
      <c r="Z144" s="25">
        <f>315000+210000+105000</f>
        <v>630000</v>
      </c>
      <c r="AA144" s="21">
        <f>SUM(Z144:Z144)</f>
        <v>630000</v>
      </c>
      <c r="AB144" s="25"/>
      <c r="AC144" s="21">
        <f>SUM(AB144:AB144)</f>
        <v>0</v>
      </c>
      <c r="AD144" s="25"/>
      <c r="AE144" s="25"/>
      <c r="AF144" s="25"/>
      <c r="AG144" s="25"/>
      <c r="AH144" s="21">
        <f t="shared" si="152"/>
        <v>0</v>
      </c>
      <c r="AI144" s="4">
        <f t="shared" si="153"/>
        <v>0</v>
      </c>
      <c r="AJ144" s="4">
        <f t="shared" si="153"/>
        <v>442625</v>
      </c>
      <c r="AK144" s="4">
        <f t="shared" si="153"/>
        <v>842550</v>
      </c>
      <c r="AL144" s="4">
        <f>I144+N144+S144+X144+Z144+AB144+AG144</f>
        <v>930000</v>
      </c>
      <c r="AM144" s="9">
        <f t="shared" si="154"/>
        <v>2215175</v>
      </c>
    </row>
    <row r="145" spans="1:39" s="38" customFormat="1">
      <c r="A145" s="34"/>
      <c r="B145" s="85"/>
      <c r="C145" s="35" t="s">
        <v>270</v>
      </c>
      <c r="D145" s="37"/>
      <c r="E145" s="37"/>
      <c r="F145" s="37">
        <f>SUM(F143:F144)</f>
        <v>0</v>
      </c>
      <c r="G145" s="37">
        <f t="shared" ref="G145:AM145" si="155">SUM(G143:G144)</f>
        <v>155000</v>
      </c>
      <c r="H145" s="37">
        <f t="shared" si="155"/>
        <v>354000</v>
      </c>
      <c r="I145" s="37">
        <f t="shared" si="155"/>
        <v>120000</v>
      </c>
      <c r="J145" s="37">
        <f t="shared" si="155"/>
        <v>629000</v>
      </c>
      <c r="K145" s="37">
        <f t="shared" si="155"/>
        <v>0</v>
      </c>
      <c r="L145" s="37">
        <f t="shared" si="155"/>
        <v>0</v>
      </c>
      <c r="M145" s="37">
        <f t="shared" si="155"/>
        <v>0</v>
      </c>
      <c r="N145" s="37">
        <f t="shared" si="155"/>
        <v>0</v>
      </c>
      <c r="O145" s="37">
        <f t="shared" si="155"/>
        <v>0</v>
      </c>
      <c r="P145" s="37">
        <f t="shared" si="155"/>
        <v>0</v>
      </c>
      <c r="Q145" s="37">
        <f t="shared" si="155"/>
        <v>0</v>
      </c>
      <c r="R145" s="37">
        <f t="shared" si="155"/>
        <v>0</v>
      </c>
      <c r="S145" s="37">
        <f t="shared" si="155"/>
        <v>0</v>
      </c>
      <c r="T145" s="37">
        <f t="shared" si="155"/>
        <v>0</v>
      </c>
      <c r="U145" s="37">
        <f t="shared" si="155"/>
        <v>0</v>
      </c>
      <c r="V145" s="37">
        <f t="shared" si="155"/>
        <v>981725</v>
      </c>
      <c r="W145" s="37">
        <f t="shared" si="155"/>
        <v>967000</v>
      </c>
      <c r="X145" s="37">
        <f t="shared" si="155"/>
        <v>750000</v>
      </c>
      <c r="Y145" s="37">
        <f t="shared" si="155"/>
        <v>2698725</v>
      </c>
      <c r="Z145" s="37">
        <f t="shared" si="155"/>
        <v>630000</v>
      </c>
      <c r="AA145" s="37">
        <f t="shared" si="155"/>
        <v>630000</v>
      </c>
      <c r="AB145" s="37">
        <f t="shared" si="155"/>
        <v>0</v>
      </c>
      <c r="AC145" s="37">
        <f t="shared" si="155"/>
        <v>0</v>
      </c>
      <c r="AD145" s="37">
        <f t="shared" si="155"/>
        <v>0</v>
      </c>
      <c r="AE145" s="37">
        <f t="shared" si="155"/>
        <v>0</v>
      </c>
      <c r="AF145" s="37">
        <f t="shared" si="155"/>
        <v>0</v>
      </c>
      <c r="AG145" s="37">
        <f t="shared" si="155"/>
        <v>0</v>
      </c>
      <c r="AH145" s="37">
        <f t="shared" si="155"/>
        <v>0</v>
      </c>
      <c r="AI145" s="37">
        <f t="shared" si="155"/>
        <v>0</v>
      </c>
      <c r="AJ145" s="37">
        <f t="shared" si="155"/>
        <v>1136725</v>
      </c>
      <c r="AK145" s="37">
        <f t="shared" si="155"/>
        <v>1321000</v>
      </c>
      <c r="AL145" s="37">
        <f t="shared" si="155"/>
        <v>1500000</v>
      </c>
      <c r="AM145" s="37">
        <f t="shared" si="155"/>
        <v>3957725</v>
      </c>
    </row>
    <row r="146" spans="1:39" ht="31.5">
      <c r="A146" s="82" t="s">
        <v>271</v>
      </c>
      <c r="B146" s="8">
        <v>1</v>
      </c>
      <c r="C146" s="44" t="s">
        <v>272</v>
      </c>
      <c r="D146" s="45" t="s">
        <v>271</v>
      </c>
      <c r="E146" s="45" t="s">
        <v>273</v>
      </c>
      <c r="F146" s="4"/>
      <c r="G146" s="4"/>
      <c r="H146" s="5"/>
      <c r="I146" s="4"/>
      <c r="J146" s="9">
        <f>SUM(F146:I146)</f>
        <v>0</v>
      </c>
      <c r="K146" s="76"/>
      <c r="L146" s="76"/>
      <c r="M146" s="76">
        <v>290000</v>
      </c>
      <c r="N146" s="76"/>
      <c r="O146" s="9">
        <f>SUM(K146:N146)</f>
        <v>290000</v>
      </c>
      <c r="P146" s="20"/>
      <c r="Q146" s="20"/>
      <c r="R146" s="20"/>
      <c r="S146" s="20"/>
      <c r="T146" s="9">
        <f>SUM(P146:S146)</f>
        <v>0</v>
      </c>
      <c r="U146" s="20"/>
      <c r="V146" s="20"/>
      <c r="W146" s="25"/>
      <c r="X146" s="25"/>
      <c r="Y146" s="21">
        <f>SUM(U146:X146)</f>
        <v>0</v>
      </c>
      <c r="Z146" s="25"/>
      <c r="AA146" s="21">
        <f>SUM(Z146:Z146)</f>
        <v>0</v>
      </c>
      <c r="AB146" s="25"/>
      <c r="AC146" s="21">
        <f>SUM(AB146:AB146)</f>
        <v>0</v>
      </c>
      <c r="AD146" s="25"/>
      <c r="AE146" s="25"/>
      <c r="AF146" s="25"/>
      <c r="AG146" s="25"/>
      <c r="AH146" s="21">
        <f>SUM(AD146:AG146)</f>
        <v>0</v>
      </c>
      <c r="AI146" s="4">
        <f>F146+K146+P146+U146+AD146</f>
        <v>0</v>
      </c>
      <c r="AJ146" s="4">
        <f>G146+L146+Q146+V146+AE146</f>
        <v>0</v>
      </c>
      <c r="AK146" s="4">
        <f>H146+M146+R146+W146+AF146</f>
        <v>290000</v>
      </c>
      <c r="AL146" s="4">
        <f>I146+N146+S146+X146+Z146+AB146+AG146</f>
        <v>0</v>
      </c>
      <c r="AM146" s="9">
        <f>SUM(AI146:AL146)</f>
        <v>290000</v>
      </c>
    </row>
    <row r="147" spans="1:39" s="38" customFormat="1">
      <c r="A147" s="34"/>
      <c r="B147" s="85"/>
      <c r="C147" s="48" t="s">
        <v>274</v>
      </c>
      <c r="D147" s="49"/>
      <c r="E147" s="49"/>
      <c r="F147" s="37">
        <f>SUM(F146)</f>
        <v>0</v>
      </c>
      <c r="G147" s="37">
        <f t="shared" ref="G147:AM147" si="156">SUM(G146)</f>
        <v>0</v>
      </c>
      <c r="H147" s="37">
        <f t="shared" si="156"/>
        <v>0</v>
      </c>
      <c r="I147" s="37">
        <f t="shared" si="156"/>
        <v>0</v>
      </c>
      <c r="J147" s="37">
        <f t="shared" si="156"/>
        <v>0</v>
      </c>
      <c r="K147" s="37">
        <f t="shared" si="156"/>
        <v>0</v>
      </c>
      <c r="L147" s="37">
        <f t="shared" si="156"/>
        <v>0</v>
      </c>
      <c r="M147" s="37">
        <f t="shared" si="156"/>
        <v>290000</v>
      </c>
      <c r="N147" s="37">
        <f t="shared" si="156"/>
        <v>0</v>
      </c>
      <c r="O147" s="37">
        <f t="shared" si="156"/>
        <v>290000</v>
      </c>
      <c r="P147" s="37">
        <f t="shared" si="156"/>
        <v>0</v>
      </c>
      <c r="Q147" s="37">
        <f t="shared" si="156"/>
        <v>0</v>
      </c>
      <c r="R147" s="37">
        <f t="shared" si="156"/>
        <v>0</v>
      </c>
      <c r="S147" s="37">
        <f t="shared" si="156"/>
        <v>0</v>
      </c>
      <c r="T147" s="37">
        <f t="shared" si="156"/>
        <v>0</v>
      </c>
      <c r="U147" s="37">
        <f t="shared" si="156"/>
        <v>0</v>
      </c>
      <c r="V147" s="37">
        <f t="shared" si="156"/>
        <v>0</v>
      </c>
      <c r="W147" s="37">
        <f t="shared" si="156"/>
        <v>0</v>
      </c>
      <c r="X147" s="37">
        <f t="shared" si="156"/>
        <v>0</v>
      </c>
      <c r="Y147" s="37">
        <f t="shared" si="156"/>
        <v>0</v>
      </c>
      <c r="Z147" s="37">
        <f t="shared" si="156"/>
        <v>0</v>
      </c>
      <c r="AA147" s="37">
        <f t="shared" si="156"/>
        <v>0</v>
      </c>
      <c r="AB147" s="37">
        <f t="shared" si="156"/>
        <v>0</v>
      </c>
      <c r="AC147" s="37">
        <f t="shared" si="156"/>
        <v>0</v>
      </c>
      <c r="AD147" s="37">
        <f t="shared" si="156"/>
        <v>0</v>
      </c>
      <c r="AE147" s="37">
        <f t="shared" si="156"/>
        <v>0</v>
      </c>
      <c r="AF147" s="37">
        <f t="shared" si="156"/>
        <v>0</v>
      </c>
      <c r="AG147" s="37">
        <f t="shared" si="156"/>
        <v>0</v>
      </c>
      <c r="AH147" s="37">
        <f t="shared" si="156"/>
        <v>0</v>
      </c>
      <c r="AI147" s="37">
        <f t="shared" si="156"/>
        <v>0</v>
      </c>
      <c r="AJ147" s="37">
        <f t="shared" si="156"/>
        <v>0</v>
      </c>
      <c r="AK147" s="37">
        <f t="shared" si="156"/>
        <v>290000</v>
      </c>
      <c r="AL147" s="37">
        <f t="shared" si="156"/>
        <v>0</v>
      </c>
      <c r="AM147" s="37">
        <f t="shared" si="156"/>
        <v>290000</v>
      </c>
    </row>
    <row r="148" spans="1:39">
      <c r="A148" s="189" t="s">
        <v>275</v>
      </c>
      <c r="B148" s="8">
        <v>1</v>
      </c>
      <c r="C148" s="1" t="s">
        <v>276</v>
      </c>
      <c r="D148" s="4" t="s">
        <v>277</v>
      </c>
      <c r="E148" s="4" t="s">
        <v>275</v>
      </c>
      <c r="F148" s="4"/>
      <c r="G148" s="4">
        <v>705000</v>
      </c>
      <c r="H148" s="4">
        <f>110000+65000+265000</f>
        <v>440000</v>
      </c>
      <c r="I148" s="4"/>
      <c r="J148" s="9">
        <f t="shared" ref="J148:J153" si="157">SUM(F148:I148)</f>
        <v>1145000</v>
      </c>
      <c r="K148" s="4"/>
      <c r="L148" s="4"/>
      <c r="M148" s="4"/>
      <c r="N148" s="4"/>
      <c r="O148" s="9">
        <f t="shared" ref="O148:O153" si="158">SUM(K148:N148)</f>
        <v>0</v>
      </c>
      <c r="P148" s="20"/>
      <c r="Q148" s="20">
        <v>1340000</v>
      </c>
      <c r="R148" s="4">
        <v>826000</v>
      </c>
      <c r="S148" s="22"/>
      <c r="T148" s="9">
        <f t="shared" ref="T148:T153" si="159">SUM(P148:S148)</f>
        <v>2166000</v>
      </c>
      <c r="U148" s="20"/>
      <c r="V148" s="25">
        <v>1068000</v>
      </c>
      <c r="W148" s="25">
        <v>582000</v>
      </c>
      <c r="X148" s="25"/>
      <c r="Y148" s="21">
        <f t="shared" ref="Y148:Y153" si="160">SUM(U148:X148)</f>
        <v>1650000</v>
      </c>
      <c r="Z148" s="25"/>
      <c r="AA148" s="21">
        <f t="shared" ref="AA148:AA153" si="161">SUM(Z148:Z148)</f>
        <v>0</v>
      </c>
      <c r="AB148" s="25"/>
      <c r="AC148" s="21">
        <f t="shared" ref="AC148:AC153" si="162">SUM(AB148:AB148)</f>
        <v>0</v>
      </c>
      <c r="AD148" s="25"/>
      <c r="AE148" s="25"/>
      <c r="AF148" s="25"/>
      <c r="AG148" s="25"/>
      <c r="AH148" s="21">
        <f t="shared" ref="AH148:AH153" si="163">SUM(AD148:AG148)</f>
        <v>0</v>
      </c>
      <c r="AI148" s="4">
        <f t="shared" ref="AI148:AK153" si="164">F148+K148+P148+U148+AD148</f>
        <v>0</v>
      </c>
      <c r="AJ148" s="4">
        <f t="shared" si="164"/>
        <v>3113000</v>
      </c>
      <c r="AK148" s="4">
        <f t="shared" si="164"/>
        <v>1848000</v>
      </c>
      <c r="AL148" s="4">
        <f t="shared" ref="AL148:AL153" si="165">I148+N148+S148+X148+Z148+AB148+AG148</f>
        <v>0</v>
      </c>
      <c r="AM148" s="9">
        <f t="shared" ref="AM148:AM153" si="166">SUM(AI148:AL148)</f>
        <v>4961000</v>
      </c>
    </row>
    <row r="149" spans="1:39" ht="31.5">
      <c r="A149" s="190"/>
      <c r="B149" s="8">
        <v>2</v>
      </c>
      <c r="C149" s="40" t="s">
        <v>278</v>
      </c>
      <c r="D149" s="41" t="s">
        <v>279</v>
      </c>
      <c r="E149" s="4" t="s">
        <v>275</v>
      </c>
      <c r="F149" s="4"/>
      <c r="G149" s="4"/>
      <c r="H149" s="4"/>
      <c r="I149" s="4"/>
      <c r="J149" s="9">
        <f t="shared" si="157"/>
        <v>0</v>
      </c>
      <c r="K149" s="76"/>
      <c r="L149" s="76"/>
      <c r="M149" s="76">
        <v>360000</v>
      </c>
      <c r="N149" s="76">
        <v>705000</v>
      </c>
      <c r="O149" s="9">
        <f t="shared" si="158"/>
        <v>1065000</v>
      </c>
      <c r="P149" s="20"/>
      <c r="Q149" s="20"/>
      <c r="R149" s="20"/>
      <c r="S149" s="20"/>
      <c r="T149" s="9">
        <f t="shared" si="159"/>
        <v>0</v>
      </c>
      <c r="U149" s="20"/>
      <c r="V149" s="25"/>
      <c r="W149" s="25"/>
      <c r="X149" s="25"/>
      <c r="Y149" s="21">
        <f t="shared" si="160"/>
        <v>0</v>
      </c>
      <c r="Z149" s="25"/>
      <c r="AA149" s="21">
        <f t="shared" si="161"/>
        <v>0</v>
      </c>
      <c r="AB149" s="25"/>
      <c r="AC149" s="21">
        <f t="shared" si="162"/>
        <v>0</v>
      </c>
      <c r="AD149" s="25"/>
      <c r="AE149" s="25"/>
      <c r="AF149" s="25"/>
      <c r="AG149" s="25"/>
      <c r="AH149" s="21">
        <f t="shared" si="163"/>
        <v>0</v>
      </c>
      <c r="AI149" s="4">
        <f t="shared" si="164"/>
        <v>0</v>
      </c>
      <c r="AJ149" s="4">
        <f t="shared" si="164"/>
        <v>0</v>
      </c>
      <c r="AK149" s="4">
        <f t="shared" si="164"/>
        <v>360000</v>
      </c>
      <c r="AL149" s="4">
        <f t="shared" si="165"/>
        <v>705000</v>
      </c>
      <c r="AM149" s="9">
        <f t="shared" si="166"/>
        <v>1065000</v>
      </c>
    </row>
    <row r="150" spans="1:39">
      <c r="A150" s="190"/>
      <c r="B150" s="8">
        <v>3</v>
      </c>
      <c r="C150" s="1" t="s">
        <v>280</v>
      </c>
      <c r="D150" s="41" t="s">
        <v>416</v>
      </c>
      <c r="E150" s="4" t="s">
        <v>275</v>
      </c>
      <c r="F150" s="4"/>
      <c r="G150" s="4"/>
      <c r="H150" s="4">
        <v>-155000</v>
      </c>
      <c r="I150" s="4"/>
      <c r="J150" s="9">
        <f t="shared" si="157"/>
        <v>-155000</v>
      </c>
      <c r="K150" s="4"/>
      <c r="L150" s="4"/>
      <c r="M150" s="4"/>
      <c r="N150" s="4"/>
      <c r="O150" s="9">
        <f t="shared" si="158"/>
        <v>0</v>
      </c>
      <c r="P150" s="20"/>
      <c r="Q150" s="22">
        <v>290000</v>
      </c>
      <c r="R150" s="20"/>
      <c r="S150" s="20">
        <v>-135000</v>
      </c>
      <c r="T150" s="9">
        <f t="shared" si="159"/>
        <v>155000</v>
      </c>
      <c r="U150" s="20"/>
      <c r="V150" s="25"/>
      <c r="W150" s="20"/>
      <c r="X150" s="20"/>
      <c r="Y150" s="21">
        <f t="shared" si="160"/>
        <v>0</v>
      </c>
      <c r="Z150" s="25"/>
      <c r="AA150" s="21">
        <f t="shared" si="161"/>
        <v>0</v>
      </c>
      <c r="AB150" s="25"/>
      <c r="AC150" s="21">
        <f t="shared" si="162"/>
        <v>0</v>
      </c>
      <c r="AD150" s="25"/>
      <c r="AE150" s="25"/>
      <c r="AF150" s="25"/>
      <c r="AG150" s="25"/>
      <c r="AH150" s="21">
        <f t="shared" si="163"/>
        <v>0</v>
      </c>
      <c r="AI150" s="4">
        <f t="shared" si="164"/>
        <v>0</v>
      </c>
      <c r="AJ150" s="4">
        <f t="shared" si="164"/>
        <v>290000</v>
      </c>
      <c r="AK150" s="4">
        <f t="shared" si="164"/>
        <v>-155000</v>
      </c>
      <c r="AL150" s="4">
        <f t="shared" si="165"/>
        <v>-135000</v>
      </c>
      <c r="AM150" s="9">
        <f t="shared" si="166"/>
        <v>0</v>
      </c>
    </row>
    <row r="151" spans="1:39">
      <c r="A151" s="190"/>
      <c r="B151" s="8">
        <v>4</v>
      </c>
      <c r="C151" s="1" t="s">
        <v>281</v>
      </c>
      <c r="D151" s="4" t="s">
        <v>282</v>
      </c>
      <c r="E151" s="4" t="s">
        <v>275</v>
      </c>
      <c r="F151" s="4"/>
      <c r="G151" s="4">
        <v>155000</v>
      </c>
      <c r="H151" s="4"/>
      <c r="I151" s="4">
        <v>72000</v>
      </c>
      <c r="J151" s="9">
        <f t="shared" si="157"/>
        <v>227000</v>
      </c>
      <c r="K151" s="4"/>
      <c r="L151" s="4"/>
      <c r="M151" s="4"/>
      <c r="N151" s="4"/>
      <c r="O151" s="9">
        <f t="shared" si="158"/>
        <v>0</v>
      </c>
      <c r="P151" s="20"/>
      <c r="Q151" s="20"/>
      <c r="R151" s="20"/>
      <c r="S151" s="20"/>
      <c r="T151" s="9">
        <f t="shared" si="159"/>
        <v>0</v>
      </c>
      <c r="U151" s="20"/>
      <c r="V151" s="20"/>
      <c r="W151" s="20"/>
      <c r="X151" s="20"/>
      <c r="Y151" s="21">
        <f t="shared" si="160"/>
        <v>0</v>
      </c>
      <c r="Z151" s="25"/>
      <c r="AA151" s="21">
        <f t="shared" si="161"/>
        <v>0</v>
      </c>
      <c r="AB151" s="25"/>
      <c r="AC151" s="21">
        <f t="shared" si="162"/>
        <v>0</v>
      </c>
      <c r="AD151" s="25"/>
      <c r="AE151" s="25"/>
      <c r="AF151" s="25"/>
      <c r="AG151" s="25"/>
      <c r="AH151" s="21">
        <f t="shared" si="163"/>
        <v>0</v>
      </c>
      <c r="AI151" s="4">
        <f t="shared" si="164"/>
        <v>0</v>
      </c>
      <c r="AJ151" s="4">
        <f t="shared" si="164"/>
        <v>155000</v>
      </c>
      <c r="AK151" s="4">
        <f t="shared" si="164"/>
        <v>0</v>
      </c>
      <c r="AL151" s="4">
        <f t="shared" si="165"/>
        <v>72000</v>
      </c>
      <c r="AM151" s="9">
        <f t="shared" si="166"/>
        <v>227000</v>
      </c>
    </row>
    <row r="152" spans="1:39" ht="31.5">
      <c r="A152" s="190"/>
      <c r="B152" s="8">
        <v>5</v>
      </c>
      <c r="C152" s="1" t="s">
        <v>283</v>
      </c>
      <c r="D152" s="4" t="s">
        <v>284</v>
      </c>
      <c r="E152" s="4" t="s">
        <v>275</v>
      </c>
      <c r="F152" s="4">
        <v>155000</v>
      </c>
      <c r="G152" s="4">
        <v>152000</v>
      </c>
      <c r="H152" s="4">
        <v>514500</v>
      </c>
      <c r="I152" s="4">
        <v>508000</v>
      </c>
      <c r="J152" s="9">
        <f t="shared" si="157"/>
        <v>1329500</v>
      </c>
      <c r="K152" s="4"/>
      <c r="L152" s="4"/>
      <c r="M152" s="4"/>
      <c r="N152" s="4"/>
      <c r="O152" s="9">
        <f t="shared" si="158"/>
        <v>0</v>
      </c>
      <c r="P152" s="20"/>
      <c r="Q152" s="20"/>
      <c r="R152" s="20"/>
      <c r="S152" s="20"/>
      <c r="T152" s="9">
        <f t="shared" si="159"/>
        <v>0</v>
      </c>
      <c r="U152" s="20"/>
      <c r="V152" s="20"/>
      <c r="W152" s="25"/>
      <c r="X152" s="25"/>
      <c r="Y152" s="21">
        <f t="shared" si="160"/>
        <v>0</v>
      </c>
      <c r="Z152" s="25"/>
      <c r="AA152" s="21">
        <f t="shared" si="161"/>
        <v>0</v>
      </c>
      <c r="AB152" s="25"/>
      <c r="AC152" s="21">
        <f t="shared" si="162"/>
        <v>0</v>
      </c>
      <c r="AD152" s="25"/>
      <c r="AE152" s="25"/>
      <c r="AF152" s="25"/>
      <c r="AG152" s="25"/>
      <c r="AH152" s="21">
        <f t="shared" si="163"/>
        <v>0</v>
      </c>
      <c r="AI152" s="4">
        <f t="shared" si="164"/>
        <v>155000</v>
      </c>
      <c r="AJ152" s="4">
        <f t="shared" si="164"/>
        <v>152000</v>
      </c>
      <c r="AK152" s="4">
        <f t="shared" si="164"/>
        <v>514500</v>
      </c>
      <c r="AL152" s="4">
        <f t="shared" si="165"/>
        <v>508000</v>
      </c>
      <c r="AM152" s="9">
        <f t="shared" si="166"/>
        <v>1329500</v>
      </c>
    </row>
    <row r="153" spans="1:39">
      <c r="A153" s="190"/>
      <c r="B153" s="8">
        <v>6</v>
      </c>
      <c r="C153" s="1" t="s">
        <v>285</v>
      </c>
      <c r="D153" s="51" t="s">
        <v>286</v>
      </c>
      <c r="E153" s="51" t="s">
        <v>275</v>
      </c>
      <c r="F153" s="51"/>
      <c r="G153" s="51"/>
      <c r="H153" s="51"/>
      <c r="I153" s="51"/>
      <c r="J153" s="9">
        <f t="shared" si="157"/>
        <v>0</v>
      </c>
      <c r="K153" s="51"/>
      <c r="L153" s="51"/>
      <c r="M153" s="51"/>
      <c r="N153" s="51"/>
      <c r="O153" s="9">
        <f t="shared" si="158"/>
        <v>0</v>
      </c>
      <c r="P153" s="52"/>
      <c r="Q153" s="52"/>
      <c r="R153" s="52"/>
      <c r="S153" s="52"/>
      <c r="T153" s="9">
        <f t="shared" si="159"/>
        <v>0</v>
      </c>
      <c r="U153" s="52"/>
      <c r="V153" s="52"/>
      <c r="W153" s="53"/>
      <c r="X153" s="53"/>
      <c r="Y153" s="21">
        <f t="shared" si="160"/>
        <v>0</v>
      </c>
      <c r="Z153" s="53"/>
      <c r="AA153" s="21">
        <f t="shared" si="161"/>
        <v>0</v>
      </c>
      <c r="AB153" s="53"/>
      <c r="AC153" s="21">
        <f t="shared" si="162"/>
        <v>0</v>
      </c>
      <c r="AD153" s="53"/>
      <c r="AE153" s="53"/>
      <c r="AF153" s="53"/>
      <c r="AG153" s="53"/>
      <c r="AH153" s="21">
        <f t="shared" si="163"/>
        <v>0</v>
      </c>
      <c r="AI153" s="4">
        <f t="shared" si="164"/>
        <v>0</v>
      </c>
      <c r="AJ153" s="4">
        <f t="shared" si="164"/>
        <v>0</v>
      </c>
      <c r="AK153" s="4">
        <f t="shared" si="164"/>
        <v>0</v>
      </c>
      <c r="AL153" s="4">
        <f t="shared" si="165"/>
        <v>0</v>
      </c>
      <c r="AM153" s="9">
        <f t="shared" si="166"/>
        <v>0</v>
      </c>
    </row>
    <row r="154" spans="1:39" s="36" customFormat="1">
      <c r="A154" s="34"/>
      <c r="B154" s="85"/>
      <c r="C154" s="35" t="s">
        <v>287</v>
      </c>
      <c r="D154" s="37"/>
      <c r="E154" s="37"/>
      <c r="F154" s="37">
        <f>SUM(F148:F153)</f>
        <v>155000</v>
      </c>
      <c r="G154" s="37">
        <f t="shared" ref="G154:AM154" si="167">SUM(G148:G153)</f>
        <v>1012000</v>
      </c>
      <c r="H154" s="37">
        <f t="shared" si="167"/>
        <v>799500</v>
      </c>
      <c r="I154" s="37">
        <f t="shared" si="167"/>
        <v>580000</v>
      </c>
      <c r="J154" s="37">
        <f t="shared" si="167"/>
        <v>2546500</v>
      </c>
      <c r="K154" s="37">
        <f t="shared" si="167"/>
        <v>0</v>
      </c>
      <c r="L154" s="37">
        <f t="shared" si="167"/>
        <v>0</v>
      </c>
      <c r="M154" s="37">
        <f t="shared" si="167"/>
        <v>360000</v>
      </c>
      <c r="N154" s="37">
        <f t="shared" si="167"/>
        <v>705000</v>
      </c>
      <c r="O154" s="37">
        <f t="shared" si="167"/>
        <v>1065000</v>
      </c>
      <c r="P154" s="37">
        <f t="shared" si="167"/>
        <v>0</v>
      </c>
      <c r="Q154" s="37">
        <f t="shared" si="167"/>
        <v>1630000</v>
      </c>
      <c r="R154" s="37">
        <f t="shared" si="167"/>
        <v>826000</v>
      </c>
      <c r="S154" s="37">
        <f t="shared" si="167"/>
        <v>-135000</v>
      </c>
      <c r="T154" s="37">
        <f t="shared" si="167"/>
        <v>2321000</v>
      </c>
      <c r="U154" s="37">
        <f t="shared" si="167"/>
        <v>0</v>
      </c>
      <c r="V154" s="37">
        <f t="shared" si="167"/>
        <v>1068000</v>
      </c>
      <c r="W154" s="37">
        <f t="shared" si="167"/>
        <v>582000</v>
      </c>
      <c r="X154" s="37">
        <f t="shared" si="167"/>
        <v>0</v>
      </c>
      <c r="Y154" s="37">
        <f t="shared" si="167"/>
        <v>1650000</v>
      </c>
      <c r="Z154" s="37">
        <f t="shared" si="167"/>
        <v>0</v>
      </c>
      <c r="AA154" s="37">
        <f t="shared" si="167"/>
        <v>0</v>
      </c>
      <c r="AB154" s="37">
        <f t="shared" si="167"/>
        <v>0</v>
      </c>
      <c r="AC154" s="37">
        <f t="shared" si="167"/>
        <v>0</v>
      </c>
      <c r="AD154" s="37">
        <f t="shared" si="167"/>
        <v>0</v>
      </c>
      <c r="AE154" s="37">
        <f t="shared" si="167"/>
        <v>0</v>
      </c>
      <c r="AF154" s="37">
        <f t="shared" si="167"/>
        <v>0</v>
      </c>
      <c r="AG154" s="37">
        <f t="shared" si="167"/>
        <v>0</v>
      </c>
      <c r="AH154" s="37">
        <f t="shared" si="167"/>
        <v>0</v>
      </c>
      <c r="AI154" s="37">
        <f t="shared" si="167"/>
        <v>155000</v>
      </c>
      <c r="AJ154" s="37">
        <f t="shared" si="167"/>
        <v>3710000</v>
      </c>
      <c r="AK154" s="37">
        <f t="shared" si="167"/>
        <v>2567500</v>
      </c>
      <c r="AL154" s="37">
        <f t="shared" si="167"/>
        <v>1150000</v>
      </c>
      <c r="AM154" s="37">
        <f t="shared" si="167"/>
        <v>7582500</v>
      </c>
    </row>
    <row r="155" spans="1:39" ht="31.5">
      <c r="A155" s="189" t="s">
        <v>21</v>
      </c>
      <c r="B155" s="8">
        <v>1</v>
      </c>
      <c r="C155" s="55" t="s">
        <v>288</v>
      </c>
      <c r="D155" s="56" t="s">
        <v>289</v>
      </c>
      <c r="E155" s="56" t="s">
        <v>21</v>
      </c>
      <c r="F155" s="56"/>
      <c r="G155" s="56">
        <v>155000</v>
      </c>
      <c r="H155" s="56">
        <f>100000+50000</f>
        <v>150000</v>
      </c>
      <c r="I155" s="56">
        <v>651500</v>
      </c>
      <c r="J155" s="9">
        <f t="shared" ref="J155:J163" si="168">SUM(F155:I155)</f>
        <v>956500</v>
      </c>
      <c r="K155" s="56"/>
      <c r="L155" s="56"/>
      <c r="M155" s="56"/>
      <c r="N155" s="56"/>
      <c r="O155" s="9">
        <f t="shared" ref="O155:O163" si="169">SUM(K155:N155)</f>
        <v>0</v>
      </c>
      <c r="P155" s="57"/>
      <c r="Q155" s="57"/>
      <c r="R155" s="57"/>
      <c r="S155" s="57"/>
      <c r="T155" s="9">
        <f t="shared" ref="T155:T163" si="170">SUM(P155:S155)</f>
        <v>0</v>
      </c>
      <c r="U155" s="57"/>
      <c r="V155" s="57"/>
      <c r="W155" s="57"/>
      <c r="X155" s="57"/>
      <c r="Y155" s="21">
        <f t="shared" ref="Y155:Y163" si="171">SUM(U155:X155)</f>
        <v>0</v>
      </c>
      <c r="Z155" s="58"/>
      <c r="AA155" s="21">
        <f t="shared" ref="AA155:AA163" si="172">SUM(Z155:Z155)</f>
        <v>0</v>
      </c>
      <c r="AB155" s="58"/>
      <c r="AC155" s="21">
        <f t="shared" ref="AC155:AC163" si="173">SUM(AB155:AB155)</f>
        <v>0</v>
      </c>
      <c r="AD155" s="58"/>
      <c r="AE155" s="58"/>
      <c r="AF155" s="58">
        <v>100000</v>
      </c>
      <c r="AG155" s="58">
        <v>125000</v>
      </c>
      <c r="AH155" s="21">
        <f t="shared" ref="AH155:AH163" si="174">SUM(AD155:AG155)</f>
        <v>225000</v>
      </c>
      <c r="AI155" s="4">
        <f t="shared" ref="AI155:AI163" si="175">F155+K155+P155+U155+AD155</f>
        <v>0</v>
      </c>
      <c r="AJ155" s="4">
        <f t="shared" ref="AJ155:AJ163" si="176">G155+L155+Q155+V155+AE155</f>
        <v>155000</v>
      </c>
      <c r="AK155" s="4">
        <f t="shared" ref="AK155:AK163" si="177">H155+M155+R155+W155+AF155</f>
        <v>250000</v>
      </c>
      <c r="AL155" s="4">
        <f t="shared" ref="AL155:AL163" si="178">I155+N155+S155+X155+Z155+AB155+AG155</f>
        <v>776500</v>
      </c>
      <c r="AM155" s="9">
        <f t="shared" ref="AM155:AM163" si="179">SUM(AI155:AL155)</f>
        <v>1181500</v>
      </c>
    </row>
    <row r="156" spans="1:39" ht="31.5">
      <c r="A156" s="190"/>
      <c r="B156" s="8">
        <v>2</v>
      </c>
      <c r="C156" s="1" t="s">
        <v>290</v>
      </c>
      <c r="D156" s="91" t="s">
        <v>417</v>
      </c>
      <c r="E156" s="4" t="s">
        <v>21</v>
      </c>
      <c r="F156" s="4"/>
      <c r="G156" s="4"/>
      <c r="H156" s="5"/>
      <c r="I156" s="4"/>
      <c r="J156" s="9">
        <f t="shared" si="168"/>
        <v>0</v>
      </c>
      <c r="K156" s="4"/>
      <c r="L156" s="4"/>
      <c r="M156" s="4"/>
      <c r="N156" s="4"/>
      <c r="O156" s="9">
        <f t="shared" si="169"/>
        <v>0</v>
      </c>
      <c r="P156" s="20"/>
      <c r="Q156" s="20"/>
      <c r="R156" s="20"/>
      <c r="S156" s="20"/>
      <c r="T156" s="9">
        <f t="shared" si="170"/>
        <v>0</v>
      </c>
      <c r="U156" s="20"/>
      <c r="V156" s="20">
        <v>256750</v>
      </c>
      <c r="W156" s="25">
        <v>340750</v>
      </c>
      <c r="X156" s="24">
        <v>950000</v>
      </c>
      <c r="Y156" s="21">
        <f t="shared" si="171"/>
        <v>1547500</v>
      </c>
      <c r="Z156" s="25"/>
      <c r="AA156" s="21">
        <f t="shared" si="172"/>
        <v>0</v>
      </c>
      <c r="AB156" s="25"/>
      <c r="AC156" s="21">
        <f t="shared" si="173"/>
        <v>0</v>
      </c>
      <c r="AD156" s="25"/>
      <c r="AE156" s="25"/>
      <c r="AF156" s="25"/>
      <c r="AG156" s="25"/>
      <c r="AH156" s="21">
        <f t="shared" si="174"/>
        <v>0</v>
      </c>
      <c r="AI156" s="4">
        <f t="shared" si="175"/>
        <v>0</v>
      </c>
      <c r="AJ156" s="4">
        <f t="shared" si="176"/>
        <v>256750</v>
      </c>
      <c r="AK156" s="4">
        <f t="shared" si="177"/>
        <v>340750</v>
      </c>
      <c r="AL156" s="4">
        <f t="shared" si="178"/>
        <v>950000</v>
      </c>
      <c r="AM156" s="9">
        <f t="shared" si="179"/>
        <v>1547500</v>
      </c>
    </row>
    <row r="157" spans="1:39" ht="47.25">
      <c r="A157" s="190"/>
      <c r="B157" s="8">
        <v>3</v>
      </c>
      <c r="C157" s="42" t="s">
        <v>291</v>
      </c>
      <c r="D157" s="43" t="s">
        <v>292</v>
      </c>
      <c r="E157" s="4" t="s">
        <v>21</v>
      </c>
      <c r="F157" s="4"/>
      <c r="G157" s="4"/>
      <c r="H157" s="5"/>
      <c r="I157" s="4"/>
      <c r="J157" s="9">
        <f t="shared" si="168"/>
        <v>0</v>
      </c>
      <c r="K157" s="4"/>
      <c r="L157" s="4"/>
      <c r="M157" s="4"/>
      <c r="N157" s="4"/>
      <c r="O157" s="9">
        <f t="shared" si="169"/>
        <v>0</v>
      </c>
      <c r="P157" s="20"/>
      <c r="Q157" s="20"/>
      <c r="R157" s="4">
        <v>471935</v>
      </c>
      <c r="S157" s="22">
        <v>360000</v>
      </c>
      <c r="T157" s="9">
        <f t="shared" si="170"/>
        <v>831935</v>
      </c>
      <c r="U157" s="20"/>
      <c r="V157" s="20"/>
      <c r="W157" s="25"/>
      <c r="X157" s="25"/>
      <c r="Y157" s="21">
        <f t="shared" si="171"/>
        <v>0</v>
      </c>
      <c r="Z157" s="25"/>
      <c r="AA157" s="21">
        <f t="shared" si="172"/>
        <v>0</v>
      </c>
      <c r="AB157" s="25"/>
      <c r="AC157" s="21">
        <f t="shared" si="173"/>
        <v>0</v>
      </c>
      <c r="AD157" s="25"/>
      <c r="AE157" s="25"/>
      <c r="AF157" s="25"/>
      <c r="AG157" s="25"/>
      <c r="AH157" s="21">
        <f t="shared" si="174"/>
        <v>0</v>
      </c>
      <c r="AI157" s="4">
        <f t="shared" si="175"/>
        <v>0</v>
      </c>
      <c r="AJ157" s="4">
        <f t="shared" si="176"/>
        <v>0</v>
      </c>
      <c r="AK157" s="4">
        <f t="shared" si="177"/>
        <v>471935</v>
      </c>
      <c r="AL157" s="4">
        <f t="shared" si="178"/>
        <v>360000</v>
      </c>
      <c r="AM157" s="9">
        <f t="shared" si="179"/>
        <v>831935</v>
      </c>
    </row>
    <row r="158" spans="1:39" ht="37.5">
      <c r="A158" s="190"/>
      <c r="B158" s="8">
        <v>4</v>
      </c>
      <c r="C158" s="1" t="s">
        <v>293</v>
      </c>
      <c r="D158" s="91" t="s">
        <v>418</v>
      </c>
      <c r="E158" s="4" t="s">
        <v>21</v>
      </c>
      <c r="F158" s="4"/>
      <c r="G158" s="4"/>
      <c r="H158" s="5"/>
      <c r="I158" s="4"/>
      <c r="J158" s="9">
        <f t="shared" si="168"/>
        <v>0</v>
      </c>
      <c r="K158" s="4"/>
      <c r="L158" s="4"/>
      <c r="M158" s="4"/>
      <c r="N158" s="4"/>
      <c r="O158" s="9">
        <f t="shared" si="169"/>
        <v>0</v>
      </c>
      <c r="P158" s="20"/>
      <c r="Q158" s="20"/>
      <c r="R158" s="4"/>
      <c r="S158" s="20"/>
      <c r="T158" s="9">
        <f t="shared" si="170"/>
        <v>0</v>
      </c>
      <c r="U158" s="20"/>
      <c r="V158" s="20"/>
      <c r="W158" s="25"/>
      <c r="X158" s="25"/>
      <c r="Y158" s="21">
        <f t="shared" si="171"/>
        <v>0</v>
      </c>
      <c r="Z158" s="25"/>
      <c r="AA158" s="21">
        <f t="shared" si="172"/>
        <v>0</v>
      </c>
      <c r="AB158" s="25"/>
      <c r="AC158" s="21">
        <f t="shared" si="173"/>
        <v>0</v>
      </c>
      <c r="AD158" s="25"/>
      <c r="AE158" s="25"/>
      <c r="AF158" s="25"/>
      <c r="AG158" s="25"/>
      <c r="AH158" s="21">
        <f t="shared" si="174"/>
        <v>0</v>
      </c>
      <c r="AI158" s="4">
        <f t="shared" si="175"/>
        <v>0</v>
      </c>
      <c r="AJ158" s="4">
        <f t="shared" si="176"/>
        <v>0</v>
      </c>
      <c r="AK158" s="4">
        <f t="shared" si="177"/>
        <v>0</v>
      </c>
      <c r="AL158" s="4">
        <f t="shared" si="178"/>
        <v>0</v>
      </c>
      <c r="AM158" s="9">
        <f t="shared" si="179"/>
        <v>0</v>
      </c>
    </row>
    <row r="159" spans="1:39" ht="30">
      <c r="A159" s="190"/>
      <c r="B159" s="8">
        <v>5</v>
      </c>
      <c r="C159" s="2" t="s">
        <v>15</v>
      </c>
      <c r="D159" s="13" t="s">
        <v>41</v>
      </c>
      <c r="E159" s="4" t="s">
        <v>21</v>
      </c>
      <c r="F159" s="4"/>
      <c r="G159" s="4"/>
      <c r="H159" s="5"/>
      <c r="I159" s="4"/>
      <c r="J159" s="9">
        <f t="shared" si="168"/>
        <v>0</v>
      </c>
      <c r="K159" s="4"/>
      <c r="L159" s="4"/>
      <c r="M159" s="4"/>
      <c r="N159" s="4"/>
      <c r="O159" s="9">
        <f t="shared" si="169"/>
        <v>0</v>
      </c>
      <c r="P159" s="20"/>
      <c r="Q159" s="20"/>
      <c r="R159" s="4"/>
      <c r="S159" s="20"/>
      <c r="T159" s="9">
        <f t="shared" si="170"/>
        <v>0</v>
      </c>
      <c r="U159" s="20"/>
      <c r="V159" s="20"/>
      <c r="W159" s="25"/>
      <c r="X159" s="25"/>
      <c r="Y159" s="21">
        <f t="shared" si="171"/>
        <v>0</v>
      </c>
      <c r="Z159" s="25"/>
      <c r="AA159" s="21">
        <f t="shared" si="172"/>
        <v>0</v>
      </c>
      <c r="AB159" s="25"/>
      <c r="AC159" s="21">
        <f t="shared" si="173"/>
        <v>0</v>
      </c>
      <c r="AD159" s="25"/>
      <c r="AE159" s="25">
        <v>100000</v>
      </c>
      <c r="AF159" s="25">
        <v>248400</v>
      </c>
      <c r="AG159" s="25">
        <v>240000</v>
      </c>
      <c r="AH159" s="21">
        <f t="shared" si="174"/>
        <v>588400</v>
      </c>
      <c r="AI159" s="4">
        <f t="shared" si="175"/>
        <v>0</v>
      </c>
      <c r="AJ159" s="4">
        <f t="shared" si="176"/>
        <v>100000</v>
      </c>
      <c r="AK159" s="4">
        <f t="shared" si="177"/>
        <v>248400</v>
      </c>
      <c r="AL159" s="4">
        <f t="shared" si="178"/>
        <v>240000</v>
      </c>
      <c r="AM159" s="9">
        <f t="shared" si="179"/>
        <v>588400</v>
      </c>
    </row>
    <row r="160" spans="1:39" ht="31.5">
      <c r="A160" s="190"/>
      <c r="B160" s="8">
        <v>6</v>
      </c>
      <c r="C160" s="1" t="s">
        <v>294</v>
      </c>
      <c r="D160" s="91" t="s">
        <v>419</v>
      </c>
      <c r="E160" s="4" t="s">
        <v>21</v>
      </c>
      <c r="F160" s="4"/>
      <c r="G160" s="4"/>
      <c r="H160" s="5"/>
      <c r="I160" s="4"/>
      <c r="J160" s="9">
        <f t="shared" si="168"/>
        <v>0</v>
      </c>
      <c r="K160" s="4"/>
      <c r="L160" s="4"/>
      <c r="M160" s="4"/>
      <c r="N160" s="4"/>
      <c r="O160" s="9">
        <f t="shared" si="169"/>
        <v>0</v>
      </c>
      <c r="P160" s="20"/>
      <c r="Q160" s="20"/>
      <c r="R160" s="4"/>
      <c r="S160" s="20"/>
      <c r="T160" s="9">
        <f t="shared" si="170"/>
        <v>0</v>
      </c>
      <c r="U160" s="20"/>
      <c r="V160" s="25">
        <v>394250</v>
      </c>
      <c r="W160" s="25">
        <v>480150</v>
      </c>
      <c r="X160" s="25">
        <v>736500</v>
      </c>
      <c r="Y160" s="21">
        <f t="shared" si="171"/>
        <v>1610900</v>
      </c>
      <c r="Z160" s="25"/>
      <c r="AA160" s="21">
        <f t="shared" si="172"/>
        <v>0</v>
      </c>
      <c r="AB160" s="25"/>
      <c r="AC160" s="21">
        <f t="shared" si="173"/>
        <v>0</v>
      </c>
      <c r="AD160" s="25"/>
      <c r="AE160" s="25"/>
      <c r="AF160" s="25"/>
      <c r="AG160" s="25"/>
      <c r="AH160" s="21">
        <f t="shared" si="174"/>
        <v>0</v>
      </c>
      <c r="AI160" s="4">
        <f t="shared" si="175"/>
        <v>0</v>
      </c>
      <c r="AJ160" s="4">
        <f t="shared" si="176"/>
        <v>394250</v>
      </c>
      <c r="AK160" s="4">
        <f t="shared" si="177"/>
        <v>480150</v>
      </c>
      <c r="AL160" s="4">
        <f t="shared" si="178"/>
        <v>736500</v>
      </c>
      <c r="AM160" s="9">
        <f t="shared" si="179"/>
        <v>1610900</v>
      </c>
    </row>
    <row r="161" spans="1:39" ht="31.5">
      <c r="A161" s="190"/>
      <c r="B161" s="8">
        <v>7</v>
      </c>
      <c r="C161" s="40" t="s">
        <v>295</v>
      </c>
      <c r="D161" s="41" t="s">
        <v>296</v>
      </c>
      <c r="E161" s="4" t="s">
        <v>21</v>
      </c>
      <c r="F161" s="4"/>
      <c r="G161" s="4"/>
      <c r="H161" s="5"/>
      <c r="I161" s="4"/>
      <c r="J161" s="9">
        <f t="shared" si="168"/>
        <v>0</v>
      </c>
      <c r="K161" s="76">
        <v>290000</v>
      </c>
      <c r="L161" s="76">
        <v>1230000</v>
      </c>
      <c r="M161" s="76">
        <v>1610000</v>
      </c>
      <c r="N161" s="76">
        <v>300000</v>
      </c>
      <c r="O161" s="9">
        <f t="shared" si="169"/>
        <v>3430000</v>
      </c>
      <c r="P161" s="20">
        <v>290000</v>
      </c>
      <c r="Q161" s="22">
        <v>609000</v>
      </c>
      <c r="R161" s="4">
        <v>2842000</v>
      </c>
      <c r="S161" s="22">
        <v>360000</v>
      </c>
      <c r="T161" s="9">
        <f t="shared" si="170"/>
        <v>4101000</v>
      </c>
      <c r="U161" s="20"/>
      <c r="V161" s="25"/>
      <c r="W161" s="25"/>
      <c r="X161" s="25"/>
      <c r="Y161" s="21">
        <f t="shared" si="171"/>
        <v>0</v>
      </c>
      <c r="Z161" s="25"/>
      <c r="AA161" s="21">
        <f t="shared" si="172"/>
        <v>0</v>
      </c>
      <c r="AB161" s="25">
        <v>800000</v>
      </c>
      <c r="AC161" s="21">
        <f t="shared" si="173"/>
        <v>800000</v>
      </c>
      <c r="AD161" s="25"/>
      <c r="AE161" s="25"/>
      <c r="AF161" s="25"/>
      <c r="AG161" s="25"/>
      <c r="AH161" s="21">
        <f t="shared" si="174"/>
        <v>0</v>
      </c>
      <c r="AI161" s="4">
        <f t="shared" si="175"/>
        <v>580000</v>
      </c>
      <c r="AJ161" s="4">
        <f t="shared" si="176"/>
        <v>1839000</v>
      </c>
      <c r="AK161" s="4">
        <f t="shared" si="177"/>
        <v>4452000</v>
      </c>
      <c r="AL161" s="4">
        <f t="shared" si="178"/>
        <v>1460000</v>
      </c>
      <c r="AM161" s="9">
        <f t="shared" si="179"/>
        <v>8331000</v>
      </c>
    </row>
    <row r="162" spans="1:39" ht="37.5">
      <c r="A162" s="190"/>
      <c r="B162" s="8">
        <v>8</v>
      </c>
      <c r="C162" s="1" t="s">
        <v>297</v>
      </c>
      <c r="D162" s="91" t="s">
        <v>418</v>
      </c>
      <c r="E162" s="4" t="s">
        <v>21</v>
      </c>
      <c r="F162" s="4"/>
      <c r="G162" s="4"/>
      <c r="H162" s="5"/>
      <c r="I162" s="4"/>
      <c r="J162" s="9">
        <f t="shared" si="168"/>
        <v>0</v>
      </c>
      <c r="K162" s="76"/>
      <c r="L162" s="76"/>
      <c r="M162" s="76"/>
      <c r="N162" s="76"/>
      <c r="O162" s="9">
        <f t="shared" si="169"/>
        <v>0</v>
      </c>
      <c r="P162" s="20"/>
      <c r="Q162" s="20"/>
      <c r="R162" s="4"/>
      <c r="S162" s="20"/>
      <c r="T162" s="9">
        <f t="shared" si="170"/>
        <v>0</v>
      </c>
      <c r="U162" s="20"/>
      <c r="V162" s="25">
        <v>195000</v>
      </c>
      <c r="W162" s="25">
        <f>238250+30000</f>
        <v>268250</v>
      </c>
      <c r="X162" s="25">
        <v>706500</v>
      </c>
      <c r="Y162" s="21">
        <f t="shared" si="171"/>
        <v>1169750</v>
      </c>
      <c r="Z162" s="25"/>
      <c r="AA162" s="21">
        <f t="shared" si="172"/>
        <v>0</v>
      </c>
      <c r="AB162" s="25"/>
      <c r="AC162" s="21">
        <f t="shared" si="173"/>
        <v>0</v>
      </c>
      <c r="AD162" s="25"/>
      <c r="AE162" s="25"/>
      <c r="AF162" s="25"/>
      <c r="AG162" s="25"/>
      <c r="AH162" s="21">
        <f t="shared" si="174"/>
        <v>0</v>
      </c>
      <c r="AI162" s="4">
        <f t="shared" si="175"/>
        <v>0</v>
      </c>
      <c r="AJ162" s="4">
        <f t="shared" si="176"/>
        <v>195000</v>
      </c>
      <c r="AK162" s="4">
        <f t="shared" si="177"/>
        <v>268250</v>
      </c>
      <c r="AL162" s="4">
        <f t="shared" si="178"/>
        <v>706500</v>
      </c>
      <c r="AM162" s="9">
        <f t="shared" si="179"/>
        <v>1169750</v>
      </c>
    </row>
    <row r="163" spans="1:39" ht="31.5">
      <c r="A163" s="191"/>
      <c r="B163" s="8">
        <v>9</v>
      </c>
      <c r="C163" s="42" t="s">
        <v>298</v>
      </c>
      <c r="D163" s="43" t="s">
        <v>299</v>
      </c>
      <c r="E163" s="4" t="s">
        <v>21</v>
      </c>
      <c r="F163" s="4"/>
      <c r="G163" s="4"/>
      <c r="H163" s="5"/>
      <c r="I163" s="4"/>
      <c r="J163" s="9">
        <f t="shared" si="168"/>
        <v>0</v>
      </c>
      <c r="K163" s="4"/>
      <c r="L163" s="4"/>
      <c r="M163" s="4"/>
      <c r="N163" s="4"/>
      <c r="O163" s="9">
        <f t="shared" si="169"/>
        <v>0</v>
      </c>
      <c r="P163" s="20"/>
      <c r="Q163" s="20"/>
      <c r="R163" s="4">
        <v>439000</v>
      </c>
      <c r="S163" s="22">
        <v>376000</v>
      </c>
      <c r="T163" s="9">
        <f t="shared" si="170"/>
        <v>815000</v>
      </c>
      <c r="U163" s="20"/>
      <c r="V163" s="25"/>
      <c r="W163" s="25"/>
      <c r="X163" s="25"/>
      <c r="Y163" s="21">
        <f t="shared" si="171"/>
        <v>0</v>
      </c>
      <c r="Z163" s="25">
        <v>210000</v>
      </c>
      <c r="AA163" s="21">
        <f t="shared" si="172"/>
        <v>210000</v>
      </c>
      <c r="AB163" s="25"/>
      <c r="AC163" s="21">
        <f t="shared" si="173"/>
        <v>0</v>
      </c>
      <c r="AD163" s="25"/>
      <c r="AE163" s="25"/>
      <c r="AF163" s="25"/>
      <c r="AG163" s="25"/>
      <c r="AH163" s="21">
        <f t="shared" si="174"/>
        <v>0</v>
      </c>
      <c r="AI163" s="4">
        <f t="shared" si="175"/>
        <v>0</v>
      </c>
      <c r="AJ163" s="4">
        <f t="shared" si="176"/>
        <v>0</v>
      </c>
      <c r="AK163" s="4">
        <f t="shared" si="177"/>
        <v>439000</v>
      </c>
      <c r="AL163" s="4">
        <f t="shared" si="178"/>
        <v>586000</v>
      </c>
      <c r="AM163" s="9">
        <f t="shared" si="179"/>
        <v>1025000</v>
      </c>
    </row>
    <row r="164" spans="1:39" s="38" customFormat="1">
      <c r="A164" s="34"/>
      <c r="B164" s="85"/>
      <c r="C164" s="59" t="s">
        <v>300</v>
      </c>
      <c r="D164" s="60"/>
      <c r="E164" s="37"/>
      <c r="F164" s="37">
        <f>SUM(F155:F163)</f>
        <v>0</v>
      </c>
      <c r="G164" s="37">
        <f>SUM(G155:G163)</f>
        <v>155000</v>
      </c>
      <c r="H164" s="37">
        <f t="shared" ref="H164:AM164" si="180">SUM(H155:H163)</f>
        <v>150000</v>
      </c>
      <c r="I164" s="37">
        <f t="shared" si="180"/>
        <v>651500</v>
      </c>
      <c r="J164" s="37">
        <f t="shared" si="180"/>
        <v>956500</v>
      </c>
      <c r="K164" s="37">
        <f t="shared" si="180"/>
        <v>290000</v>
      </c>
      <c r="L164" s="37">
        <f t="shared" si="180"/>
        <v>1230000</v>
      </c>
      <c r="M164" s="37">
        <f t="shared" si="180"/>
        <v>1610000</v>
      </c>
      <c r="N164" s="37">
        <f t="shared" si="180"/>
        <v>300000</v>
      </c>
      <c r="O164" s="37">
        <f t="shared" si="180"/>
        <v>3430000</v>
      </c>
      <c r="P164" s="37">
        <f t="shared" si="180"/>
        <v>290000</v>
      </c>
      <c r="Q164" s="37">
        <f t="shared" si="180"/>
        <v>609000</v>
      </c>
      <c r="R164" s="37">
        <f t="shared" si="180"/>
        <v>3752935</v>
      </c>
      <c r="S164" s="37">
        <f t="shared" si="180"/>
        <v>1096000</v>
      </c>
      <c r="T164" s="37">
        <f t="shared" si="180"/>
        <v>5747935</v>
      </c>
      <c r="U164" s="37">
        <f t="shared" si="180"/>
        <v>0</v>
      </c>
      <c r="V164" s="37">
        <f t="shared" si="180"/>
        <v>846000</v>
      </c>
      <c r="W164" s="37">
        <f t="shared" si="180"/>
        <v>1089150</v>
      </c>
      <c r="X164" s="37">
        <f t="shared" si="180"/>
        <v>2393000</v>
      </c>
      <c r="Y164" s="37">
        <f t="shared" si="180"/>
        <v>4328150</v>
      </c>
      <c r="Z164" s="37">
        <f t="shared" si="180"/>
        <v>210000</v>
      </c>
      <c r="AA164" s="37">
        <f t="shared" si="180"/>
        <v>210000</v>
      </c>
      <c r="AB164" s="37">
        <f t="shared" si="180"/>
        <v>800000</v>
      </c>
      <c r="AC164" s="37">
        <f t="shared" si="180"/>
        <v>800000</v>
      </c>
      <c r="AD164" s="37">
        <f t="shared" si="180"/>
        <v>0</v>
      </c>
      <c r="AE164" s="37">
        <f t="shared" si="180"/>
        <v>100000</v>
      </c>
      <c r="AF164" s="37">
        <f t="shared" si="180"/>
        <v>348400</v>
      </c>
      <c r="AG164" s="37">
        <f t="shared" si="180"/>
        <v>365000</v>
      </c>
      <c r="AH164" s="37">
        <f t="shared" si="180"/>
        <v>813400</v>
      </c>
      <c r="AI164" s="37">
        <f t="shared" si="180"/>
        <v>580000</v>
      </c>
      <c r="AJ164" s="37">
        <f t="shared" si="180"/>
        <v>2940000</v>
      </c>
      <c r="AK164" s="37">
        <f t="shared" si="180"/>
        <v>6950485</v>
      </c>
      <c r="AL164" s="37">
        <f t="shared" si="180"/>
        <v>5815500</v>
      </c>
      <c r="AM164" s="37">
        <f t="shared" si="180"/>
        <v>16285985</v>
      </c>
    </row>
    <row r="165" spans="1:39" ht="37.5">
      <c r="A165" s="185" t="s">
        <v>32</v>
      </c>
      <c r="B165" s="8">
        <v>1</v>
      </c>
      <c r="C165" s="1" t="s">
        <v>4</v>
      </c>
      <c r="D165" s="91" t="s">
        <v>420</v>
      </c>
      <c r="E165" s="4" t="s">
        <v>32</v>
      </c>
      <c r="F165" s="4"/>
      <c r="G165" s="4"/>
      <c r="H165" s="5"/>
      <c r="I165" s="4"/>
      <c r="J165" s="9">
        <f t="shared" ref="J165:J169" si="181">SUM(F165:I165)</f>
        <v>0</v>
      </c>
      <c r="K165" s="4"/>
      <c r="L165" s="4"/>
      <c r="M165" s="4"/>
      <c r="N165" s="4"/>
      <c r="O165" s="9">
        <f t="shared" ref="O165:O169" si="182">SUM(K165:N165)</f>
        <v>0</v>
      </c>
      <c r="P165" s="20"/>
      <c r="Q165" s="20"/>
      <c r="R165" s="20"/>
      <c r="S165" s="20"/>
      <c r="T165" s="9">
        <f t="shared" ref="T165:T169" si="183">SUM(P165:S165)</f>
        <v>0</v>
      </c>
      <c r="U165" s="20"/>
      <c r="V165" s="25">
        <v>423800</v>
      </c>
      <c r="W165" s="25">
        <v>729850</v>
      </c>
      <c r="X165" s="25"/>
      <c r="Y165" s="21">
        <f t="shared" ref="Y165:Y169" si="184">SUM(U165:X165)</f>
        <v>1153650</v>
      </c>
      <c r="Z165" s="25"/>
      <c r="AA165" s="21">
        <f>SUM(Z165:Z165)</f>
        <v>0</v>
      </c>
      <c r="AB165" s="25"/>
      <c r="AC165" s="21">
        <f>SUM(AB165:AB165)</f>
        <v>0</v>
      </c>
      <c r="AD165" s="25"/>
      <c r="AE165" s="25"/>
      <c r="AF165" s="25"/>
      <c r="AG165" s="25"/>
      <c r="AH165" s="21">
        <f t="shared" ref="AH165:AH169" si="185">SUM(AD165:AG165)</f>
        <v>0</v>
      </c>
      <c r="AI165" s="4">
        <f t="shared" ref="AI165:AK169" si="186">F165+K165+P165+U165+AD165</f>
        <v>0</v>
      </c>
      <c r="AJ165" s="4">
        <f t="shared" si="186"/>
        <v>423800</v>
      </c>
      <c r="AK165" s="4">
        <f t="shared" si="186"/>
        <v>729850</v>
      </c>
      <c r="AL165" s="4">
        <f>I165+N165+S165+X165+Z165+AB165+AG165</f>
        <v>0</v>
      </c>
      <c r="AM165" s="9">
        <f t="shared" ref="AM165:AM169" si="187">SUM(AI165:AL165)</f>
        <v>1153650</v>
      </c>
    </row>
    <row r="166" spans="1:39" ht="31.5">
      <c r="A166" s="186"/>
      <c r="B166" s="8">
        <v>2</v>
      </c>
      <c r="C166" s="1" t="s">
        <v>301</v>
      </c>
      <c r="D166" s="46" t="s">
        <v>302</v>
      </c>
      <c r="E166" s="4" t="s">
        <v>32</v>
      </c>
      <c r="F166" s="4"/>
      <c r="G166" s="4"/>
      <c r="H166" s="5"/>
      <c r="I166" s="4"/>
      <c r="J166" s="9">
        <f t="shared" si="181"/>
        <v>0</v>
      </c>
      <c r="K166" s="76"/>
      <c r="L166" s="76"/>
      <c r="M166" s="76"/>
      <c r="N166" s="76"/>
      <c r="O166" s="9">
        <f t="shared" si="182"/>
        <v>0</v>
      </c>
      <c r="P166" s="20"/>
      <c r="Q166" s="20"/>
      <c r="R166" s="20"/>
      <c r="S166" s="20"/>
      <c r="T166" s="9">
        <f t="shared" si="183"/>
        <v>0</v>
      </c>
      <c r="U166" s="20">
        <v>195000</v>
      </c>
      <c r="V166" s="25">
        <v>733900</v>
      </c>
      <c r="W166" s="25">
        <v>649900</v>
      </c>
      <c r="X166" s="24">
        <v>810000</v>
      </c>
      <c r="Y166" s="21">
        <f t="shared" si="184"/>
        <v>2388800</v>
      </c>
      <c r="Z166" s="25"/>
      <c r="AA166" s="21">
        <f>SUM(Z166:Z166)</f>
        <v>0</v>
      </c>
      <c r="AB166" s="25"/>
      <c r="AC166" s="21">
        <f>SUM(AB166:AB166)</f>
        <v>0</v>
      </c>
      <c r="AD166" s="25"/>
      <c r="AE166" s="25"/>
      <c r="AF166" s="25"/>
      <c r="AG166" s="25"/>
      <c r="AH166" s="21">
        <f t="shared" si="185"/>
        <v>0</v>
      </c>
      <c r="AI166" s="4">
        <f t="shared" si="186"/>
        <v>195000</v>
      </c>
      <c r="AJ166" s="4">
        <f t="shared" si="186"/>
        <v>733900</v>
      </c>
      <c r="AK166" s="4">
        <f t="shared" si="186"/>
        <v>649900</v>
      </c>
      <c r="AL166" s="4">
        <f>I166+N166+S166+X166+Z166+AB166+AG166</f>
        <v>810000</v>
      </c>
      <c r="AM166" s="9">
        <f t="shared" si="187"/>
        <v>2388800</v>
      </c>
    </row>
    <row r="167" spans="1:39" ht="31.5">
      <c r="A167" s="186"/>
      <c r="B167" s="8">
        <v>3</v>
      </c>
      <c r="C167" s="1" t="s">
        <v>303</v>
      </c>
      <c r="D167" s="46" t="s">
        <v>304</v>
      </c>
      <c r="E167" s="4" t="s">
        <v>32</v>
      </c>
      <c r="F167" s="4"/>
      <c r="G167" s="4"/>
      <c r="H167" s="5"/>
      <c r="I167" s="4"/>
      <c r="J167" s="9">
        <f t="shared" si="181"/>
        <v>0</v>
      </c>
      <c r="K167" s="76"/>
      <c r="L167" s="76"/>
      <c r="M167" s="76">
        <v>1490000</v>
      </c>
      <c r="N167" s="76">
        <v>250000</v>
      </c>
      <c r="O167" s="9">
        <f t="shared" si="182"/>
        <v>1740000</v>
      </c>
      <c r="P167" s="20"/>
      <c r="Q167" s="20"/>
      <c r="R167" s="20"/>
      <c r="S167" s="20"/>
      <c r="T167" s="9">
        <f t="shared" si="183"/>
        <v>0</v>
      </c>
      <c r="U167" s="20"/>
      <c r="V167" s="25">
        <v>1184650</v>
      </c>
      <c r="W167" s="25">
        <v>994500</v>
      </c>
      <c r="X167" s="25">
        <v>821500</v>
      </c>
      <c r="Y167" s="21">
        <f t="shared" si="184"/>
        <v>3000650</v>
      </c>
      <c r="Z167" s="25"/>
      <c r="AA167" s="21">
        <f>SUM(Z167:Z167)</f>
        <v>0</v>
      </c>
      <c r="AB167" s="25"/>
      <c r="AC167" s="21">
        <f>SUM(AB167:AB167)</f>
        <v>0</v>
      </c>
      <c r="AD167" s="25"/>
      <c r="AE167" s="25">
        <v>100000</v>
      </c>
      <c r="AF167" s="25">
        <v>253600</v>
      </c>
      <c r="AG167" s="25"/>
      <c r="AH167" s="21">
        <f t="shared" si="185"/>
        <v>353600</v>
      </c>
      <c r="AI167" s="4">
        <f t="shared" si="186"/>
        <v>0</v>
      </c>
      <c r="AJ167" s="4">
        <f t="shared" si="186"/>
        <v>1284650</v>
      </c>
      <c r="AK167" s="4">
        <f t="shared" si="186"/>
        <v>2738100</v>
      </c>
      <c r="AL167" s="4">
        <f>I167+N167+S167+X167+Z167+AB167+AG167</f>
        <v>1071500</v>
      </c>
      <c r="AM167" s="9">
        <f t="shared" si="187"/>
        <v>5094250</v>
      </c>
    </row>
    <row r="168" spans="1:39">
      <c r="A168" s="186"/>
      <c r="B168" s="8">
        <v>4</v>
      </c>
      <c r="C168" s="42" t="s">
        <v>305</v>
      </c>
      <c r="D168" s="46" t="s">
        <v>304</v>
      </c>
      <c r="E168" s="4" t="s">
        <v>32</v>
      </c>
      <c r="F168" s="4"/>
      <c r="G168" s="4"/>
      <c r="H168" s="5"/>
      <c r="I168" s="4"/>
      <c r="J168" s="9">
        <f t="shared" si="181"/>
        <v>0</v>
      </c>
      <c r="K168" s="4"/>
      <c r="L168" s="4"/>
      <c r="M168" s="27"/>
      <c r="N168" s="10"/>
      <c r="O168" s="9">
        <f t="shared" si="182"/>
        <v>0</v>
      </c>
      <c r="P168" s="20"/>
      <c r="Q168" s="20"/>
      <c r="R168" s="4">
        <v>500000</v>
      </c>
      <c r="S168" s="20">
        <v>52000</v>
      </c>
      <c r="T168" s="9">
        <f t="shared" si="183"/>
        <v>552000</v>
      </c>
      <c r="U168" s="20"/>
      <c r="V168" s="25"/>
      <c r="W168" s="25"/>
      <c r="X168" s="25"/>
      <c r="Y168" s="21">
        <f t="shared" si="184"/>
        <v>0</v>
      </c>
      <c r="Z168" s="25"/>
      <c r="AA168" s="21">
        <f>SUM(Z168:Z168)</f>
        <v>0</v>
      </c>
      <c r="AB168" s="25"/>
      <c r="AC168" s="21">
        <f>SUM(AB168:AB168)</f>
        <v>0</v>
      </c>
      <c r="AD168" s="25"/>
      <c r="AE168" s="25"/>
      <c r="AF168" s="25"/>
      <c r="AG168" s="25"/>
      <c r="AH168" s="21">
        <f t="shared" si="185"/>
        <v>0</v>
      </c>
      <c r="AI168" s="4">
        <f t="shared" si="186"/>
        <v>0</v>
      </c>
      <c r="AJ168" s="4">
        <f t="shared" si="186"/>
        <v>0</v>
      </c>
      <c r="AK168" s="4">
        <f t="shared" si="186"/>
        <v>500000</v>
      </c>
      <c r="AL168" s="4">
        <f>I168+N168+S168+X168+Z168+AB168+AG168</f>
        <v>52000</v>
      </c>
      <c r="AM168" s="9">
        <f t="shared" si="187"/>
        <v>552000</v>
      </c>
    </row>
    <row r="169" spans="1:39" ht="18.75">
      <c r="A169" s="187"/>
      <c r="B169" s="8">
        <v>5</v>
      </c>
      <c r="C169" s="1" t="s">
        <v>306</v>
      </c>
      <c r="D169" s="91" t="s">
        <v>304</v>
      </c>
      <c r="E169" s="4" t="s">
        <v>32</v>
      </c>
      <c r="F169" s="4"/>
      <c r="G169" s="4"/>
      <c r="H169" s="5"/>
      <c r="I169" s="4"/>
      <c r="J169" s="9">
        <f t="shared" si="181"/>
        <v>0</v>
      </c>
      <c r="K169" s="76">
        <v>290000</v>
      </c>
      <c r="L169" s="76">
        <v>1860000</v>
      </c>
      <c r="M169" s="76">
        <v>270000</v>
      </c>
      <c r="N169" s="76">
        <v>1500000</v>
      </c>
      <c r="O169" s="9">
        <f t="shared" si="182"/>
        <v>3920000</v>
      </c>
      <c r="P169" s="20"/>
      <c r="Q169" s="20"/>
      <c r="R169" s="20"/>
      <c r="S169" s="20"/>
      <c r="T169" s="9">
        <f t="shared" si="183"/>
        <v>0</v>
      </c>
      <c r="U169" s="20"/>
      <c r="V169" s="25">
        <v>733350</v>
      </c>
      <c r="W169" s="25">
        <v>388000</v>
      </c>
      <c r="X169" s="25">
        <v>148000</v>
      </c>
      <c r="Y169" s="21">
        <f t="shared" si="184"/>
        <v>1269350</v>
      </c>
      <c r="Z169" s="25"/>
      <c r="AA169" s="21">
        <f>SUM(Z169:Z169)</f>
        <v>0</v>
      </c>
      <c r="AB169" s="25"/>
      <c r="AC169" s="21">
        <f>SUM(AB169:AB169)</f>
        <v>0</v>
      </c>
      <c r="AD169" s="25"/>
      <c r="AE169" s="25"/>
      <c r="AF169" s="25"/>
      <c r="AG169" s="25"/>
      <c r="AH169" s="21">
        <f t="shared" si="185"/>
        <v>0</v>
      </c>
      <c r="AI169" s="4">
        <f t="shared" si="186"/>
        <v>290000</v>
      </c>
      <c r="AJ169" s="4">
        <f t="shared" si="186"/>
        <v>2593350</v>
      </c>
      <c r="AK169" s="4">
        <f t="shared" si="186"/>
        <v>658000</v>
      </c>
      <c r="AL169" s="4">
        <f>I169+N169+S169+X169+Z169+AB169+AG169</f>
        <v>1648000</v>
      </c>
      <c r="AM169" s="9">
        <f t="shared" si="187"/>
        <v>5189350</v>
      </c>
    </row>
    <row r="170" spans="1:39" s="38" customFormat="1">
      <c r="A170" s="34"/>
      <c r="B170" s="85"/>
      <c r="C170" s="35" t="s">
        <v>307</v>
      </c>
      <c r="D170" s="36"/>
      <c r="E170" s="37"/>
      <c r="F170" s="37">
        <f>SUM(F165:F169)</f>
        <v>0</v>
      </c>
      <c r="G170" s="37">
        <f t="shared" ref="G170:AM170" si="188">SUM(G165:G169)</f>
        <v>0</v>
      </c>
      <c r="H170" s="37">
        <f t="shared" si="188"/>
        <v>0</v>
      </c>
      <c r="I170" s="37">
        <f t="shared" si="188"/>
        <v>0</v>
      </c>
      <c r="J170" s="37">
        <f t="shared" si="188"/>
        <v>0</v>
      </c>
      <c r="K170" s="37">
        <f t="shared" si="188"/>
        <v>290000</v>
      </c>
      <c r="L170" s="37">
        <f t="shared" si="188"/>
        <v>1860000</v>
      </c>
      <c r="M170" s="37">
        <f t="shared" si="188"/>
        <v>1760000</v>
      </c>
      <c r="N170" s="37">
        <f t="shared" si="188"/>
        <v>1750000</v>
      </c>
      <c r="O170" s="37">
        <f t="shared" si="188"/>
        <v>5660000</v>
      </c>
      <c r="P170" s="37">
        <f t="shared" si="188"/>
        <v>0</v>
      </c>
      <c r="Q170" s="37">
        <f t="shared" si="188"/>
        <v>0</v>
      </c>
      <c r="R170" s="37">
        <f t="shared" si="188"/>
        <v>500000</v>
      </c>
      <c r="S170" s="37">
        <f t="shared" si="188"/>
        <v>52000</v>
      </c>
      <c r="T170" s="37">
        <f t="shared" si="188"/>
        <v>552000</v>
      </c>
      <c r="U170" s="37">
        <f t="shared" si="188"/>
        <v>195000</v>
      </c>
      <c r="V170" s="37">
        <f t="shared" si="188"/>
        <v>3075700</v>
      </c>
      <c r="W170" s="37">
        <f t="shared" si="188"/>
        <v>2762250</v>
      </c>
      <c r="X170" s="37">
        <f t="shared" si="188"/>
        <v>1779500</v>
      </c>
      <c r="Y170" s="37">
        <f t="shared" si="188"/>
        <v>7812450</v>
      </c>
      <c r="Z170" s="37">
        <f t="shared" si="188"/>
        <v>0</v>
      </c>
      <c r="AA170" s="37">
        <f t="shared" si="188"/>
        <v>0</v>
      </c>
      <c r="AB170" s="37">
        <f t="shared" si="188"/>
        <v>0</v>
      </c>
      <c r="AC170" s="37">
        <f t="shared" si="188"/>
        <v>0</v>
      </c>
      <c r="AD170" s="37">
        <f t="shared" si="188"/>
        <v>0</v>
      </c>
      <c r="AE170" s="37">
        <f t="shared" si="188"/>
        <v>100000</v>
      </c>
      <c r="AF170" s="37">
        <f t="shared" si="188"/>
        <v>253600</v>
      </c>
      <c r="AG170" s="37">
        <f t="shared" si="188"/>
        <v>0</v>
      </c>
      <c r="AH170" s="37">
        <f t="shared" si="188"/>
        <v>353600</v>
      </c>
      <c r="AI170" s="37">
        <f t="shared" si="188"/>
        <v>485000</v>
      </c>
      <c r="AJ170" s="37">
        <f t="shared" si="188"/>
        <v>5035700</v>
      </c>
      <c r="AK170" s="37">
        <f t="shared" si="188"/>
        <v>5275850</v>
      </c>
      <c r="AL170" s="37">
        <f t="shared" si="188"/>
        <v>3581500</v>
      </c>
      <c r="AM170" s="37">
        <f t="shared" si="188"/>
        <v>14378050</v>
      </c>
    </row>
    <row r="171" spans="1:39">
      <c r="A171" s="189" t="s">
        <v>24</v>
      </c>
      <c r="B171" s="8">
        <v>1</v>
      </c>
      <c r="C171" s="1" t="s">
        <v>308</v>
      </c>
      <c r="D171" s="61" t="s">
        <v>309</v>
      </c>
      <c r="E171" s="4" t="s">
        <v>24</v>
      </c>
      <c r="F171" s="4"/>
      <c r="G171" s="4"/>
      <c r="H171" s="5"/>
      <c r="I171" s="4"/>
      <c r="J171" s="9">
        <f t="shared" ref="J171:J206" si="189">SUM(F171:I171)</f>
        <v>0</v>
      </c>
      <c r="K171" s="4"/>
      <c r="L171" s="4"/>
      <c r="M171" s="4"/>
      <c r="N171" s="4"/>
      <c r="O171" s="9">
        <f t="shared" ref="O171:O206" si="190">SUM(K171:N171)</f>
        <v>0</v>
      </c>
      <c r="P171" s="20"/>
      <c r="Q171" s="20"/>
      <c r="R171" s="20"/>
      <c r="S171" s="20"/>
      <c r="T171" s="9">
        <f t="shared" ref="T171:T206" si="191">SUM(P171:S171)</f>
        <v>0</v>
      </c>
      <c r="U171" s="20">
        <v>195000</v>
      </c>
      <c r="V171" s="25">
        <v>271600</v>
      </c>
      <c r="W171" s="24">
        <v>38800</v>
      </c>
      <c r="X171" s="24">
        <v>514000</v>
      </c>
      <c r="Y171" s="21">
        <f t="shared" ref="Y171:Y206" si="192">SUM(U171:X171)</f>
        <v>1019400</v>
      </c>
      <c r="Z171" s="25">
        <v>0</v>
      </c>
      <c r="AA171" s="21">
        <f t="shared" ref="AA171:AA206" si="193">SUM(Z171:Z171)</f>
        <v>0</v>
      </c>
      <c r="AB171" s="25"/>
      <c r="AC171" s="21">
        <f t="shared" ref="AC171:AC206" si="194">SUM(AB171:AB171)</f>
        <v>0</v>
      </c>
      <c r="AD171" s="25"/>
      <c r="AE171" s="25"/>
      <c r="AF171" s="25"/>
      <c r="AG171" s="25"/>
      <c r="AH171" s="21">
        <f t="shared" ref="AH171:AH206" si="195">SUM(AD171:AG171)</f>
        <v>0</v>
      </c>
      <c r="AI171" s="4">
        <f t="shared" ref="AI171:AI206" si="196">F171+K171+P171+U171+AD171</f>
        <v>195000</v>
      </c>
      <c r="AJ171" s="4">
        <f t="shared" ref="AJ171:AJ206" si="197">G171+L171+Q171+V171+AE171</f>
        <v>271600</v>
      </c>
      <c r="AK171" s="4">
        <f t="shared" ref="AK171:AK206" si="198">H171+M171+R171+W171+AF171</f>
        <v>38800</v>
      </c>
      <c r="AL171" s="4">
        <f t="shared" ref="AL171:AL206" si="199">I171+N171+S171+X171+Z171+AB171+AG171</f>
        <v>514000</v>
      </c>
      <c r="AM171" s="9">
        <f t="shared" ref="AM171:AM206" si="200">SUM(AI171:AL171)</f>
        <v>1019400</v>
      </c>
    </row>
    <row r="172" spans="1:39">
      <c r="A172" s="190"/>
      <c r="B172" s="8">
        <v>2</v>
      </c>
      <c r="C172" s="1" t="s">
        <v>310</v>
      </c>
      <c r="D172" s="12" t="s">
        <v>311</v>
      </c>
      <c r="E172" s="4" t="s">
        <v>24</v>
      </c>
      <c r="F172" s="4">
        <v>155000</v>
      </c>
      <c r="G172" s="4">
        <v>881000</v>
      </c>
      <c r="H172" s="4">
        <f>110000+110000+330000</f>
        <v>550000</v>
      </c>
      <c r="I172" s="4">
        <f>160000+20000</f>
        <v>180000</v>
      </c>
      <c r="J172" s="9">
        <f t="shared" si="189"/>
        <v>1766000</v>
      </c>
      <c r="K172" s="4"/>
      <c r="L172" s="4"/>
      <c r="M172" s="4"/>
      <c r="N172" s="4"/>
      <c r="O172" s="9">
        <f t="shared" si="190"/>
        <v>0</v>
      </c>
      <c r="P172" s="20"/>
      <c r="Q172" s="20"/>
      <c r="R172" s="20"/>
      <c r="S172" s="20"/>
      <c r="T172" s="9">
        <f t="shared" si="191"/>
        <v>0</v>
      </c>
      <c r="U172" s="20"/>
      <c r="V172" s="25">
        <v>1020900</v>
      </c>
      <c r="W172" s="24">
        <v>621200</v>
      </c>
      <c r="X172" s="24">
        <v>240000</v>
      </c>
      <c r="Y172" s="21">
        <f t="shared" si="192"/>
        <v>1882100</v>
      </c>
      <c r="Z172" s="25">
        <v>1155000</v>
      </c>
      <c r="AA172" s="21">
        <f t="shared" si="193"/>
        <v>1155000</v>
      </c>
      <c r="AB172" s="25"/>
      <c r="AC172" s="21">
        <f t="shared" si="194"/>
        <v>0</v>
      </c>
      <c r="AD172" s="25"/>
      <c r="AE172" s="25">
        <v>100000</v>
      </c>
      <c r="AF172" s="25">
        <f>218150+257600</f>
        <v>475750</v>
      </c>
      <c r="AG172" s="25"/>
      <c r="AH172" s="21">
        <f t="shared" si="195"/>
        <v>575750</v>
      </c>
      <c r="AI172" s="4">
        <f t="shared" si="196"/>
        <v>155000</v>
      </c>
      <c r="AJ172" s="4">
        <f t="shared" si="197"/>
        <v>2001900</v>
      </c>
      <c r="AK172" s="4">
        <f t="shared" si="198"/>
        <v>1646950</v>
      </c>
      <c r="AL172" s="4">
        <f t="shared" si="199"/>
        <v>1575000</v>
      </c>
      <c r="AM172" s="9">
        <f t="shared" si="200"/>
        <v>5378850</v>
      </c>
    </row>
    <row r="173" spans="1:39" ht="30">
      <c r="A173" s="190"/>
      <c r="B173" s="8">
        <v>3</v>
      </c>
      <c r="C173" s="2" t="s">
        <v>312</v>
      </c>
      <c r="D173" s="13" t="s">
        <v>313</v>
      </c>
      <c r="E173" s="4" t="s">
        <v>24</v>
      </c>
      <c r="F173" s="4"/>
      <c r="G173" s="4"/>
      <c r="H173" s="4"/>
      <c r="I173" s="4"/>
      <c r="J173" s="9">
        <f t="shared" si="189"/>
        <v>0</v>
      </c>
      <c r="K173" s="4"/>
      <c r="L173" s="4"/>
      <c r="M173" s="4"/>
      <c r="N173" s="4"/>
      <c r="O173" s="9">
        <f t="shared" si="190"/>
        <v>0</v>
      </c>
      <c r="P173" s="20"/>
      <c r="Q173" s="20"/>
      <c r="R173" s="20"/>
      <c r="S173" s="20"/>
      <c r="T173" s="9">
        <f t="shared" si="191"/>
        <v>0</v>
      </c>
      <c r="U173" s="20"/>
      <c r="V173" s="25"/>
      <c r="W173" s="24"/>
      <c r="X173" s="24"/>
      <c r="Y173" s="21">
        <f t="shared" si="192"/>
        <v>0</v>
      </c>
      <c r="Z173" s="25">
        <v>0</v>
      </c>
      <c r="AA173" s="21">
        <f t="shared" si="193"/>
        <v>0</v>
      </c>
      <c r="AB173" s="25"/>
      <c r="AC173" s="21">
        <f t="shared" si="194"/>
        <v>0</v>
      </c>
      <c r="AD173" s="25"/>
      <c r="AE173" s="25">
        <v>100000</v>
      </c>
      <c r="AF173" s="25">
        <v>276000</v>
      </c>
      <c r="AG173" s="25"/>
      <c r="AH173" s="21">
        <f t="shared" si="195"/>
        <v>376000</v>
      </c>
      <c r="AI173" s="4">
        <f t="shared" si="196"/>
        <v>0</v>
      </c>
      <c r="AJ173" s="4">
        <f t="shared" si="197"/>
        <v>100000</v>
      </c>
      <c r="AK173" s="4">
        <f t="shared" si="198"/>
        <v>276000</v>
      </c>
      <c r="AL173" s="4">
        <f t="shared" si="199"/>
        <v>0</v>
      </c>
      <c r="AM173" s="9">
        <f t="shared" si="200"/>
        <v>376000</v>
      </c>
    </row>
    <row r="174" spans="1:39">
      <c r="A174" s="190"/>
      <c r="B174" s="8">
        <v>4</v>
      </c>
      <c r="C174" s="1" t="s">
        <v>314</v>
      </c>
      <c r="D174" s="12" t="s">
        <v>26</v>
      </c>
      <c r="E174" s="4" t="s">
        <v>24</v>
      </c>
      <c r="F174" s="4"/>
      <c r="G174" s="4">
        <v>155000</v>
      </c>
      <c r="H174" s="4">
        <f>368500+47500+82500</f>
        <v>498500</v>
      </c>
      <c r="I174" s="4">
        <f>100000+120000</f>
        <v>220000</v>
      </c>
      <c r="J174" s="9">
        <f t="shared" si="189"/>
        <v>873500</v>
      </c>
      <c r="K174" s="4"/>
      <c r="L174" s="4"/>
      <c r="M174" s="4"/>
      <c r="N174" s="4"/>
      <c r="O174" s="9">
        <f t="shared" si="190"/>
        <v>0</v>
      </c>
      <c r="P174" s="20"/>
      <c r="Q174" s="20"/>
      <c r="R174" s="20"/>
      <c r="S174" s="20"/>
      <c r="T174" s="9">
        <f t="shared" si="191"/>
        <v>0</v>
      </c>
      <c r="U174" s="20"/>
      <c r="V174" s="25">
        <v>607050</v>
      </c>
      <c r="W174" s="24">
        <v>506100</v>
      </c>
      <c r="X174" s="24">
        <v>180000</v>
      </c>
      <c r="Y174" s="21">
        <f t="shared" si="192"/>
        <v>1293150</v>
      </c>
      <c r="Z174" s="25">
        <v>921500</v>
      </c>
      <c r="AA174" s="21">
        <f t="shared" si="193"/>
        <v>921500</v>
      </c>
      <c r="AB174" s="25"/>
      <c r="AC174" s="21">
        <f t="shared" si="194"/>
        <v>0</v>
      </c>
      <c r="AD174" s="25"/>
      <c r="AE174" s="25"/>
      <c r="AF174" s="25"/>
      <c r="AG174" s="25"/>
      <c r="AH174" s="21">
        <f t="shared" si="195"/>
        <v>0</v>
      </c>
      <c r="AI174" s="4">
        <f t="shared" si="196"/>
        <v>0</v>
      </c>
      <c r="AJ174" s="4">
        <f t="shared" si="197"/>
        <v>762050</v>
      </c>
      <c r="AK174" s="4">
        <f t="shared" si="198"/>
        <v>1004600</v>
      </c>
      <c r="AL174" s="4">
        <f t="shared" si="199"/>
        <v>1321500</v>
      </c>
      <c r="AM174" s="9">
        <f t="shared" si="200"/>
        <v>3088150</v>
      </c>
    </row>
    <row r="175" spans="1:39">
      <c r="A175" s="190"/>
      <c r="B175" s="8">
        <v>5</v>
      </c>
      <c r="C175" s="1" t="s">
        <v>315</v>
      </c>
      <c r="D175" s="12" t="s">
        <v>316</v>
      </c>
      <c r="E175" s="4" t="s">
        <v>24</v>
      </c>
      <c r="F175" s="4"/>
      <c r="G175" s="4"/>
      <c r="H175" s="4">
        <v>155000</v>
      </c>
      <c r="I175" s="4">
        <f>64000+12000</f>
        <v>76000</v>
      </c>
      <c r="J175" s="9">
        <f t="shared" si="189"/>
        <v>231000</v>
      </c>
      <c r="K175" s="4"/>
      <c r="L175" s="4"/>
      <c r="M175" s="4"/>
      <c r="N175" s="4"/>
      <c r="O175" s="9">
        <f t="shared" si="190"/>
        <v>0</v>
      </c>
      <c r="P175" s="20"/>
      <c r="Q175" s="20"/>
      <c r="R175" s="20"/>
      <c r="S175" s="20"/>
      <c r="T175" s="9">
        <f t="shared" si="191"/>
        <v>0</v>
      </c>
      <c r="U175" s="20"/>
      <c r="V175" s="25">
        <v>195000</v>
      </c>
      <c r="W175" s="24">
        <v>377200</v>
      </c>
      <c r="X175" s="24">
        <v>140000</v>
      </c>
      <c r="Y175" s="21">
        <f t="shared" si="192"/>
        <v>712200</v>
      </c>
      <c r="Z175" s="25">
        <v>612500</v>
      </c>
      <c r="AA175" s="21">
        <f t="shared" si="193"/>
        <v>612500</v>
      </c>
      <c r="AB175" s="25"/>
      <c r="AC175" s="21">
        <f t="shared" si="194"/>
        <v>0</v>
      </c>
      <c r="AD175" s="25"/>
      <c r="AE175" s="25">
        <v>100000</v>
      </c>
      <c r="AF175" s="25">
        <v>276000</v>
      </c>
      <c r="AG175" s="25"/>
      <c r="AH175" s="21">
        <f t="shared" si="195"/>
        <v>376000</v>
      </c>
      <c r="AI175" s="4">
        <f t="shared" si="196"/>
        <v>0</v>
      </c>
      <c r="AJ175" s="4">
        <f t="shared" si="197"/>
        <v>295000</v>
      </c>
      <c r="AK175" s="4">
        <f t="shared" si="198"/>
        <v>808200</v>
      </c>
      <c r="AL175" s="4">
        <f t="shared" si="199"/>
        <v>828500</v>
      </c>
      <c r="AM175" s="9">
        <f t="shared" si="200"/>
        <v>1931700</v>
      </c>
    </row>
    <row r="176" spans="1:39" ht="21" customHeight="1">
      <c r="A176" s="190"/>
      <c r="B176" s="8">
        <v>6</v>
      </c>
      <c r="C176" s="44" t="s">
        <v>317</v>
      </c>
      <c r="D176" s="62" t="s">
        <v>318</v>
      </c>
      <c r="E176" s="4" t="s">
        <v>24</v>
      </c>
      <c r="F176" s="4"/>
      <c r="G176" s="4"/>
      <c r="H176" s="4"/>
      <c r="I176" s="4"/>
      <c r="J176" s="9">
        <f t="shared" si="189"/>
        <v>0</v>
      </c>
      <c r="K176" s="76"/>
      <c r="L176" s="76"/>
      <c r="M176" s="76">
        <v>290000</v>
      </c>
      <c r="N176" s="76"/>
      <c r="O176" s="9">
        <f t="shared" si="190"/>
        <v>290000</v>
      </c>
      <c r="P176" s="20"/>
      <c r="Q176" s="20"/>
      <c r="R176" s="20"/>
      <c r="S176" s="20"/>
      <c r="T176" s="9">
        <f t="shared" si="191"/>
        <v>0</v>
      </c>
      <c r="U176" s="20"/>
      <c r="V176" s="25"/>
      <c r="W176" s="24"/>
      <c r="X176" s="24"/>
      <c r="Y176" s="21">
        <f t="shared" si="192"/>
        <v>0</v>
      </c>
      <c r="Z176" s="25">
        <v>0</v>
      </c>
      <c r="AA176" s="21">
        <f t="shared" si="193"/>
        <v>0</v>
      </c>
      <c r="AB176" s="25"/>
      <c r="AC176" s="21">
        <f t="shared" si="194"/>
        <v>0</v>
      </c>
      <c r="AD176" s="25"/>
      <c r="AE176" s="25"/>
      <c r="AF176" s="25"/>
      <c r="AG176" s="25"/>
      <c r="AH176" s="21">
        <f t="shared" si="195"/>
        <v>0</v>
      </c>
      <c r="AI176" s="4">
        <f t="shared" si="196"/>
        <v>0</v>
      </c>
      <c r="AJ176" s="4">
        <f t="shared" si="197"/>
        <v>0</v>
      </c>
      <c r="AK176" s="4">
        <f t="shared" si="198"/>
        <v>290000</v>
      </c>
      <c r="AL176" s="4">
        <f t="shared" si="199"/>
        <v>0</v>
      </c>
      <c r="AM176" s="9">
        <f t="shared" si="200"/>
        <v>290000</v>
      </c>
    </row>
    <row r="177" spans="1:39">
      <c r="A177" s="190"/>
      <c r="B177" s="8">
        <v>7</v>
      </c>
      <c r="C177" s="1" t="s">
        <v>319</v>
      </c>
      <c r="D177" s="12" t="s">
        <v>320</v>
      </c>
      <c r="E177" s="4" t="s">
        <v>24</v>
      </c>
      <c r="F177" s="4"/>
      <c r="G177" s="4">
        <v>155000</v>
      </c>
      <c r="H177" s="4"/>
      <c r="I177" s="4"/>
      <c r="J177" s="9">
        <f t="shared" si="189"/>
        <v>155000</v>
      </c>
      <c r="K177" s="4"/>
      <c r="L177" s="4"/>
      <c r="M177" s="4"/>
      <c r="N177" s="4"/>
      <c r="O177" s="9">
        <f t="shared" si="190"/>
        <v>0</v>
      </c>
      <c r="P177" s="20"/>
      <c r="Q177" s="20"/>
      <c r="R177" s="20"/>
      <c r="S177" s="20"/>
      <c r="T177" s="9">
        <f t="shared" si="191"/>
        <v>0</v>
      </c>
      <c r="U177" s="20"/>
      <c r="V177" s="20">
        <v>345350</v>
      </c>
      <c r="W177" s="24">
        <v>155200</v>
      </c>
      <c r="X177" s="24"/>
      <c r="Y177" s="21">
        <f t="shared" si="192"/>
        <v>500550</v>
      </c>
      <c r="Z177" s="25">
        <v>0</v>
      </c>
      <c r="AA177" s="21">
        <f t="shared" si="193"/>
        <v>0</v>
      </c>
      <c r="AB177" s="25"/>
      <c r="AC177" s="21">
        <f t="shared" si="194"/>
        <v>0</v>
      </c>
      <c r="AD177" s="25"/>
      <c r="AE177" s="25"/>
      <c r="AF177" s="25"/>
      <c r="AG177" s="25"/>
      <c r="AH177" s="21">
        <f t="shared" si="195"/>
        <v>0</v>
      </c>
      <c r="AI177" s="4">
        <f t="shared" si="196"/>
        <v>0</v>
      </c>
      <c r="AJ177" s="4">
        <f t="shared" si="197"/>
        <v>500350</v>
      </c>
      <c r="AK177" s="4">
        <f t="shared" si="198"/>
        <v>155200</v>
      </c>
      <c r="AL177" s="4">
        <f t="shared" si="199"/>
        <v>0</v>
      </c>
      <c r="AM177" s="9">
        <f t="shared" si="200"/>
        <v>655550</v>
      </c>
    </row>
    <row r="178" spans="1:39">
      <c r="A178" s="190"/>
      <c r="B178" s="8">
        <v>8</v>
      </c>
      <c r="C178" s="1" t="s">
        <v>321</v>
      </c>
      <c r="D178" s="12" t="s">
        <v>313</v>
      </c>
      <c r="E178" s="4" t="s">
        <v>24</v>
      </c>
      <c r="F178" s="4"/>
      <c r="G178" s="4">
        <v>255000</v>
      </c>
      <c r="H178" s="4">
        <f>52000+60500+209000+77000</f>
        <v>398500</v>
      </c>
      <c r="I178" s="4">
        <f>140000+20000</f>
        <v>160000</v>
      </c>
      <c r="J178" s="9">
        <f t="shared" si="189"/>
        <v>813500</v>
      </c>
      <c r="K178" s="4"/>
      <c r="L178" s="4"/>
      <c r="M178" s="4"/>
      <c r="N178" s="4"/>
      <c r="O178" s="9">
        <f t="shared" si="190"/>
        <v>0</v>
      </c>
      <c r="P178" s="20"/>
      <c r="Q178" s="20"/>
      <c r="R178" s="20"/>
      <c r="S178" s="20"/>
      <c r="T178" s="9">
        <f t="shared" si="191"/>
        <v>0</v>
      </c>
      <c r="U178" s="20"/>
      <c r="V178" s="25">
        <v>392250</v>
      </c>
      <c r="W178" s="24">
        <v>664450</v>
      </c>
      <c r="X178" s="24">
        <v>270000</v>
      </c>
      <c r="Y178" s="21">
        <f t="shared" si="192"/>
        <v>1326700</v>
      </c>
      <c r="Z178" s="25">
        <v>1155000</v>
      </c>
      <c r="AA178" s="21">
        <f t="shared" si="193"/>
        <v>1155000</v>
      </c>
      <c r="AB178" s="25"/>
      <c r="AC178" s="21">
        <f t="shared" si="194"/>
        <v>0</v>
      </c>
      <c r="AD178" s="25"/>
      <c r="AE178" s="25">
        <v>100000</v>
      </c>
      <c r="AF178" s="25">
        <v>276000</v>
      </c>
      <c r="AG178" s="25"/>
      <c r="AH178" s="21">
        <f t="shared" si="195"/>
        <v>376000</v>
      </c>
      <c r="AI178" s="4">
        <f t="shared" si="196"/>
        <v>0</v>
      </c>
      <c r="AJ178" s="4">
        <f t="shared" si="197"/>
        <v>747250</v>
      </c>
      <c r="AK178" s="4">
        <f t="shared" si="198"/>
        <v>1338950</v>
      </c>
      <c r="AL178" s="4">
        <f t="shared" si="199"/>
        <v>1585000</v>
      </c>
      <c r="AM178" s="9">
        <f t="shared" si="200"/>
        <v>3671200</v>
      </c>
    </row>
    <row r="179" spans="1:39" ht="47.25">
      <c r="A179" s="190"/>
      <c r="B179" s="8">
        <v>9</v>
      </c>
      <c r="C179" s="1" t="s">
        <v>322</v>
      </c>
      <c r="D179" s="12" t="s">
        <v>323</v>
      </c>
      <c r="E179" s="4" t="s">
        <v>24</v>
      </c>
      <c r="F179" s="4">
        <v>155000</v>
      </c>
      <c r="G179" s="4">
        <v>137500</v>
      </c>
      <c r="H179" s="4">
        <f>115500+38500+44000+33000</f>
        <v>231000</v>
      </c>
      <c r="I179" s="4"/>
      <c r="J179" s="9">
        <f t="shared" si="189"/>
        <v>523500</v>
      </c>
      <c r="K179" s="4"/>
      <c r="L179" s="4"/>
      <c r="M179" s="4"/>
      <c r="N179" s="4"/>
      <c r="O179" s="9">
        <f t="shared" si="190"/>
        <v>0</v>
      </c>
      <c r="P179" s="20">
        <v>290000</v>
      </c>
      <c r="Q179" s="20"/>
      <c r="R179" s="4">
        <v>1218000</v>
      </c>
      <c r="S179" s="22"/>
      <c r="T179" s="9">
        <f t="shared" si="191"/>
        <v>1508000</v>
      </c>
      <c r="U179" s="20">
        <v>195000</v>
      </c>
      <c r="V179" s="25">
        <v>359450</v>
      </c>
      <c r="W179" s="24">
        <v>55200</v>
      </c>
      <c r="X179" s="24"/>
      <c r="Y179" s="21">
        <f t="shared" si="192"/>
        <v>609650</v>
      </c>
      <c r="Z179" s="25">
        <v>0</v>
      </c>
      <c r="AA179" s="21">
        <f t="shared" si="193"/>
        <v>0</v>
      </c>
      <c r="AB179" s="25"/>
      <c r="AC179" s="21">
        <f t="shared" si="194"/>
        <v>0</v>
      </c>
      <c r="AD179" s="25"/>
      <c r="AE179" s="25"/>
      <c r="AF179" s="25"/>
      <c r="AG179" s="25"/>
      <c r="AH179" s="21">
        <f t="shared" si="195"/>
        <v>0</v>
      </c>
      <c r="AI179" s="4">
        <f t="shared" si="196"/>
        <v>640000</v>
      </c>
      <c r="AJ179" s="4">
        <f t="shared" si="197"/>
        <v>496950</v>
      </c>
      <c r="AK179" s="4">
        <f t="shared" si="198"/>
        <v>1504200</v>
      </c>
      <c r="AL179" s="4">
        <f t="shared" si="199"/>
        <v>0</v>
      </c>
      <c r="AM179" s="9">
        <f t="shared" si="200"/>
        <v>2641150</v>
      </c>
    </row>
    <row r="180" spans="1:39">
      <c r="A180" s="190"/>
      <c r="B180" s="8">
        <v>10</v>
      </c>
      <c r="C180" s="1" t="s">
        <v>324</v>
      </c>
      <c r="D180" s="12" t="s">
        <v>26</v>
      </c>
      <c r="E180" s="4" t="s">
        <v>24</v>
      </c>
      <c r="F180" s="4"/>
      <c r="G180" s="4"/>
      <c r="H180" s="4"/>
      <c r="I180" s="4"/>
      <c r="J180" s="9">
        <f t="shared" si="189"/>
        <v>0</v>
      </c>
      <c r="K180" s="4"/>
      <c r="L180" s="4"/>
      <c r="M180" s="4"/>
      <c r="N180" s="4"/>
      <c r="O180" s="9">
        <f t="shared" si="190"/>
        <v>0</v>
      </c>
      <c r="P180" s="20">
        <v>290000</v>
      </c>
      <c r="Q180" s="20"/>
      <c r="R180" s="4">
        <v>252000</v>
      </c>
      <c r="S180" s="22"/>
      <c r="T180" s="9">
        <f t="shared" si="191"/>
        <v>542000</v>
      </c>
      <c r="U180" s="20"/>
      <c r="V180" s="25"/>
      <c r="W180" s="24"/>
      <c r="X180" s="24"/>
      <c r="Y180" s="21">
        <f t="shared" si="192"/>
        <v>0</v>
      </c>
      <c r="Z180" s="25">
        <v>0</v>
      </c>
      <c r="AA180" s="21">
        <f t="shared" si="193"/>
        <v>0</v>
      </c>
      <c r="AB180" s="25"/>
      <c r="AC180" s="21">
        <f t="shared" si="194"/>
        <v>0</v>
      </c>
      <c r="AD180" s="25"/>
      <c r="AE180" s="25"/>
      <c r="AF180" s="25"/>
      <c r="AG180" s="25"/>
      <c r="AH180" s="21">
        <f t="shared" si="195"/>
        <v>0</v>
      </c>
      <c r="AI180" s="4">
        <f t="shared" si="196"/>
        <v>290000</v>
      </c>
      <c r="AJ180" s="4">
        <f t="shared" si="197"/>
        <v>0</v>
      </c>
      <c r="AK180" s="4">
        <f t="shared" si="198"/>
        <v>252000</v>
      </c>
      <c r="AL180" s="4">
        <f t="shared" si="199"/>
        <v>0</v>
      </c>
      <c r="AM180" s="9">
        <f t="shared" si="200"/>
        <v>542000</v>
      </c>
    </row>
    <row r="181" spans="1:39">
      <c r="A181" s="190"/>
      <c r="B181" s="8">
        <v>11</v>
      </c>
      <c r="C181" s="1" t="s">
        <v>325</v>
      </c>
      <c r="D181" s="61" t="s">
        <v>326</v>
      </c>
      <c r="E181" s="4" t="s">
        <v>24</v>
      </c>
      <c r="F181" s="4"/>
      <c r="G181" s="4"/>
      <c r="H181" s="4"/>
      <c r="I181" s="4"/>
      <c r="J181" s="9">
        <f t="shared" si="189"/>
        <v>0</v>
      </c>
      <c r="K181" s="4"/>
      <c r="L181" s="4"/>
      <c r="M181" s="4"/>
      <c r="N181" s="4"/>
      <c r="O181" s="9">
        <f t="shared" si="190"/>
        <v>0</v>
      </c>
      <c r="P181" s="20">
        <v>290000</v>
      </c>
      <c r="Q181" s="22">
        <v>931000</v>
      </c>
      <c r="R181" s="4">
        <v>112000</v>
      </c>
      <c r="S181" s="73">
        <v>720000</v>
      </c>
      <c r="T181" s="9">
        <f t="shared" si="191"/>
        <v>2053000</v>
      </c>
      <c r="U181" s="20">
        <v>195000</v>
      </c>
      <c r="V181" s="25">
        <v>557300</v>
      </c>
      <c r="W181" s="24">
        <v>216700</v>
      </c>
      <c r="X181" s="24">
        <v>96000</v>
      </c>
      <c r="Y181" s="21">
        <f t="shared" si="192"/>
        <v>1065000</v>
      </c>
      <c r="Z181" s="25">
        <v>0</v>
      </c>
      <c r="AA181" s="21">
        <f t="shared" si="193"/>
        <v>0</v>
      </c>
      <c r="AB181" s="25"/>
      <c r="AC181" s="21">
        <f t="shared" si="194"/>
        <v>0</v>
      </c>
      <c r="AD181" s="25"/>
      <c r="AE181" s="25"/>
      <c r="AF181" s="25"/>
      <c r="AG181" s="25"/>
      <c r="AH181" s="21">
        <f t="shared" si="195"/>
        <v>0</v>
      </c>
      <c r="AI181" s="4">
        <f t="shared" si="196"/>
        <v>485000</v>
      </c>
      <c r="AJ181" s="4">
        <f t="shared" si="197"/>
        <v>1488300</v>
      </c>
      <c r="AK181" s="4">
        <f t="shared" si="198"/>
        <v>328700</v>
      </c>
      <c r="AL181" s="4">
        <f t="shared" si="199"/>
        <v>816000</v>
      </c>
      <c r="AM181" s="9">
        <f t="shared" si="200"/>
        <v>3118000</v>
      </c>
    </row>
    <row r="182" spans="1:39">
      <c r="A182" s="190"/>
      <c r="B182" s="8">
        <v>12</v>
      </c>
      <c r="C182" s="1" t="s">
        <v>327</v>
      </c>
      <c r="D182" s="12" t="s">
        <v>328</v>
      </c>
      <c r="E182" s="4" t="s">
        <v>24</v>
      </c>
      <c r="F182" s="4"/>
      <c r="G182" s="4">
        <v>155000</v>
      </c>
      <c r="H182" s="4">
        <f>155000+64000+60000</f>
        <v>279000</v>
      </c>
      <c r="I182" s="4">
        <f>80000+20000</f>
        <v>100000</v>
      </c>
      <c r="J182" s="9">
        <f t="shared" si="189"/>
        <v>534000</v>
      </c>
      <c r="K182" s="4"/>
      <c r="L182" s="4"/>
      <c r="M182" s="4"/>
      <c r="N182" s="4"/>
      <c r="O182" s="9">
        <f t="shared" si="190"/>
        <v>0</v>
      </c>
      <c r="P182" s="20"/>
      <c r="Q182" s="20"/>
      <c r="R182" s="4"/>
      <c r="S182" s="20"/>
      <c r="T182" s="9">
        <f t="shared" si="191"/>
        <v>0</v>
      </c>
      <c r="U182" s="20"/>
      <c r="V182" s="20">
        <v>258750</v>
      </c>
      <c r="W182" s="24">
        <v>388150</v>
      </c>
      <c r="X182" s="24">
        <v>150000</v>
      </c>
      <c r="Y182" s="21">
        <f t="shared" si="192"/>
        <v>796900</v>
      </c>
      <c r="Z182" s="25">
        <v>945000</v>
      </c>
      <c r="AA182" s="21">
        <f t="shared" si="193"/>
        <v>945000</v>
      </c>
      <c r="AB182" s="25"/>
      <c r="AC182" s="21">
        <f t="shared" si="194"/>
        <v>0</v>
      </c>
      <c r="AD182" s="25"/>
      <c r="AE182" s="25"/>
      <c r="AF182" s="25"/>
      <c r="AG182" s="25"/>
      <c r="AH182" s="21">
        <f t="shared" si="195"/>
        <v>0</v>
      </c>
      <c r="AI182" s="4">
        <f t="shared" si="196"/>
        <v>0</v>
      </c>
      <c r="AJ182" s="4">
        <f t="shared" si="197"/>
        <v>413750</v>
      </c>
      <c r="AK182" s="4">
        <f t="shared" si="198"/>
        <v>667150</v>
      </c>
      <c r="AL182" s="4">
        <f t="shared" si="199"/>
        <v>1195000</v>
      </c>
      <c r="AM182" s="9">
        <f t="shared" si="200"/>
        <v>2275900</v>
      </c>
    </row>
    <row r="183" spans="1:39">
      <c r="A183" s="190"/>
      <c r="B183" s="8">
        <v>13</v>
      </c>
      <c r="C183" s="1" t="s">
        <v>329</v>
      </c>
      <c r="D183" s="12" t="s">
        <v>330</v>
      </c>
      <c r="E183" s="4" t="s">
        <v>24</v>
      </c>
      <c r="F183" s="4">
        <v>155000</v>
      </c>
      <c r="G183" s="4">
        <v>1039000</v>
      </c>
      <c r="H183" s="4">
        <f>220000+297000+80000</f>
        <v>597000</v>
      </c>
      <c r="I183" s="4">
        <f>60000+40000</f>
        <v>100000</v>
      </c>
      <c r="J183" s="9">
        <f t="shared" si="189"/>
        <v>1891000</v>
      </c>
      <c r="K183" s="76"/>
      <c r="L183" s="76">
        <v>1010000</v>
      </c>
      <c r="M183" s="76">
        <v>1670000</v>
      </c>
      <c r="N183" s="76">
        <v>250000</v>
      </c>
      <c r="O183" s="9">
        <f t="shared" si="190"/>
        <v>2930000</v>
      </c>
      <c r="P183" s="20"/>
      <c r="Q183" s="22">
        <v>899000</v>
      </c>
      <c r="R183" s="4">
        <v>870000</v>
      </c>
      <c r="S183" s="32">
        <v>300000</v>
      </c>
      <c r="T183" s="9">
        <f t="shared" si="191"/>
        <v>2069000</v>
      </c>
      <c r="U183" s="20">
        <v>195000</v>
      </c>
      <c r="V183" s="25">
        <v>1164700</v>
      </c>
      <c r="W183" s="24">
        <v>483750</v>
      </c>
      <c r="X183" s="24">
        <v>150000</v>
      </c>
      <c r="Y183" s="21">
        <f t="shared" si="192"/>
        <v>1993450</v>
      </c>
      <c r="Z183" s="25">
        <v>0</v>
      </c>
      <c r="AA183" s="21">
        <f t="shared" si="193"/>
        <v>0</v>
      </c>
      <c r="AB183" s="24">
        <v>900000</v>
      </c>
      <c r="AC183" s="21">
        <f t="shared" si="194"/>
        <v>900000</v>
      </c>
      <c r="AD183" s="25"/>
      <c r="AE183" s="24">
        <f>100000+276000</f>
        <v>376000</v>
      </c>
      <c r="AF183" s="25"/>
      <c r="AG183" s="25"/>
      <c r="AH183" s="21">
        <f t="shared" si="195"/>
        <v>376000</v>
      </c>
      <c r="AI183" s="4">
        <f t="shared" si="196"/>
        <v>350000</v>
      </c>
      <c r="AJ183" s="4">
        <f t="shared" si="197"/>
        <v>4488700</v>
      </c>
      <c r="AK183" s="4">
        <f t="shared" si="198"/>
        <v>3620750</v>
      </c>
      <c r="AL183" s="4">
        <f t="shared" si="199"/>
        <v>1700000</v>
      </c>
      <c r="AM183" s="9">
        <f t="shared" si="200"/>
        <v>10159450</v>
      </c>
    </row>
    <row r="184" spans="1:39" ht="31.5">
      <c r="A184" s="190"/>
      <c r="B184" s="8">
        <v>14</v>
      </c>
      <c r="C184" s="1" t="s">
        <v>331</v>
      </c>
      <c r="D184" s="5" t="s">
        <v>421</v>
      </c>
      <c r="E184" s="4" t="s">
        <v>24</v>
      </c>
      <c r="F184" s="4"/>
      <c r="G184" s="4"/>
      <c r="H184" s="4"/>
      <c r="I184" s="4"/>
      <c r="J184" s="9">
        <f t="shared" si="189"/>
        <v>0</v>
      </c>
      <c r="K184" s="4"/>
      <c r="L184" s="4"/>
      <c r="M184" s="4"/>
      <c r="N184" s="4"/>
      <c r="O184" s="9">
        <f t="shared" si="190"/>
        <v>0</v>
      </c>
      <c r="P184" s="20"/>
      <c r="Q184" s="20"/>
      <c r="R184" s="4"/>
      <c r="S184" s="20"/>
      <c r="T184" s="9">
        <f t="shared" si="191"/>
        <v>0</v>
      </c>
      <c r="U184" s="20"/>
      <c r="V184" s="25">
        <v>195000</v>
      </c>
      <c r="W184" s="24">
        <v>275000</v>
      </c>
      <c r="X184" s="24">
        <v>1010000</v>
      </c>
      <c r="Y184" s="21">
        <f t="shared" si="192"/>
        <v>1480000</v>
      </c>
      <c r="Z184" s="25">
        <v>0</v>
      </c>
      <c r="AA184" s="21">
        <f t="shared" si="193"/>
        <v>0</v>
      </c>
      <c r="AB184" s="25"/>
      <c r="AC184" s="21">
        <f t="shared" si="194"/>
        <v>0</v>
      </c>
      <c r="AD184" s="25"/>
      <c r="AE184" s="25">
        <v>100000</v>
      </c>
      <c r="AF184" s="25">
        <v>239200</v>
      </c>
      <c r="AG184" s="25"/>
      <c r="AH184" s="21">
        <f t="shared" si="195"/>
        <v>339200</v>
      </c>
      <c r="AI184" s="4">
        <f t="shared" si="196"/>
        <v>0</v>
      </c>
      <c r="AJ184" s="4">
        <f t="shared" si="197"/>
        <v>295000</v>
      </c>
      <c r="AK184" s="4">
        <f t="shared" si="198"/>
        <v>514200</v>
      </c>
      <c r="AL184" s="4">
        <f t="shared" si="199"/>
        <v>1010000</v>
      </c>
      <c r="AM184" s="9">
        <f t="shared" si="200"/>
        <v>1819200</v>
      </c>
    </row>
    <row r="185" spans="1:39">
      <c r="A185" s="190"/>
      <c r="B185" s="8">
        <v>15</v>
      </c>
      <c r="C185" s="1" t="s">
        <v>332</v>
      </c>
      <c r="D185" s="4" t="s">
        <v>333</v>
      </c>
      <c r="E185" s="4" t="s">
        <v>24</v>
      </c>
      <c r="F185" s="4"/>
      <c r="G185" s="4">
        <v>741983</v>
      </c>
      <c r="H185" s="4">
        <f>88000+110000+220000</f>
        <v>418000</v>
      </c>
      <c r="I185" s="4"/>
      <c r="J185" s="9">
        <f t="shared" si="189"/>
        <v>1159983</v>
      </c>
      <c r="K185" s="4"/>
      <c r="L185" s="4"/>
      <c r="M185" s="4"/>
      <c r="N185" s="4"/>
      <c r="O185" s="9">
        <f t="shared" si="190"/>
        <v>0</v>
      </c>
      <c r="P185" s="20"/>
      <c r="Q185" s="22">
        <v>1078065</v>
      </c>
      <c r="R185" s="4">
        <v>2130000</v>
      </c>
      <c r="S185" s="32"/>
      <c r="T185" s="9">
        <f t="shared" si="191"/>
        <v>3208065</v>
      </c>
      <c r="U185" s="20"/>
      <c r="V185" s="25">
        <v>1012650</v>
      </c>
      <c r="W185" s="24">
        <v>477000</v>
      </c>
      <c r="X185" s="24"/>
      <c r="Y185" s="21">
        <f t="shared" si="192"/>
        <v>1489650</v>
      </c>
      <c r="Z185" s="25">
        <v>0</v>
      </c>
      <c r="AA185" s="21">
        <f t="shared" si="193"/>
        <v>0</v>
      </c>
      <c r="AB185" s="25"/>
      <c r="AC185" s="21">
        <f t="shared" si="194"/>
        <v>0</v>
      </c>
      <c r="AD185" s="25"/>
      <c r="AE185" s="25"/>
      <c r="AF185" s="25"/>
      <c r="AG185" s="25"/>
      <c r="AH185" s="21">
        <f t="shared" si="195"/>
        <v>0</v>
      </c>
      <c r="AI185" s="4">
        <f t="shared" si="196"/>
        <v>0</v>
      </c>
      <c r="AJ185" s="4">
        <f t="shared" si="197"/>
        <v>2832698</v>
      </c>
      <c r="AK185" s="4">
        <f t="shared" si="198"/>
        <v>3025000</v>
      </c>
      <c r="AL185" s="4">
        <f t="shared" si="199"/>
        <v>0</v>
      </c>
      <c r="AM185" s="9">
        <f t="shared" si="200"/>
        <v>5857698</v>
      </c>
    </row>
    <row r="186" spans="1:39">
      <c r="A186" s="190"/>
      <c r="B186" s="8">
        <v>16</v>
      </c>
      <c r="C186" s="1" t="s">
        <v>334</v>
      </c>
      <c r="D186" s="4" t="s">
        <v>335</v>
      </c>
      <c r="E186" s="4" t="s">
        <v>24</v>
      </c>
      <c r="F186" s="4"/>
      <c r="G186" s="4">
        <v>155000</v>
      </c>
      <c r="H186" s="4"/>
      <c r="I186" s="4"/>
      <c r="J186" s="9">
        <f t="shared" si="189"/>
        <v>155000</v>
      </c>
      <c r="K186" s="4"/>
      <c r="L186" s="4"/>
      <c r="M186" s="4"/>
      <c r="N186" s="4"/>
      <c r="O186" s="9">
        <f t="shared" si="190"/>
        <v>0</v>
      </c>
      <c r="P186" s="20"/>
      <c r="Q186" s="20"/>
      <c r="R186" s="20"/>
      <c r="S186" s="20"/>
      <c r="T186" s="9">
        <f t="shared" si="191"/>
        <v>0</v>
      </c>
      <c r="U186" s="20"/>
      <c r="V186" s="25">
        <v>841750</v>
      </c>
      <c r="W186" s="20"/>
      <c r="X186" s="20"/>
      <c r="Y186" s="21">
        <f t="shared" si="192"/>
        <v>841750</v>
      </c>
      <c r="Z186" s="25">
        <v>0</v>
      </c>
      <c r="AA186" s="21">
        <f t="shared" si="193"/>
        <v>0</v>
      </c>
      <c r="AB186" s="25"/>
      <c r="AC186" s="21">
        <f t="shared" si="194"/>
        <v>0</v>
      </c>
      <c r="AD186" s="25"/>
      <c r="AE186" s="25">
        <v>100000</v>
      </c>
      <c r="AF186" s="25"/>
      <c r="AG186" s="25"/>
      <c r="AH186" s="21">
        <f t="shared" si="195"/>
        <v>100000</v>
      </c>
      <c r="AI186" s="4">
        <f t="shared" si="196"/>
        <v>0</v>
      </c>
      <c r="AJ186" s="4">
        <f t="shared" si="197"/>
        <v>1096750</v>
      </c>
      <c r="AK186" s="4">
        <f t="shared" si="198"/>
        <v>0</v>
      </c>
      <c r="AL186" s="4">
        <f t="shared" si="199"/>
        <v>0</v>
      </c>
      <c r="AM186" s="9">
        <f t="shared" si="200"/>
        <v>1096750</v>
      </c>
    </row>
    <row r="187" spans="1:39">
      <c r="A187" s="190"/>
      <c r="B187" s="8">
        <v>17</v>
      </c>
      <c r="C187" s="1" t="s">
        <v>336</v>
      </c>
      <c r="D187" s="4" t="s">
        <v>26</v>
      </c>
      <c r="E187" s="4" t="s">
        <v>24</v>
      </c>
      <c r="F187" s="4">
        <v>155000</v>
      </c>
      <c r="G187" s="4">
        <v>412000</v>
      </c>
      <c r="H187" s="4">
        <f>38500+209000</f>
        <v>247500</v>
      </c>
      <c r="I187" s="4"/>
      <c r="J187" s="9">
        <f t="shared" si="189"/>
        <v>814500</v>
      </c>
      <c r="K187" s="4"/>
      <c r="L187" s="4"/>
      <c r="M187" s="4"/>
      <c r="N187" s="4"/>
      <c r="O187" s="9">
        <f t="shared" si="190"/>
        <v>0</v>
      </c>
      <c r="P187" s="20"/>
      <c r="Q187" s="20"/>
      <c r="R187" s="20"/>
      <c r="S187" s="20"/>
      <c r="T187" s="9">
        <f t="shared" si="191"/>
        <v>0</v>
      </c>
      <c r="U187" s="20">
        <v>195000</v>
      </c>
      <c r="V187" s="25">
        <v>689400</v>
      </c>
      <c r="W187" s="24">
        <v>235500</v>
      </c>
      <c r="X187" s="25"/>
      <c r="Y187" s="21">
        <f t="shared" si="192"/>
        <v>1119900</v>
      </c>
      <c r="Z187" s="25">
        <v>0</v>
      </c>
      <c r="AA187" s="21">
        <f t="shared" si="193"/>
        <v>0</v>
      </c>
      <c r="AB187" s="25"/>
      <c r="AC187" s="21">
        <f t="shared" si="194"/>
        <v>0</v>
      </c>
      <c r="AD187" s="25"/>
      <c r="AE187" s="25">
        <v>100000</v>
      </c>
      <c r="AF187" s="25">
        <v>432000</v>
      </c>
      <c r="AG187" s="25"/>
      <c r="AH187" s="21">
        <f t="shared" si="195"/>
        <v>532000</v>
      </c>
      <c r="AI187" s="4">
        <f t="shared" si="196"/>
        <v>350000</v>
      </c>
      <c r="AJ187" s="4">
        <f t="shared" si="197"/>
        <v>1201400</v>
      </c>
      <c r="AK187" s="4">
        <f t="shared" si="198"/>
        <v>915000</v>
      </c>
      <c r="AL187" s="4">
        <f t="shared" si="199"/>
        <v>0</v>
      </c>
      <c r="AM187" s="9">
        <f t="shared" si="200"/>
        <v>2466400</v>
      </c>
    </row>
    <row r="188" spans="1:39">
      <c r="A188" s="190"/>
      <c r="B188" s="8">
        <v>18</v>
      </c>
      <c r="C188" s="1" t="s">
        <v>337</v>
      </c>
      <c r="D188" s="5" t="s">
        <v>335</v>
      </c>
      <c r="E188" s="4" t="s">
        <v>24</v>
      </c>
      <c r="F188" s="4"/>
      <c r="G188" s="4"/>
      <c r="H188" s="4"/>
      <c r="I188" s="4"/>
      <c r="J188" s="9">
        <f t="shared" si="189"/>
        <v>0</v>
      </c>
      <c r="K188" s="4"/>
      <c r="L188" s="4"/>
      <c r="M188" s="4"/>
      <c r="N188" s="4"/>
      <c r="O188" s="9">
        <f t="shared" si="190"/>
        <v>0</v>
      </c>
      <c r="P188" s="20"/>
      <c r="Q188" s="20"/>
      <c r="R188" s="20"/>
      <c r="S188" s="20"/>
      <c r="T188" s="9">
        <f t="shared" si="191"/>
        <v>0</v>
      </c>
      <c r="U188" s="20"/>
      <c r="V188" s="25">
        <v>195000</v>
      </c>
      <c r="W188" s="20"/>
      <c r="X188" s="20"/>
      <c r="Y188" s="21">
        <f t="shared" si="192"/>
        <v>195000</v>
      </c>
      <c r="Z188" s="25">
        <v>0</v>
      </c>
      <c r="AA188" s="21">
        <f t="shared" si="193"/>
        <v>0</v>
      </c>
      <c r="AB188" s="25"/>
      <c r="AC188" s="21">
        <f t="shared" si="194"/>
        <v>0</v>
      </c>
      <c r="AD188" s="25"/>
      <c r="AE188" s="25"/>
      <c r="AF188" s="25"/>
      <c r="AG188" s="25"/>
      <c r="AH188" s="21">
        <f t="shared" si="195"/>
        <v>0</v>
      </c>
      <c r="AI188" s="4">
        <f t="shared" si="196"/>
        <v>0</v>
      </c>
      <c r="AJ188" s="4">
        <f t="shared" si="197"/>
        <v>195000</v>
      </c>
      <c r="AK188" s="4">
        <f t="shared" si="198"/>
        <v>0</v>
      </c>
      <c r="AL188" s="4">
        <f t="shared" si="199"/>
        <v>0</v>
      </c>
      <c r="AM188" s="9">
        <f t="shared" si="200"/>
        <v>195000</v>
      </c>
    </row>
    <row r="189" spans="1:39" ht="31.5">
      <c r="A189" s="190"/>
      <c r="B189" s="8">
        <v>19</v>
      </c>
      <c r="C189" s="1" t="s">
        <v>338</v>
      </c>
      <c r="D189" s="4" t="s">
        <v>26</v>
      </c>
      <c r="E189" s="4" t="s">
        <v>24</v>
      </c>
      <c r="F189" s="4">
        <v>155000</v>
      </c>
      <c r="G189" s="4">
        <v>343000</v>
      </c>
      <c r="H189" s="4">
        <f>77000+38500</f>
        <v>115500</v>
      </c>
      <c r="I189" s="4">
        <f>126000+14000</f>
        <v>140000</v>
      </c>
      <c r="J189" s="9">
        <f t="shared" si="189"/>
        <v>753500</v>
      </c>
      <c r="K189" s="4"/>
      <c r="L189" s="4"/>
      <c r="M189" s="4"/>
      <c r="N189" s="4"/>
      <c r="O189" s="9">
        <f t="shared" si="190"/>
        <v>0</v>
      </c>
      <c r="P189" s="20"/>
      <c r="Q189" s="20"/>
      <c r="R189" s="20"/>
      <c r="S189" s="20"/>
      <c r="T189" s="9">
        <f t="shared" si="191"/>
        <v>0</v>
      </c>
      <c r="U189" s="20">
        <v>195000</v>
      </c>
      <c r="V189" s="25">
        <v>835150</v>
      </c>
      <c r="W189" s="24">
        <v>494400</v>
      </c>
      <c r="X189" s="25">
        <v>150000</v>
      </c>
      <c r="Y189" s="21">
        <f t="shared" si="192"/>
        <v>1674550</v>
      </c>
      <c r="Z189" s="25">
        <v>946000</v>
      </c>
      <c r="AA189" s="21">
        <f t="shared" si="193"/>
        <v>946000</v>
      </c>
      <c r="AB189" s="25"/>
      <c r="AC189" s="21">
        <f t="shared" si="194"/>
        <v>0</v>
      </c>
      <c r="AD189" s="25"/>
      <c r="AE189" s="25"/>
      <c r="AF189" s="25"/>
      <c r="AG189" s="25"/>
      <c r="AH189" s="21">
        <f t="shared" si="195"/>
        <v>0</v>
      </c>
      <c r="AI189" s="4">
        <f t="shared" si="196"/>
        <v>350000</v>
      </c>
      <c r="AJ189" s="4">
        <f t="shared" si="197"/>
        <v>1178150</v>
      </c>
      <c r="AK189" s="4">
        <f t="shared" si="198"/>
        <v>609900</v>
      </c>
      <c r="AL189" s="4">
        <f t="shared" si="199"/>
        <v>1236000</v>
      </c>
      <c r="AM189" s="9">
        <f t="shared" si="200"/>
        <v>3374050</v>
      </c>
    </row>
    <row r="190" spans="1:39">
      <c r="A190" s="190"/>
      <c r="B190" s="8">
        <v>20</v>
      </c>
      <c r="C190" s="1" t="s">
        <v>339</v>
      </c>
      <c r="D190" s="4" t="s">
        <v>335</v>
      </c>
      <c r="E190" s="4" t="s">
        <v>24</v>
      </c>
      <c r="F190" s="4"/>
      <c r="G190" s="4">
        <v>155000</v>
      </c>
      <c r="H190" s="4">
        <f>397500+88000</f>
        <v>485500</v>
      </c>
      <c r="I190" s="4">
        <v>420000</v>
      </c>
      <c r="J190" s="9">
        <f t="shared" si="189"/>
        <v>1060500</v>
      </c>
      <c r="K190" s="4"/>
      <c r="L190" s="4"/>
      <c r="M190" s="4"/>
      <c r="N190" s="4"/>
      <c r="O190" s="9">
        <f t="shared" si="190"/>
        <v>0</v>
      </c>
      <c r="P190" s="20"/>
      <c r="Q190" s="20"/>
      <c r="R190" s="20"/>
      <c r="S190" s="20"/>
      <c r="T190" s="9">
        <f t="shared" si="191"/>
        <v>0</v>
      </c>
      <c r="U190" s="20"/>
      <c r="V190" s="20"/>
      <c r="W190" s="20"/>
      <c r="X190" s="20"/>
      <c r="Y190" s="21">
        <f t="shared" si="192"/>
        <v>0</v>
      </c>
      <c r="Z190" s="25">
        <v>0</v>
      </c>
      <c r="AA190" s="21">
        <f t="shared" si="193"/>
        <v>0</v>
      </c>
      <c r="AB190" s="25"/>
      <c r="AC190" s="21">
        <f t="shared" si="194"/>
        <v>0</v>
      </c>
      <c r="AD190" s="25"/>
      <c r="AE190" s="25"/>
      <c r="AF190" s="25">
        <v>100000</v>
      </c>
      <c r="AG190" s="25">
        <v>150000</v>
      </c>
      <c r="AH190" s="21">
        <f t="shared" si="195"/>
        <v>250000</v>
      </c>
      <c r="AI190" s="4">
        <f t="shared" si="196"/>
        <v>0</v>
      </c>
      <c r="AJ190" s="4">
        <f t="shared" si="197"/>
        <v>155000</v>
      </c>
      <c r="AK190" s="4">
        <f t="shared" si="198"/>
        <v>585500</v>
      </c>
      <c r="AL190" s="4">
        <f t="shared" si="199"/>
        <v>570000</v>
      </c>
      <c r="AM190" s="9">
        <f t="shared" si="200"/>
        <v>1310500</v>
      </c>
    </row>
    <row r="191" spans="1:39">
      <c r="A191" s="190"/>
      <c r="B191" s="8">
        <v>21</v>
      </c>
      <c r="C191" s="1" t="s">
        <v>340</v>
      </c>
      <c r="D191" s="4" t="s">
        <v>341</v>
      </c>
      <c r="E191" s="4" t="s">
        <v>24</v>
      </c>
      <c r="F191" s="4">
        <v>155000</v>
      </c>
      <c r="G191" s="4">
        <v>762000</v>
      </c>
      <c r="H191" s="4">
        <f>93500+187000+291500</f>
        <v>572000</v>
      </c>
      <c r="I191" s="4">
        <v>225500</v>
      </c>
      <c r="J191" s="9">
        <f t="shared" si="189"/>
        <v>1714500</v>
      </c>
      <c r="K191" s="76"/>
      <c r="L191" s="76">
        <v>290000</v>
      </c>
      <c r="M191" s="76">
        <v>800000</v>
      </c>
      <c r="N191" s="76">
        <v>925000</v>
      </c>
      <c r="O191" s="9">
        <f t="shared" si="190"/>
        <v>2015000</v>
      </c>
      <c r="P191" s="20"/>
      <c r="Q191" s="20"/>
      <c r="R191" s="20"/>
      <c r="S191" s="20"/>
      <c r="T191" s="9">
        <f t="shared" si="191"/>
        <v>0</v>
      </c>
      <c r="U191" s="20">
        <v>195000</v>
      </c>
      <c r="V191" s="25">
        <v>953000</v>
      </c>
      <c r="W191" s="24">
        <v>722650</v>
      </c>
      <c r="X191" s="25">
        <v>270000</v>
      </c>
      <c r="Y191" s="21">
        <f t="shared" si="192"/>
        <v>2140650</v>
      </c>
      <c r="Z191" s="25">
        <v>0</v>
      </c>
      <c r="AA191" s="21">
        <f t="shared" si="193"/>
        <v>0</v>
      </c>
      <c r="AB191" s="25"/>
      <c r="AC191" s="21">
        <f t="shared" si="194"/>
        <v>0</v>
      </c>
      <c r="AD191" s="25"/>
      <c r="AE191" s="25"/>
      <c r="AF191" s="25"/>
      <c r="AG191" s="25"/>
      <c r="AH191" s="21">
        <f t="shared" si="195"/>
        <v>0</v>
      </c>
      <c r="AI191" s="4">
        <f t="shared" si="196"/>
        <v>350000</v>
      </c>
      <c r="AJ191" s="4">
        <f t="shared" si="197"/>
        <v>2005000</v>
      </c>
      <c r="AK191" s="4">
        <f t="shared" si="198"/>
        <v>2094650</v>
      </c>
      <c r="AL191" s="4">
        <f t="shared" si="199"/>
        <v>1420500</v>
      </c>
      <c r="AM191" s="9">
        <f t="shared" si="200"/>
        <v>5870150</v>
      </c>
    </row>
    <row r="192" spans="1:39" ht="31.5">
      <c r="A192" s="190"/>
      <c r="B192" s="8">
        <v>22</v>
      </c>
      <c r="C192" s="1" t="s">
        <v>342</v>
      </c>
      <c r="D192" s="4" t="s">
        <v>343</v>
      </c>
      <c r="E192" s="4" t="s">
        <v>24</v>
      </c>
      <c r="F192" s="4"/>
      <c r="G192" s="4">
        <v>155000</v>
      </c>
      <c r="H192" s="4">
        <f>341000+214500</f>
        <v>555500</v>
      </c>
      <c r="I192" s="4">
        <v>180000</v>
      </c>
      <c r="J192" s="9">
        <f t="shared" si="189"/>
        <v>890500</v>
      </c>
      <c r="K192" s="76"/>
      <c r="L192" s="76">
        <v>1140000</v>
      </c>
      <c r="M192" s="76">
        <v>670000</v>
      </c>
      <c r="N192" s="76">
        <v>975000</v>
      </c>
      <c r="O192" s="9">
        <f t="shared" si="190"/>
        <v>2785000</v>
      </c>
      <c r="P192" s="20"/>
      <c r="Q192" s="20"/>
      <c r="R192" s="20"/>
      <c r="S192" s="20"/>
      <c r="T192" s="9">
        <f t="shared" si="191"/>
        <v>0</v>
      </c>
      <c r="U192" s="20"/>
      <c r="V192" s="20"/>
      <c r="W192" s="20"/>
      <c r="X192" s="20"/>
      <c r="Y192" s="21">
        <f t="shared" si="192"/>
        <v>0</v>
      </c>
      <c r="Z192" s="25">
        <v>0</v>
      </c>
      <c r="AA192" s="21">
        <f t="shared" si="193"/>
        <v>0</v>
      </c>
      <c r="AB192" s="25"/>
      <c r="AC192" s="21">
        <f t="shared" si="194"/>
        <v>0</v>
      </c>
      <c r="AD192" s="25"/>
      <c r="AE192" s="25"/>
      <c r="AF192" s="25"/>
      <c r="AG192" s="25"/>
      <c r="AH192" s="21">
        <f t="shared" si="195"/>
        <v>0</v>
      </c>
      <c r="AI192" s="4">
        <f t="shared" si="196"/>
        <v>0</v>
      </c>
      <c r="AJ192" s="4">
        <f t="shared" si="197"/>
        <v>1295000</v>
      </c>
      <c r="AK192" s="4">
        <f t="shared" si="198"/>
        <v>1225500</v>
      </c>
      <c r="AL192" s="4">
        <f t="shared" si="199"/>
        <v>1155000</v>
      </c>
      <c r="AM192" s="9">
        <f t="shared" si="200"/>
        <v>3675500</v>
      </c>
    </row>
    <row r="193" spans="1:39" ht="47.25">
      <c r="A193" s="190"/>
      <c r="B193" s="8">
        <v>23</v>
      </c>
      <c r="C193" s="1" t="s">
        <v>344</v>
      </c>
      <c r="D193" s="4" t="s">
        <v>345</v>
      </c>
      <c r="E193" s="4" t="s">
        <v>24</v>
      </c>
      <c r="F193" s="4"/>
      <c r="G193" s="4"/>
      <c r="H193" s="4">
        <v>155000</v>
      </c>
      <c r="I193" s="4"/>
      <c r="J193" s="9">
        <f t="shared" si="189"/>
        <v>155000</v>
      </c>
      <c r="K193" s="4"/>
      <c r="L193" s="4"/>
      <c r="M193" s="4"/>
      <c r="N193" s="4"/>
      <c r="O193" s="9">
        <f t="shared" si="190"/>
        <v>0</v>
      </c>
      <c r="P193" s="20"/>
      <c r="Q193" s="20"/>
      <c r="R193" s="20"/>
      <c r="S193" s="20"/>
      <c r="T193" s="9">
        <f t="shared" si="191"/>
        <v>0</v>
      </c>
      <c r="U193" s="20"/>
      <c r="V193" s="20">
        <v>195000</v>
      </c>
      <c r="W193" s="20"/>
      <c r="X193" s="20"/>
      <c r="Y193" s="21">
        <f t="shared" si="192"/>
        <v>195000</v>
      </c>
      <c r="Z193" s="25">
        <v>0</v>
      </c>
      <c r="AA193" s="21">
        <f t="shared" si="193"/>
        <v>0</v>
      </c>
      <c r="AB193" s="25"/>
      <c r="AC193" s="21">
        <f t="shared" si="194"/>
        <v>0</v>
      </c>
      <c r="AD193" s="25"/>
      <c r="AE193" s="25"/>
      <c r="AF193" s="25"/>
      <c r="AG193" s="25"/>
      <c r="AH193" s="21">
        <f t="shared" si="195"/>
        <v>0</v>
      </c>
      <c r="AI193" s="4">
        <f t="shared" si="196"/>
        <v>0</v>
      </c>
      <c r="AJ193" s="4">
        <f t="shared" si="197"/>
        <v>195000</v>
      </c>
      <c r="AK193" s="4">
        <f t="shared" si="198"/>
        <v>155000</v>
      </c>
      <c r="AL193" s="4">
        <f t="shared" si="199"/>
        <v>0</v>
      </c>
      <c r="AM193" s="9">
        <f t="shared" si="200"/>
        <v>350000</v>
      </c>
    </row>
    <row r="194" spans="1:39">
      <c r="A194" s="190"/>
      <c r="B194" s="8">
        <v>24</v>
      </c>
      <c r="C194" s="1" t="s">
        <v>346</v>
      </c>
      <c r="D194" s="4" t="s">
        <v>347</v>
      </c>
      <c r="E194" s="4" t="s">
        <v>24</v>
      </c>
      <c r="F194" s="4">
        <v>155000</v>
      </c>
      <c r="G194" s="4">
        <v>927000</v>
      </c>
      <c r="H194" s="4">
        <f>209000+313500</f>
        <v>522500</v>
      </c>
      <c r="I194" s="4">
        <f>160000+20000</f>
        <v>180000</v>
      </c>
      <c r="J194" s="9">
        <f t="shared" si="189"/>
        <v>1784500</v>
      </c>
      <c r="K194" s="76"/>
      <c r="L194" s="76">
        <v>1340000</v>
      </c>
      <c r="M194" s="76">
        <v>980000</v>
      </c>
      <c r="N194" s="76">
        <v>250000</v>
      </c>
      <c r="O194" s="9">
        <f t="shared" si="190"/>
        <v>2570000</v>
      </c>
      <c r="P194" s="20">
        <v>290000</v>
      </c>
      <c r="Q194" s="22">
        <v>1323000</v>
      </c>
      <c r="R194" s="4">
        <v>741000</v>
      </c>
      <c r="S194" s="32">
        <v>300000</v>
      </c>
      <c r="T194" s="9">
        <f t="shared" si="191"/>
        <v>2654000</v>
      </c>
      <c r="U194" s="20"/>
      <c r="V194" s="20">
        <v>195000</v>
      </c>
      <c r="W194" s="24">
        <v>297250</v>
      </c>
      <c r="X194" s="25">
        <v>142000</v>
      </c>
      <c r="Y194" s="21">
        <f t="shared" si="192"/>
        <v>634250</v>
      </c>
      <c r="Z194" s="25">
        <v>0</v>
      </c>
      <c r="AA194" s="21">
        <f t="shared" si="193"/>
        <v>0</v>
      </c>
      <c r="AB194" s="24">
        <v>890000</v>
      </c>
      <c r="AC194" s="21">
        <f t="shared" si="194"/>
        <v>890000</v>
      </c>
      <c r="AD194" s="25"/>
      <c r="AE194" s="25">
        <v>100000</v>
      </c>
      <c r="AF194" s="25">
        <v>220800</v>
      </c>
      <c r="AG194" s="25"/>
      <c r="AH194" s="21">
        <f t="shared" si="195"/>
        <v>320800</v>
      </c>
      <c r="AI194" s="4">
        <f t="shared" si="196"/>
        <v>445000</v>
      </c>
      <c r="AJ194" s="4">
        <f t="shared" si="197"/>
        <v>3885000</v>
      </c>
      <c r="AK194" s="4">
        <f t="shared" si="198"/>
        <v>2761550</v>
      </c>
      <c r="AL194" s="4">
        <f t="shared" si="199"/>
        <v>1762000</v>
      </c>
      <c r="AM194" s="9">
        <f t="shared" si="200"/>
        <v>8853550</v>
      </c>
    </row>
    <row r="195" spans="1:39">
      <c r="A195" s="190"/>
      <c r="B195" s="8">
        <v>25</v>
      </c>
      <c r="C195" s="1" t="s">
        <v>348</v>
      </c>
      <c r="D195" s="5" t="s">
        <v>422</v>
      </c>
      <c r="E195" s="4" t="s">
        <v>24</v>
      </c>
      <c r="F195" s="4"/>
      <c r="G195" s="4"/>
      <c r="H195" s="4"/>
      <c r="I195" s="4"/>
      <c r="J195" s="9">
        <f t="shared" si="189"/>
        <v>0</v>
      </c>
      <c r="K195" s="4"/>
      <c r="L195" s="4"/>
      <c r="M195" s="4"/>
      <c r="N195" s="4"/>
      <c r="O195" s="9">
        <f t="shared" si="190"/>
        <v>0</v>
      </c>
      <c r="P195" s="20"/>
      <c r="Q195" s="20"/>
      <c r="R195" s="20"/>
      <c r="S195" s="20"/>
      <c r="T195" s="9">
        <f t="shared" si="191"/>
        <v>0</v>
      </c>
      <c r="U195" s="20"/>
      <c r="V195" s="20">
        <v>195000</v>
      </c>
      <c r="W195" s="24"/>
      <c r="X195" s="25"/>
      <c r="Y195" s="21">
        <f t="shared" si="192"/>
        <v>195000</v>
      </c>
      <c r="Z195" s="25">
        <v>0</v>
      </c>
      <c r="AA195" s="21">
        <f t="shared" si="193"/>
        <v>0</v>
      </c>
      <c r="AB195" s="25"/>
      <c r="AC195" s="21">
        <f t="shared" si="194"/>
        <v>0</v>
      </c>
      <c r="AD195" s="25"/>
      <c r="AE195" s="25"/>
      <c r="AF195" s="25"/>
      <c r="AG195" s="25"/>
      <c r="AH195" s="21">
        <f t="shared" si="195"/>
        <v>0</v>
      </c>
      <c r="AI195" s="4">
        <f t="shared" si="196"/>
        <v>0</v>
      </c>
      <c r="AJ195" s="4">
        <f t="shared" si="197"/>
        <v>195000</v>
      </c>
      <c r="AK195" s="4">
        <f t="shared" si="198"/>
        <v>0</v>
      </c>
      <c r="AL195" s="4">
        <f t="shared" si="199"/>
        <v>0</v>
      </c>
      <c r="AM195" s="9">
        <f t="shared" si="200"/>
        <v>195000</v>
      </c>
    </row>
    <row r="196" spans="1:39">
      <c r="A196" s="190"/>
      <c r="B196" s="8">
        <v>26</v>
      </c>
      <c r="C196" s="63" t="s">
        <v>349</v>
      </c>
      <c r="D196" s="5" t="s">
        <v>423</v>
      </c>
      <c r="E196" s="4" t="s">
        <v>24</v>
      </c>
      <c r="F196" s="4"/>
      <c r="G196" s="4"/>
      <c r="H196" s="4"/>
      <c r="I196" s="4"/>
      <c r="J196" s="9">
        <f t="shared" si="189"/>
        <v>0</v>
      </c>
      <c r="K196" s="4"/>
      <c r="L196" s="4"/>
      <c r="M196" s="4"/>
      <c r="N196" s="4"/>
      <c r="O196" s="9">
        <f t="shared" si="190"/>
        <v>0</v>
      </c>
      <c r="P196" s="20"/>
      <c r="Q196" s="20"/>
      <c r="R196" s="20"/>
      <c r="S196" s="20"/>
      <c r="T196" s="9">
        <f t="shared" si="191"/>
        <v>0</v>
      </c>
      <c r="U196" s="20"/>
      <c r="V196" s="20">
        <v>258750</v>
      </c>
      <c r="W196" s="24">
        <v>359000</v>
      </c>
      <c r="X196" s="25">
        <v>876000</v>
      </c>
      <c r="Y196" s="21">
        <f t="shared" si="192"/>
        <v>1493750</v>
      </c>
      <c r="Z196" s="25">
        <v>0</v>
      </c>
      <c r="AA196" s="21">
        <f t="shared" si="193"/>
        <v>0</v>
      </c>
      <c r="AB196" s="25"/>
      <c r="AC196" s="21">
        <f t="shared" si="194"/>
        <v>0</v>
      </c>
      <c r="AD196" s="25"/>
      <c r="AE196" s="25"/>
      <c r="AF196" s="25"/>
      <c r="AG196" s="25"/>
      <c r="AH196" s="21">
        <f t="shared" si="195"/>
        <v>0</v>
      </c>
      <c r="AI196" s="4">
        <f t="shared" si="196"/>
        <v>0</v>
      </c>
      <c r="AJ196" s="4">
        <f t="shared" si="197"/>
        <v>258750</v>
      </c>
      <c r="AK196" s="4">
        <f t="shared" si="198"/>
        <v>359000</v>
      </c>
      <c r="AL196" s="4">
        <f t="shared" si="199"/>
        <v>876000</v>
      </c>
      <c r="AM196" s="9">
        <f t="shared" si="200"/>
        <v>1493750</v>
      </c>
    </row>
    <row r="197" spans="1:39">
      <c r="A197" s="190"/>
      <c r="B197" s="8">
        <v>27</v>
      </c>
      <c r="C197" s="2" t="s">
        <v>350</v>
      </c>
      <c r="D197" s="4" t="s">
        <v>347</v>
      </c>
      <c r="E197" s="4" t="s">
        <v>24</v>
      </c>
      <c r="F197" s="4"/>
      <c r="G197" s="4"/>
      <c r="H197" s="4"/>
      <c r="I197" s="4"/>
      <c r="J197" s="9">
        <f t="shared" si="189"/>
        <v>0</v>
      </c>
      <c r="K197" s="4"/>
      <c r="L197" s="4"/>
      <c r="M197" s="4"/>
      <c r="N197" s="4"/>
      <c r="O197" s="9">
        <f t="shared" si="190"/>
        <v>0</v>
      </c>
      <c r="P197" s="20"/>
      <c r="Q197" s="20"/>
      <c r="R197" s="20"/>
      <c r="S197" s="20"/>
      <c r="T197" s="9">
        <f t="shared" si="191"/>
        <v>0</v>
      </c>
      <c r="U197" s="20"/>
      <c r="V197" s="20"/>
      <c r="W197" s="24"/>
      <c r="X197" s="25"/>
      <c r="Y197" s="21">
        <f t="shared" si="192"/>
        <v>0</v>
      </c>
      <c r="Z197" s="25">
        <v>0</v>
      </c>
      <c r="AA197" s="21">
        <f t="shared" si="193"/>
        <v>0</v>
      </c>
      <c r="AB197" s="25"/>
      <c r="AC197" s="21">
        <f t="shared" si="194"/>
        <v>0</v>
      </c>
      <c r="AD197" s="25"/>
      <c r="AE197" s="25">
        <v>100000</v>
      </c>
      <c r="AF197" s="25">
        <v>540000</v>
      </c>
      <c r="AG197" s="25"/>
      <c r="AH197" s="21">
        <f t="shared" si="195"/>
        <v>640000</v>
      </c>
      <c r="AI197" s="4">
        <f t="shared" si="196"/>
        <v>0</v>
      </c>
      <c r="AJ197" s="4">
        <f t="shared" si="197"/>
        <v>100000</v>
      </c>
      <c r="AK197" s="4">
        <f t="shared" si="198"/>
        <v>540000</v>
      </c>
      <c r="AL197" s="4">
        <f t="shared" si="199"/>
        <v>0</v>
      </c>
      <c r="AM197" s="9">
        <f t="shared" si="200"/>
        <v>640000</v>
      </c>
    </row>
    <row r="198" spans="1:39" ht="31.5">
      <c r="A198" s="190"/>
      <c r="B198" s="8">
        <v>28</v>
      </c>
      <c r="C198" s="1" t="s">
        <v>351</v>
      </c>
      <c r="D198" s="5" t="s">
        <v>424</v>
      </c>
      <c r="E198" s="4" t="s">
        <v>24</v>
      </c>
      <c r="F198" s="4"/>
      <c r="G198" s="4"/>
      <c r="H198" s="4"/>
      <c r="I198" s="4"/>
      <c r="J198" s="9">
        <f t="shared" si="189"/>
        <v>0</v>
      </c>
      <c r="K198" s="4"/>
      <c r="L198" s="4"/>
      <c r="M198" s="4"/>
      <c r="N198" s="4"/>
      <c r="O198" s="9">
        <f t="shared" si="190"/>
        <v>0</v>
      </c>
      <c r="P198" s="20"/>
      <c r="Q198" s="20"/>
      <c r="R198" s="20"/>
      <c r="S198" s="20"/>
      <c r="T198" s="9">
        <f t="shared" si="191"/>
        <v>0</v>
      </c>
      <c r="U198" s="20"/>
      <c r="V198" s="20"/>
      <c r="W198" s="24">
        <v>195000</v>
      </c>
      <c r="X198" s="25">
        <v>959500</v>
      </c>
      <c r="Y198" s="21">
        <f t="shared" si="192"/>
        <v>1154500</v>
      </c>
      <c r="Z198" s="25">
        <v>0</v>
      </c>
      <c r="AA198" s="21">
        <f t="shared" si="193"/>
        <v>0</v>
      </c>
      <c r="AB198" s="25"/>
      <c r="AC198" s="21">
        <f t="shared" si="194"/>
        <v>0</v>
      </c>
      <c r="AD198" s="25"/>
      <c r="AE198" s="25"/>
      <c r="AF198" s="25"/>
      <c r="AG198" s="25"/>
      <c r="AH198" s="21">
        <f t="shared" si="195"/>
        <v>0</v>
      </c>
      <c r="AI198" s="4">
        <f t="shared" si="196"/>
        <v>0</v>
      </c>
      <c r="AJ198" s="4">
        <f t="shared" si="197"/>
        <v>0</v>
      </c>
      <c r="AK198" s="4">
        <f t="shared" si="198"/>
        <v>195000</v>
      </c>
      <c r="AL198" s="4">
        <f t="shared" si="199"/>
        <v>959500</v>
      </c>
      <c r="AM198" s="9">
        <f t="shared" si="200"/>
        <v>1154500</v>
      </c>
    </row>
    <row r="199" spans="1:39" ht="31.5">
      <c r="A199" s="190"/>
      <c r="B199" s="8">
        <v>29</v>
      </c>
      <c r="C199" s="1" t="s">
        <v>352</v>
      </c>
      <c r="D199" s="4" t="s">
        <v>309</v>
      </c>
      <c r="E199" s="4" t="s">
        <v>24</v>
      </c>
      <c r="F199" s="4"/>
      <c r="G199" s="4"/>
      <c r="H199" s="4">
        <v>155000</v>
      </c>
      <c r="I199" s="4"/>
      <c r="J199" s="9">
        <f t="shared" si="189"/>
        <v>155000</v>
      </c>
      <c r="K199" s="4"/>
      <c r="L199" s="4"/>
      <c r="M199" s="4"/>
      <c r="N199" s="4"/>
      <c r="O199" s="9">
        <f t="shared" si="190"/>
        <v>0</v>
      </c>
      <c r="P199" s="20"/>
      <c r="Q199" s="20"/>
      <c r="R199" s="20"/>
      <c r="S199" s="20"/>
      <c r="T199" s="9">
        <f t="shared" si="191"/>
        <v>0</v>
      </c>
      <c r="U199" s="20"/>
      <c r="V199" s="20"/>
      <c r="W199" s="20">
        <v>195000</v>
      </c>
      <c r="X199" s="20"/>
      <c r="Y199" s="21">
        <f t="shared" si="192"/>
        <v>195000</v>
      </c>
      <c r="Z199" s="25">
        <v>0</v>
      </c>
      <c r="AA199" s="21">
        <f t="shared" si="193"/>
        <v>0</v>
      </c>
      <c r="AB199" s="25"/>
      <c r="AC199" s="21">
        <f t="shared" si="194"/>
        <v>0</v>
      </c>
      <c r="AD199" s="25"/>
      <c r="AE199" s="25"/>
      <c r="AF199" s="25">
        <v>100000</v>
      </c>
      <c r="AG199" s="25"/>
      <c r="AH199" s="21">
        <f t="shared" si="195"/>
        <v>100000</v>
      </c>
      <c r="AI199" s="4">
        <f t="shared" si="196"/>
        <v>0</v>
      </c>
      <c r="AJ199" s="4">
        <f t="shared" si="197"/>
        <v>0</v>
      </c>
      <c r="AK199" s="4">
        <f t="shared" si="198"/>
        <v>450000</v>
      </c>
      <c r="AL199" s="4">
        <f t="shared" si="199"/>
        <v>0</v>
      </c>
      <c r="AM199" s="9">
        <f t="shared" si="200"/>
        <v>450000</v>
      </c>
    </row>
    <row r="200" spans="1:39" ht="31.5">
      <c r="A200" s="190"/>
      <c r="B200" s="8">
        <v>30</v>
      </c>
      <c r="C200" s="1" t="s">
        <v>353</v>
      </c>
      <c r="D200" s="46" t="s">
        <v>354</v>
      </c>
      <c r="E200" s="4" t="s">
        <v>24</v>
      </c>
      <c r="F200" s="4"/>
      <c r="G200" s="4"/>
      <c r="H200" s="4"/>
      <c r="I200" s="4"/>
      <c r="J200" s="9">
        <f t="shared" si="189"/>
        <v>0</v>
      </c>
      <c r="K200" s="4"/>
      <c r="L200" s="4"/>
      <c r="M200" s="4"/>
      <c r="N200" s="4"/>
      <c r="O200" s="9">
        <f t="shared" si="190"/>
        <v>0</v>
      </c>
      <c r="P200" s="20">
        <v>290000</v>
      </c>
      <c r="Q200" s="22">
        <v>1092000</v>
      </c>
      <c r="R200" s="4">
        <v>196000</v>
      </c>
      <c r="S200" s="32"/>
      <c r="T200" s="9">
        <f t="shared" si="191"/>
        <v>1578000</v>
      </c>
      <c r="U200" s="20">
        <v>195000</v>
      </c>
      <c r="V200" s="25">
        <v>1321050</v>
      </c>
      <c r="W200" s="24">
        <v>562600</v>
      </c>
      <c r="X200" s="25">
        <v>490000</v>
      </c>
      <c r="Y200" s="21">
        <f t="shared" si="192"/>
        <v>2568650</v>
      </c>
      <c r="Z200" s="25">
        <v>0</v>
      </c>
      <c r="AA200" s="21">
        <f t="shared" si="193"/>
        <v>0</v>
      </c>
      <c r="AB200" s="25"/>
      <c r="AC200" s="21">
        <f t="shared" si="194"/>
        <v>0</v>
      </c>
      <c r="AD200" s="25"/>
      <c r="AE200" s="25"/>
      <c r="AF200" s="25"/>
      <c r="AG200" s="25"/>
      <c r="AH200" s="21">
        <f t="shared" si="195"/>
        <v>0</v>
      </c>
      <c r="AI200" s="4">
        <f t="shared" si="196"/>
        <v>485000</v>
      </c>
      <c r="AJ200" s="4">
        <f t="shared" si="197"/>
        <v>2413050</v>
      </c>
      <c r="AK200" s="4">
        <f t="shared" si="198"/>
        <v>758600</v>
      </c>
      <c r="AL200" s="4">
        <f t="shared" si="199"/>
        <v>490000</v>
      </c>
      <c r="AM200" s="9">
        <f t="shared" si="200"/>
        <v>4146650</v>
      </c>
    </row>
    <row r="201" spans="1:39" ht="48.75" customHeight="1">
      <c r="A201" s="190"/>
      <c r="B201" s="8">
        <v>31</v>
      </c>
      <c r="C201" s="1" t="s">
        <v>355</v>
      </c>
      <c r="D201" s="4" t="s">
        <v>335</v>
      </c>
      <c r="E201" s="4" t="s">
        <v>24</v>
      </c>
      <c r="F201" s="4">
        <v>155000</v>
      </c>
      <c r="G201" s="4">
        <v>247000</v>
      </c>
      <c r="H201" s="4"/>
      <c r="I201" s="4"/>
      <c r="J201" s="9">
        <f t="shared" si="189"/>
        <v>402000</v>
      </c>
      <c r="K201" s="76">
        <v>290000</v>
      </c>
      <c r="L201" s="76">
        <v>990000</v>
      </c>
      <c r="M201" s="76"/>
      <c r="N201" s="76"/>
      <c r="O201" s="9">
        <f t="shared" si="190"/>
        <v>1280000</v>
      </c>
      <c r="P201" s="20">
        <v>290000</v>
      </c>
      <c r="Q201" s="22">
        <v>177414</v>
      </c>
      <c r="R201" s="4"/>
      <c r="S201" s="20"/>
      <c r="T201" s="9">
        <f t="shared" si="191"/>
        <v>467414</v>
      </c>
      <c r="U201" s="20">
        <v>195000</v>
      </c>
      <c r="V201" s="25">
        <v>1144000</v>
      </c>
      <c r="W201" s="20"/>
      <c r="X201" s="20"/>
      <c r="Y201" s="21">
        <f t="shared" si="192"/>
        <v>1339000</v>
      </c>
      <c r="Z201" s="25">
        <v>0</v>
      </c>
      <c r="AA201" s="21">
        <f t="shared" si="193"/>
        <v>0</v>
      </c>
      <c r="AB201" s="25"/>
      <c r="AC201" s="21">
        <f t="shared" si="194"/>
        <v>0</v>
      </c>
      <c r="AD201" s="25"/>
      <c r="AE201" s="25">
        <v>100000</v>
      </c>
      <c r="AF201" s="25"/>
      <c r="AG201" s="25"/>
      <c r="AH201" s="21">
        <f t="shared" si="195"/>
        <v>100000</v>
      </c>
      <c r="AI201" s="4">
        <f t="shared" si="196"/>
        <v>930000</v>
      </c>
      <c r="AJ201" s="4">
        <f t="shared" si="197"/>
        <v>2658414</v>
      </c>
      <c r="AK201" s="4">
        <f t="shared" si="198"/>
        <v>0</v>
      </c>
      <c r="AL201" s="4">
        <f t="shared" si="199"/>
        <v>0</v>
      </c>
      <c r="AM201" s="9">
        <f t="shared" si="200"/>
        <v>3588414</v>
      </c>
    </row>
    <row r="202" spans="1:39">
      <c r="A202" s="190"/>
      <c r="B202" s="8">
        <v>32</v>
      </c>
      <c r="C202" s="1" t="s">
        <v>356</v>
      </c>
      <c r="D202" s="4" t="s">
        <v>313</v>
      </c>
      <c r="E202" s="4" t="s">
        <v>24</v>
      </c>
      <c r="F202" s="4"/>
      <c r="G202" s="4"/>
      <c r="H202" s="4">
        <v>155000</v>
      </c>
      <c r="I202" s="4"/>
      <c r="J202" s="9">
        <f t="shared" si="189"/>
        <v>155000</v>
      </c>
      <c r="K202" s="4"/>
      <c r="L202" s="4"/>
      <c r="M202" s="4"/>
      <c r="N202" s="4"/>
      <c r="O202" s="9">
        <f t="shared" si="190"/>
        <v>0</v>
      </c>
      <c r="P202" s="20"/>
      <c r="Q202" s="20"/>
      <c r="R202" s="4"/>
      <c r="S202" s="20"/>
      <c r="T202" s="9">
        <f t="shared" si="191"/>
        <v>0</v>
      </c>
      <c r="U202" s="20"/>
      <c r="V202" s="20">
        <v>195000</v>
      </c>
      <c r="W202" s="20"/>
      <c r="X202" s="20"/>
      <c r="Y202" s="21">
        <f t="shared" si="192"/>
        <v>195000</v>
      </c>
      <c r="Z202" s="25">
        <v>0</v>
      </c>
      <c r="AA202" s="21">
        <f t="shared" si="193"/>
        <v>0</v>
      </c>
      <c r="AB202" s="25"/>
      <c r="AC202" s="21">
        <f t="shared" si="194"/>
        <v>0</v>
      </c>
      <c r="AD202" s="25"/>
      <c r="AE202" s="25"/>
      <c r="AF202" s="25"/>
      <c r="AG202" s="25"/>
      <c r="AH202" s="21">
        <f t="shared" si="195"/>
        <v>0</v>
      </c>
      <c r="AI202" s="4">
        <f t="shared" si="196"/>
        <v>0</v>
      </c>
      <c r="AJ202" s="4">
        <f t="shared" si="197"/>
        <v>195000</v>
      </c>
      <c r="AK202" s="4">
        <f t="shared" si="198"/>
        <v>155000</v>
      </c>
      <c r="AL202" s="4">
        <f t="shared" si="199"/>
        <v>0</v>
      </c>
      <c r="AM202" s="9">
        <f t="shared" si="200"/>
        <v>350000</v>
      </c>
    </row>
    <row r="203" spans="1:39" ht="31.5">
      <c r="A203" s="190"/>
      <c r="B203" s="8">
        <v>33</v>
      </c>
      <c r="C203" s="1" t="s">
        <v>357</v>
      </c>
      <c r="D203" s="12" t="s">
        <v>358</v>
      </c>
      <c r="E203" s="4" t="s">
        <v>24</v>
      </c>
      <c r="F203" s="4">
        <v>155000</v>
      </c>
      <c r="G203" s="4">
        <v>566000</v>
      </c>
      <c r="H203" s="4">
        <f>88000+93500+308000+20000</f>
        <v>509500</v>
      </c>
      <c r="I203" s="4">
        <f>120000+40000</f>
        <v>160000</v>
      </c>
      <c r="J203" s="9">
        <f t="shared" si="189"/>
        <v>1390500</v>
      </c>
      <c r="K203" s="76">
        <v>290000</v>
      </c>
      <c r="L203" s="76">
        <v>1620000</v>
      </c>
      <c r="M203" s="76">
        <v>1490000</v>
      </c>
      <c r="N203" s="76">
        <v>925000</v>
      </c>
      <c r="O203" s="9">
        <f t="shared" si="190"/>
        <v>4325000</v>
      </c>
      <c r="P203" s="20"/>
      <c r="Q203" s="20"/>
      <c r="R203" s="4"/>
      <c r="S203" s="20"/>
      <c r="T203" s="9">
        <f t="shared" si="191"/>
        <v>0</v>
      </c>
      <c r="U203" s="20">
        <v>195000</v>
      </c>
      <c r="V203" s="25">
        <v>840750</v>
      </c>
      <c r="W203" s="24">
        <v>537100</v>
      </c>
      <c r="X203" s="25">
        <v>150000</v>
      </c>
      <c r="Y203" s="21">
        <f t="shared" si="192"/>
        <v>1722850</v>
      </c>
      <c r="Z203" s="25">
        <v>0</v>
      </c>
      <c r="AA203" s="21">
        <f t="shared" si="193"/>
        <v>0</v>
      </c>
      <c r="AB203" s="25"/>
      <c r="AC203" s="21">
        <f t="shared" si="194"/>
        <v>0</v>
      </c>
      <c r="AD203" s="25"/>
      <c r="AE203" s="25"/>
      <c r="AF203" s="25"/>
      <c r="AG203" s="25"/>
      <c r="AH203" s="21">
        <f t="shared" si="195"/>
        <v>0</v>
      </c>
      <c r="AI203" s="4">
        <f t="shared" si="196"/>
        <v>640000</v>
      </c>
      <c r="AJ203" s="4">
        <f t="shared" si="197"/>
        <v>3026750</v>
      </c>
      <c r="AK203" s="4">
        <f t="shared" si="198"/>
        <v>2536600</v>
      </c>
      <c r="AL203" s="4">
        <f t="shared" si="199"/>
        <v>1235000</v>
      </c>
      <c r="AM203" s="9">
        <f t="shared" si="200"/>
        <v>7438350</v>
      </c>
    </row>
    <row r="204" spans="1:39">
      <c r="A204" s="190"/>
      <c r="B204" s="8">
        <v>34</v>
      </c>
      <c r="C204" s="42" t="s">
        <v>359</v>
      </c>
      <c r="D204" s="64" t="s">
        <v>360</v>
      </c>
      <c r="E204" s="4" t="s">
        <v>24</v>
      </c>
      <c r="F204" s="4"/>
      <c r="G204" s="4"/>
      <c r="H204" s="4"/>
      <c r="I204" s="4"/>
      <c r="J204" s="9">
        <f t="shared" si="189"/>
        <v>0</v>
      </c>
      <c r="K204" s="4"/>
      <c r="L204" s="4"/>
      <c r="M204" s="4"/>
      <c r="N204" s="4"/>
      <c r="O204" s="9">
        <f t="shared" si="190"/>
        <v>0</v>
      </c>
      <c r="P204" s="20"/>
      <c r="Q204" s="22">
        <v>1550000</v>
      </c>
      <c r="R204" s="4">
        <v>2160000</v>
      </c>
      <c r="S204" s="32">
        <v>420000</v>
      </c>
      <c r="T204" s="9">
        <f t="shared" si="191"/>
        <v>4130000</v>
      </c>
      <c r="U204" s="20"/>
      <c r="V204" s="25"/>
      <c r="W204" s="24"/>
      <c r="X204" s="25"/>
      <c r="Y204" s="21">
        <f t="shared" si="192"/>
        <v>0</v>
      </c>
      <c r="Z204" s="25">
        <v>0</v>
      </c>
      <c r="AA204" s="21">
        <f t="shared" si="193"/>
        <v>0</v>
      </c>
      <c r="AB204" s="25"/>
      <c r="AC204" s="21">
        <f t="shared" si="194"/>
        <v>0</v>
      </c>
      <c r="AD204" s="25"/>
      <c r="AE204" s="25"/>
      <c r="AF204" s="25"/>
      <c r="AG204" s="25"/>
      <c r="AH204" s="21">
        <f t="shared" si="195"/>
        <v>0</v>
      </c>
      <c r="AI204" s="4">
        <f t="shared" si="196"/>
        <v>0</v>
      </c>
      <c r="AJ204" s="4">
        <f t="shared" si="197"/>
        <v>1550000</v>
      </c>
      <c r="AK204" s="4">
        <f t="shared" si="198"/>
        <v>2160000</v>
      </c>
      <c r="AL204" s="4">
        <f t="shared" si="199"/>
        <v>420000</v>
      </c>
      <c r="AM204" s="9">
        <f t="shared" si="200"/>
        <v>4130000</v>
      </c>
    </row>
    <row r="205" spans="1:39">
      <c r="A205" s="190"/>
      <c r="B205" s="8">
        <v>35</v>
      </c>
      <c r="C205" s="2" t="s">
        <v>14</v>
      </c>
      <c r="D205" s="13" t="s">
        <v>26</v>
      </c>
      <c r="E205" s="4" t="s">
        <v>24</v>
      </c>
      <c r="F205" s="4"/>
      <c r="G205" s="4"/>
      <c r="H205" s="5"/>
      <c r="I205" s="4"/>
      <c r="J205" s="9">
        <f t="shared" si="189"/>
        <v>0</v>
      </c>
      <c r="K205" s="4"/>
      <c r="L205" s="4"/>
      <c r="M205" s="4"/>
      <c r="N205" s="4"/>
      <c r="O205" s="9">
        <f t="shared" si="190"/>
        <v>0</v>
      </c>
      <c r="P205" s="20"/>
      <c r="Q205" s="26"/>
      <c r="R205" s="32"/>
      <c r="S205" s="32">
        <v>128000</v>
      </c>
      <c r="T205" s="9">
        <f t="shared" si="191"/>
        <v>128000</v>
      </c>
      <c r="U205" s="20"/>
      <c r="V205" s="25"/>
      <c r="W205" s="24"/>
      <c r="X205" s="25"/>
      <c r="Y205" s="21">
        <f t="shared" si="192"/>
        <v>0</v>
      </c>
      <c r="Z205" s="25">
        <v>0</v>
      </c>
      <c r="AA205" s="21">
        <f t="shared" si="193"/>
        <v>0</v>
      </c>
      <c r="AB205" s="25"/>
      <c r="AC205" s="21">
        <f t="shared" si="194"/>
        <v>0</v>
      </c>
      <c r="AD205" s="25"/>
      <c r="AE205" s="25">
        <v>100000</v>
      </c>
      <c r="AF205" s="25"/>
      <c r="AG205" s="25"/>
      <c r="AH205" s="21">
        <f t="shared" si="195"/>
        <v>100000</v>
      </c>
      <c r="AI205" s="4">
        <f t="shared" si="196"/>
        <v>0</v>
      </c>
      <c r="AJ205" s="4">
        <f t="shared" si="197"/>
        <v>100000</v>
      </c>
      <c r="AK205" s="4">
        <f t="shared" si="198"/>
        <v>0</v>
      </c>
      <c r="AL205" s="4">
        <f t="shared" si="199"/>
        <v>128000</v>
      </c>
      <c r="AM205" s="9">
        <f t="shared" si="200"/>
        <v>228000</v>
      </c>
    </row>
    <row r="206" spans="1:39" ht="18.75">
      <c r="A206" s="191"/>
      <c r="B206" s="8">
        <v>36</v>
      </c>
      <c r="C206" s="1" t="s">
        <v>361</v>
      </c>
      <c r="D206" s="91" t="s">
        <v>425</v>
      </c>
      <c r="E206" s="4" t="s">
        <v>24</v>
      </c>
      <c r="F206" s="4"/>
      <c r="G206" s="4"/>
      <c r="H206" s="5"/>
      <c r="I206" s="4"/>
      <c r="J206" s="9">
        <f t="shared" si="189"/>
        <v>0</v>
      </c>
      <c r="K206" s="4"/>
      <c r="L206" s="4"/>
      <c r="M206" s="4"/>
      <c r="N206" s="4"/>
      <c r="O206" s="9">
        <f t="shared" si="190"/>
        <v>0</v>
      </c>
      <c r="P206" s="20"/>
      <c r="Q206" s="20"/>
      <c r="R206" s="20"/>
      <c r="S206" s="20"/>
      <c r="T206" s="9">
        <f t="shared" si="191"/>
        <v>0</v>
      </c>
      <c r="U206" s="20"/>
      <c r="V206" s="25"/>
      <c r="W206" s="24">
        <v>627400</v>
      </c>
      <c r="X206" s="25">
        <v>950000</v>
      </c>
      <c r="Y206" s="21">
        <f t="shared" si="192"/>
        <v>1577400</v>
      </c>
      <c r="Z206" s="25">
        <v>0</v>
      </c>
      <c r="AA206" s="21">
        <f t="shared" si="193"/>
        <v>0</v>
      </c>
      <c r="AB206" s="25"/>
      <c r="AC206" s="21">
        <f t="shared" si="194"/>
        <v>0</v>
      </c>
      <c r="AD206" s="25"/>
      <c r="AE206" s="25"/>
      <c r="AF206" s="25"/>
      <c r="AG206" s="25"/>
      <c r="AH206" s="21">
        <f t="shared" si="195"/>
        <v>0</v>
      </c>
      <c r="AI206" s="4">
        <f t="shared" si="196"/>
        <v>0</v>
      </c>
      <c r="AJ206" s="4">
        <f t="shared" si="197"/>
        <v>0</v>
      </c>
      <c r="AK206" s="4">
        <f t="shared" si="198"/>
        <v>627400</v>
      </c>
      <c r="AL206" s="4">
        <f t="shared" si="199"/>
        <v>950000</v>
      </c>
      <c r="AM206" s="9">
        <f t="shared" si="200"/>
        <v>1577400</v>
      </c>
    </row>
    <row r="207" spans="1:39" s="38" customFormat="1">
      <c r="A207" s="34"/>
      <c r="B207" s="85"/>
      <c r="C207" s="35" t="s">
        <v>362</v>
      </c>
      <c r="D207" s="37"/>
      <c r="E207" s="37"/>
      <c r="F207" s="37">
        <f>SUM(F171:F206)</f>
        <v>1395000</v>
      </c>
      <c r="G207" s="37">
        <f t="shared" ref="G207:AM207" si="201">SUM(G171:G206)</f>
        <v>7241483</v>
      </c>
      <c r="H207" s="37">
        <f t="shared" si="201"/>
        <v>6600000</v>
      </c>
      <c r="I207" s="37">
        <f t="shared" si="201"/>
        <v>2141500</v>
      </c>
      <c r="J207" s="37">
        <f t="shared" si="201"/>
        <v>17377983</v>
      </c>
      <c r="K207" s="37">
        <f t="shared" si="201"/>
        <v>580000</v>
      </c>
      <c r="L207" s="37">
        <f t="shared" si="201"/>
        <v>6390000</v>
      </c>
      <c r="M207" s="37">
        <f t="shared" si="201"/>
        <v>5900000</v>
      </c>
      <c r="N207" s="37">
        <f t="shared" si="201"/>
        <v>3325000</v>
      </c>
      <c r="O207" s="37">
        <f t="shared" si="201"/>
        <v>16195000</v>
      </c>
      <c r="P207" s="37">
        <f t="shared" si="201"/>
        <v>1740000</v>
      </c>
      <c r="Q207" s="37">
        <f t="shared" si="201"/>
        <v>7050479</v>
      </c>
      <c r="R207" s="37">
        <f t="shared" si="201"/>
        <v>7679000</v>
      </c>
      <c r="S207" s="37">
        <f t="shared" si="201"/>
        <v>1868000</v>
      </c>
      <c r="T207" s="37">
        <f t="shared" si="201"/>
        <v>18337479</v>
      </c>
      <c r="U207" s="37">
        <f t="shared" si="201"/>
        <v>1950000</v>
      </c>
      <c r="V207" s="37">
        <f t="shared" si="201"/>
        <v>14238850</v>
      </c>
      <c r="W207" s="37">
        <f t="shared" si="201"/>
        <v>8484650</v>
      </c>
      <c r="X207" s="37">
        <f t="shared" si="201"/>
        <v>6737500</v>
      </c>
      <c r="Y207" s="37">
        <f t="shared" si="201"/>
        <v>31411000</v>
      </c>
      <c r="Z207" s="37">
        <f t="shared" si="201"/>
        <v>5735000</v>
      </c>
      <c r="AA207" s="37">
        <f t="shared" si="201"/>
        <v>5735000</v>
      </c>
      <c r="AB207" s="37">
        <f t="shared" si="201"/>
        <v>1790000</v>
      </c>
      <c r="AC207" s="37">
        <f t="shared" si="201"/>
        <v>1790000</v>
      </c>
      <c r="AD207" s="37">
        <f t="shared" si="201"/>
        <v>0</v>
      </c>
      <c r="AE207" s="37">
        <f t="shared" si="201"/>
        <v>1476000</v>
      </c>
      <c r="AF207" s="37">
        <f t="shared" si="201"/>
        <v>2935750</v>
      </c>
      <c r="AG207" s="37">
        <f t="shared" si="201"/>
        <v>150000</v>
      </c>
      <c r="AH207" s="37">
        <f t="shared" si="201"/>
        <v>4561750</v>
      </c>
      <c r="AI207" s="37">
        <f t="shared" si="201"/>
        <v>5665000</v>
      </c>
      <c r="AJ207" s="37">
        <f t="shared" si="201"/>
        <v>36396812</v>
      </c>
      <c r="AK207" s="37">
        <f t="shared" si="201"/>
        <v>31599400</v>
      </c>
      <c r="AL207" s="37">
        <f t="shared" si="201"/>
        <v>21747000</v>
      </c>
      <c r="AM207" s="37">
        <f t="shared" si="201"/>
        <v>95408212</v>
      </c>
    </row>
    <row r="208" spans="1:39" ht="31.5">
      <c r="A208" s="82" t="s">
        <v>62</v>
      </c>
      <c r="B208" s="8">
        <v>1</v>
      </c>
      <c r="C208" s="1" t="s">
        <v>8</v>
      </c>
      <c r="D208" s="5" t="s">
        <v>426</v>
      </c>
      <c r="E208" s="4" t="s">
        <v>62</v>
      </c>
      <c r="F208" s="4"/>
      <c r="G208" s="4"/>
      <c r="H208" s="5"/>
      <c r="I208" s="4"/>
      <c r="J208" s="9">
        <f>SUM(F208:I208)</f>
        <v>0</v>
      </c>
      <c r="K208" s="76"/>
      <c r="L208" s="76"/>
      <c r="M208" s="76">
        <v>351999</v>
      </c>
      <c r="N208" s="76">
        <v>450000</v>
      </c>
      <c r="O208" s="9">
        <f>SUM(K208:N208)</f>
        <v>801999</v>
      </c>
      <c r="P208" s="20"/>
      <c r="Q208" s="20"/>
      <c r="R208" s="20"/>
      <c r="S208" s="20"/>
      <c r="T208" s="9">
        <f>SUM(P208:S208)</f>
        <v>0</v>
      </c>
      <c r="U208" s="20"/>
      <c r="V208" s="25">
        <v>195000</v>
      </c>
      <c r="W208" s="20"/>
      <c r="X208" s="20">
        <v>42000</v>
      </c>
      <c r="Y208" s="21">
        <f>SUM(U208:X208)</f>
        <v>237000</v>
      </c>
      <c r="Z208" s="25"/>
      <c r="AA208" s="21">
        <f>SUM(Z208:Z208)</f>
        <v>0</v>
      </c>
      <c r="AB208" s="25"/>
      <c r="AC208" s="21">
        <f>SUM(AB208:AB208)</f>
        <v>0</v>
      </c>
      <c r="AD208" s="25"/>
      <c r="AE208" s="25"/>
      <c r="AF208" s="25"/>
      <c r="AG208" s="25"/>
      <c r="AH208" s="21">
        <f>SUM(AD208:AG208)</f>
        <v>0</v>
      </c>
      <c r="AI208" s="4">
        <f>F208+K208+P208+U208+AD208</f>
        <v>0</v>
      </c>
      <c r="AJ208" s="4">
        <f>G208+L208+Q208+V208+AE208</f>
        <v>195000</v>
      </c>
      <c r="AK208" s="4">
        <f>H208+M208+R208+W208+AF208</f>
        <v>351999</v>
      </c>
      <c r="AL208" s="4">
        <f>I208+N208+S208+X208+Z208+AB208+AG208</f>
        <v>492000</v>
      </c>
      <c r="AM208" s="9">
        <f>SUM(AI208:AL208)</f>
        <v>1038999</v>
      </c>
    </row>
    <row r="209" spans="1:39" s="38" customFormat="1">
      <c r="A209" s="34"/>
      <c r="B209" s="85"/>
      <c r="C209" s="35" t="s">
        <v>363</v>
      </c>
      <c r="D209" s="37"/>
      <c r="E209" s="37"/>
      <c r="F209" s="37">
        <f>SUM(F208)</f>
        <v>0</v>
      </c>
      <c r="G209" s="37">
        <f t="shared" ref="G209:AM209" si="202">SUM(G208)</f>
        <v>0</v>
      </c>
      <c r="H209" s="37">
        <f t="shared" si="202"/>
        <v>0</v>
      </c>
      <c r="I209" s="37">
        <f t="shared" si="202"/>
        <v>0</v>
      </c>
      <c r="J209" s="37">
        <f t="shared" si="202"/>
        <v>0</v>
      </c>
      <c r="K209" s="37">
        <f t="shared" si="202"/>
        <v>0</v>
      </c>
      <c r="L209" s="37">
        <f t="shared" si="202"/>
        <v>0</v>
      </c>
      <c r="M209" s="37">
        <f t="shared" si="202"/>
        <v>351999</v>
      </c>
      <c r="N209" s="37">
        <f t="shared" si="202"/>
        <v>450000</v>
      </c>
      <c r="O209" s="37">
        <f t="shared" si="202"/>
        <v>801999</v>
      </c>
      <c r="P209" s="37">
        <f t="shared" si="202"/>
        <v>0</v>
      </c>
      <c r="Q209" s="37">
        <f t="shared" si="202"/>
        <v>0</v>
      </c>
      <c r="R209" s="37">
        <f t="shared" si="202"/>
        <v>0</v>
      </c>
      <c r="S209" s="37">
        <f t="shared" si="202"/>
        <v>0</v>
      </c>
      <c r="T209" s="37">
        <f t="shared" si="202"/>
        <v>0</v>
      </c>
      <c r="U209" s="37">
        <f t="shared" si="202"/>
        <v>0</v>
      </c>
      <c r="V209" s="37">
        <f t="shared" si="202"/>
        <v>195000</v>
      </c>
      <c r="W209" s="37">
        <f t="shared" si="202"/>
        <v>0</v>
      </c>
      <c r="X209" s="37">
        <f t="shared" si="202"/>
        <v>42000</v>
      </c>
      <c r="Y209" s="37">
        <f t="shared" si="202"/>
        <v>237000</v>
      </c>
      <c r="Z209" s="37">
        <f t="shared" si="202"/>
        <v>0</v>
      </c>
      <c r="AA209" s="37">
        <f t="shared" si="202"/>
        <v>0</v>
      </c>
      <c r="AB209" s="37">
        <f t="shared" si="202"/>
        <v>0</v>
      </c>
      <c r="AC209" s="37">
        <f t="shared" si="202"/>
        <v>0</v>
      </c>
      <c r="AD209" s="37">
        <f t="shared" si="202"/>
        <v>0</v>
      </c>
      <c r="AE209" s="37">
        <f t="shared" si="202"/>
        <v>0</v>
      </c>
      <c r="AF209" s="37">
        <f t="shared" si="202"/>
        <v>0</v>
      </c>
      <c r="AG209" s="37">
        <f t="shared" si="202"/>
        <v>0</v>
      </c>
      <c r="AH209" s="37">
        <f t="shared" si="202"/>
        <v>0</v>
      </c>
      <c r="AI209" s="37">
        <f t="shared" si="202"/>
        <v>0</v>
      </c>
      <c r="AJ209" s="37">
        <f t="shared" si="202"/>
        <v>195000</v>
      </c>
      <c r="AK209" s="37">
        <f t="shared" si="202"/>
        <v>351999</v>
      </c>
      <c r="AL209" s="37">
        <f t="shared" si="202"/>
        <v>492000</v>
      </c>
      <c r="AM209" s="37">
        <f t="shared" si="202"/>
        <v>1038999</v>
      </c>
    </row>
    <row r="210" spans="1:39">
      <c r="A210" s="185" t="s">
        <v>23</v>
      </c>
      <c r="B210" s="8">
        <v>1</v>
      </c>
      <c r="C210" s="1" t="s">
        <v>0</v>
      </c>
      <c r="D210" s="4" t="s">
        <v>22</v>
      </c>
      <c r="E210" s="4" t="s">
        <v>23</v>
      </c>
      <c r="F210" s="4"/>
      <c r="G210" s="4"/>
      <c r="H210" s="4">
        <v>155000</v>
      </c>
      <c r="I210" s="4">
        <v>172000</v>
      </c>
      <c r="J210" s="9">
        <f t="shared" ref="J210:J223" si="203">SUM(F210:I210)</f>
        <v>327000</v>
      </c>
      <c r="K210" s="76"/>
      <c r="L210" s="76"/>
      <c r="M210" s="76"/>
      <c r="N210" s="76"/>
      <c r="O210" s="9">
        <f t="shared" ref="O210:O223" si="204">SUM(K210:N210)</f>
        <v>0</v>
      </c>
      <c r="P210" s="20"/>
      <c r="Q210" s="20"/>
      <c r="R210" s="20"/>
      <c r="S210" s="20"/>
      <c r="T210" s="9">
        <f t="shared" ref="T210:T223" si="205">SUM(P210:S210)</f>
        <v>0</v>
      </c>
      <c r="U210" s="20"/>
      <c r="V210" s="20"/>
      <c r="W210" s="20"/>
      <c r="X210" s="20"/>
      <c r="Y210" s="21">
        <f t="shared" ref="Y210:Y223" si="206">SUM(U210:X210)</f>
        <v>0</v>
      </c>
      <c r="Z210" s="25">
        <v>0</v>
      </c>
      <c r="AA210" s="21">
        <f t="shared" ref="AA210:AA223" si="207">SUM(Z210:Z210)</f>
        <v>0</v>
      </c>
      <c r="AB210" s="25"/>
      <c r="AC210" s="21">
        <f t="shared" ref="AC210:AC223" si="208">SUM(AB210:AB210)</f>
        <v>0</v>
      </c>
      <c r="AD210" s="25"/>
      <c r="AE210" s="25"/>
      <c r="AF210" s="25">
        <v>100000</v>
      </c>
      <c r="AG210" s="25">
        <v>125000</v>
      </c>
      <c r="AH210" s="21">
        <f t="shared" ref="AH210:AH223" si="209">SUM(AD210:AG210)</f>
        <v>225000</v>
      </c>
      <c r="AI210" s="4">
        <f t="shared" ref="AI210:AI223" si="210">F210+K210+P210+U210+AD210</f>
        <v>0</v>
      </c>
      <c r="AJ210" s="4">
        <f t="shared" ref="AJ210:AJ223" si="211">G210+L210+Q210+V210+AE210</f>
        <v>0</v>
      </c>
      <c r="AK210" s="4">
        <f t="shared" ref="AK210:AK223" si="212">H210+M210+R210+W210+AF210</f>
        <v>255000</v>
      </c>
      <c r="AL210" s="4">
        <f t="shared" ref="AL210:AL223" si="213">I210+N210+S210+X210+Z210+AB210+AG210</f>
        <v>297000</v>
      </c>
      <c r="AM210" s="9">
        <f t="shared" ref="AM210:AM223" si="214">SUM(AI210:AL210)</f>
        <v>552000</v>
      </c>
    </row>
    <row r="211" spans="1:39" ht="31.5">
      <c r="A211" s="186"/>
      <c r="B211" s="8">
        <v>2</v>
      </c>
      <c r="C211" s="1" t="s">
        <v>364</v>
      </c>
      <c r="D211" s="4" t="s">
        <v>365</v>
      </c>
      <c r="E211" s="4" t="s">
        <v>23</v>
      </c>
      <c r="F211" s="4"/>
      <c r="G211" s="4">
        <f>399694+3753</f>
        <v>403447</v>
      </c>
      <c r="H211" s="4">
        <f>114500+65000+219000</f>
        <v>398500</v>
      </c>
      <c r="I211" s="4"/>
      <c r="J211" s="9">
        <f t="shared" si="203"/>
        <v>801947</v>
      </c>
      <c r="K211" s="4"/>
      <c r="L211" s="4"/>
      <c r="M211" s="4"/>
      <c r="N211" s="4"/>
      <c r="O211" s="9">
        <f t="shared" si="204"/>
        <v>0</v>
      </c>
      <c r="P211" s="20"/>
      <c r="Q211" s="20"/>
      <c r="R211" s="20"/>
      <c r="S211" s="20"/>
      <c r="T211" s="9">
        <f t="shared" si="205"/>
        <v>0</v>
      </c>
      <c r="U211" s="20">
        <v>195000</v>
      </c>
      <c r="V211" s="25">
        <v>1079050</v>
      </c>
      <c r="W211" s="25">
        <v>1013650</v>
      </c>
      <c r="X211" s="24">
        <v>150000</v>
      </c>
      <c r="Y211" s="21">
        <f t="shared" si="206"/>
        <v>2437700</v>
      </c>
      <c r="Z211" s="25">
        <v>838000</v>
      </c>
      <c r="AA211" s="21">
        <f t="shared" si="207"/>
        <v>838000</v>
      </c>
      <c r="AB211" s="25"/>
      <c r="AC211" s="21">
        <f t="shared" si="208"/>
        <v>0</v>
      </c>
      <c r="AD211" s="25"/>
      <c r="AE211" s="25"/>
      <c r="AF211" s="25"/>
      <c r="AG211" s="25"/>
      <c r="AH211" s="21">
        <f t="shared" si="209"/>
        <v>0</v>
      </c>
      <c r="AI211" s="4">
        <f t="shared" si="210"/>
        <v>195000</v>
      </c>
      <c r="AJ211" s="4">
        <f t="shared" si="211"/>
        <v>1482497</v>
      </c>
      <c r="AK211" s="4">
        <f t="shared" si="212"/>
        <v>1412150</v>
      </c>
      <c r="AL211" s="4">
        <f t="shared" si="213"/>
        <v>988000</v>
      </c>
      <c r="AM211" s="9">
        <f t="shared" si="214"/>
        <v>4077647</v>
      </c>
    </row>
    <row r="212" spans="1:39">
      <c r="A212" s="186"/>
      <c r="B212" s="8">
        <v>3</v>
      </c>
      <c r="C212" s="1" t="s">
        <v>366</v>
      </c>
      <c r="D212" s="4" t="s">
        <v>367</v>
      </c>
      <c r="E212" s="4" t="s">
        <v>23</v>
      </c>
      <c r="F212" s="4"/>
      <c r="G212" s="4"/>
      <c r="H212" s="4">
        <v>155000</v>
      </c>
      <c r="I212" s="4"/>
      <c r="J212" s="9">
        <f t="shared" si="203"/>
        <v>155000</v>
      </c>
      <c r="K212" s="4"/>
      <c r="L212" s="4"/>
      <c r="M212" s="4"/>
      <c r="N212" s="4"/>
      <c r="O212" s="9">
        <f t="shared" si="204"/>
        <v>0</v>
      </c>
      <c r="P212" s="20"/>
      <c r="Q212" s="20"/>
      <c r="R212" s="20"/>
      <c r="S212" s="20"/>
      <c r="T212" s="9">
        <f t="shared" si="205"/>
        <v>0</v>
      </c>
      <c r="U212" s="20"/>
      <c r="V212" s="20"/>
      <c r="W212" s="20"/>
      <c r="X212" s="20"/>
      <c r="Y212" s="21">
        <f t="shared" si="206"/>
        <v>0</v>
      </c>
      <c r="Z212" s="25">
        <v>0</v>
      </c>
      <c r="AA212" s="21">
        <f t="shared" si="207"/>
        <v>0</v>
      </c>
      <c r="AB212" s="25"/>
      <c r="AC212" s="21">
        <f t="shared" si="208"/>
        <v>0</v>
      </c>
      <c r="AD212" s="25"/>
      <c r="AE212" s="25"/>
      <c r="AF212" s="25"/>
      <c r="AG212" s="25"/>
      <c r="AH212" s="21">
        <f t="shared" si="209"/>
        <v>0</v>
      </c>
      <c r="AI212" s="4">
        <f t="shared" si="210"/>
        <v>0</v>
      </c>
      <c r="AJ212" s="4">
        <f t="shared" si="211"/>
        <v>0</v>
      </c>
      <c r="AK212" s="4">
        <f t="shared" si="212"/>
        <v>155000</v>
      </c>
      <c r="AL212" s="4">
        <f t="shared" si="213"/>
        <v>0</v>
      </c>
      <c r="AM212" s="9">
        <f t="shared" si="214"/>
        <v>155000</v>
      </c>
    </row>
    <row r="213" spans="1:39">
      <c r="A213" s="186"/>
      <c r="B213" s="8">
        <v>4</v>
      </c>
      <c r="C213" s="1" t="s">
        <v>368</v>
      </c>
      <c r="D213" s="4" t="s">
        <v>369</v>
      </c>
      <c r="E213" s="4" t="s">
        <v>23</v>
      </c>
      <c r="F213" s="4"/>
      <c r="G213" s="4"/>
      <c r="H213" s="4">
        <v>155000</v>
      </c>
      <c r="I213" s="4"/>
      <c r="J213" s="9">
        <f t="shared" si="203"/>
        <v>155000</v>
      </c>
      <c r="K213" s="4"/>
      <c r="L213" s="4"/>
      <c r="M213" s="4"/>
      <c r="N213" s="4"/>
      <c r="O213" s="9">
        <f t="shared" si="204"/>
        <v>0</v>
      </c>
      <c r="P213" s="20"/>
      <c r="Q213" s="20"/>
      <c r="R213" s="20"/>
      <c r="S213" s="20"/>
      <c r="T213" s="9">
        <f t="shared" si="205"/>
        <v>0</v>
      </c>
      <c r="U213" s="20"/>
      <c r="V213" s="20">
        <v>195000</v>
      </c>
      <c r="W213" s="25">
        <v>710800</v>
      </c>
      <c r="X213" s="24">
        <v>210000</v>
      </c>
      <c r="Y213" s="21">
        <f t="shared" si="206"/>
        <v>1115800</v>
      </c>
      <c r="Z213" s="25">
        <v>0</v>
      </c>
      <c r="AA213" s="21">
        <f t="shared" si="207"/>
        <v>0</v>
      </c>
      <c r="AB213" s="25"/>
      <c r="AC213" s="21">
        <f t="shared" si="208"/>
        <v>0</v>
      </c>
      <c r="AD213" s="25"/>
      <c r="AE213" s="25">
        <v>100000</v>
      </c>
      <c r="AF213" s="25">
        <v>540000</v>
      </c>
      <c r="AG213" s="25"/>
      <c r="AH213" s="21">
        <f t="shared" si="209"/>
        <v>640000</v>
      </c>
      <c r="AI213" s="4">
        <f t="shared" si="210"/>
        <v>0</v>
      </c>
      <c r="AJ213" s="4">
        <f t="shared" si="211"/>
        <v>295000</v>
      </c>
      <c r="AK213" s="4">
        <f t="shared" si="212"/>
        <v>1405800</v>
      </c>
      <c r="AL213" s="4">
        <f t="shared" si="213"/>
        <v>210000</v>
      </c>
      <c r="AM213" s="9">
        <f t="shared" si="214"/>
        <v>1910800</v>
      </c>
    </row>
    <row r="214" spans="1:39">
      <c r="A214" s="186"/>
      <c r="B214" s="8">
        <v>5</v>
      </c>
      <c r="C214" s="1" t="s">
        <v>370</v>
      </c>
      <c r="D214" s="4" t="s">
        <v>371</v>
      </c>
      <c r="E214" s="4" t="s">
        <v>23</v>
      </c>
      <c r="F214" s="4"/>
      <c r="G214" s="4">
        <v>453500</v>
      </c>
      <c r="H214" s="4">
        <f>99000+203500</f>
        <v>302500</v>
      </c>
      <c r="I214" s="4">
        <v>160000</v>
      </c>
      <c r="J214" s="9">
        <f t="shared" si="203"/>
        <v>916000</v>
      </c>
      <c r="K214" s="4"/>
      <c r="L214" s="4"/>
      <c r="M214" s="4"/>
      <c r="N214" s="4"/>
      <c r="O214" s="9">
        <f t="shared" si="204"/>
        <v>0</v>
      </c>
      <c r="P214" s="20"/>
      <c r="Q214" s="20"/>
      <c r="R214" s="20"/>
      <c r="S214" s="20"/>
      <c r="T214" s="9">
        <f t="shared" si="205"/>
        <v>0</v>
      </c>
      <c r="U214" s="20"/>
      <c r="V214" s="25">
        <v>636450</v>
      </c>
      <c r="W214" s="25">
        <v>252200</v>
      </c>
      <c r="X214" s="24">
        <v>180000</v>
      </c>
      <c r="Y214" s="21">
        <f t="shared" si="206"/>
        <v>1068650</v>
      </c>
      <c r="Z214" s="25">
        <v>823000</v>
      </c>
      <c r="AA214" s="21">
        <f t="shared" si="207"/>
        <v>823000</v>
      </c>
      <c r="AB214" s="25"/>
      <c r="AC214" s="21">
        <f t="shared" si="208"/>
        <v>0</v>
      </c>
      <c r="AD214" s="25"/>
      <c r="AE214" s="25">
        <v>100000</v>
      </c>
      <c r="AF214" s="25">
        <v>230000</v>
      </c>
      <c r="AG214" s="25"/>
      <c r="AH214" s="21">
        <f t="shared" si="209"/>
        <v>330000</v>
      </c>
      <c r="AI214" s="4">
        <f t="shared" si="210"/>
        <v>0</v>
      </c>
      <c r="AJ214" s="4">
        <f t="shared" si="211"/>
        <v>1189950</v>
      </c>
      <c r="AK214" s="4">
        <f t="shared" si="212"/>
        <v>784700</v>
      </c>
      <c r="AL214" s="4">
        <f t="shared" si="213"/>
        <v>1163000</v>
      </c>
      <c r="AM214" s="9">
        <f t="shared" si="214"/>
        <v>3137650</v>
      </c>
    </row>
    <row r="215" spans="1:39">
      <c r="A215" s="186"/>
      <c r="B215" s="8">
        <v>6</v>
      </c>
      <c r="C215" s="1" t="s">
        <v>372</v>
      </c>
      <c r="D215" s="4" t="s">
        <v>371</v>
      </c>
      <c r="E215" s="4" t="s">
        <v>23</v>
      </c>
      <c r="F215" s="4"/>
      <c r="G215" s="4">
        <v>155000</v>
      </c>
      <c r="H215" s="4">
        <v>88000</v>
      </c>
      <c r="I215" s="4"/>
      <c r="J215" s="9">
        <f t="shared" si="203"/>
        <v>243000</v>
      </c>
      <c r="K215" s="4"/>
      <c r="L215" s="4"/>
      <c r="M215" s="4"/>
      <c r="N215" s="4"/>
      <c r="O215" s="9">
        <f t="shared" si="204"/>
        <v>0</v>
      </c>
      <c r="P215" s="20"/>
      <c r="Q215" s="20"/>
      <c r="R215" s="20"/>
      <c r="S215" s="20"/>
      <c r="T215" s="9">
        <f t="shared" si="205"/>
        <v>0</v>
      </c>
      <c r="U215" s="20"/>
      <c r="V215" s="25">
        <v>238650</v>
      </c>
      <c r="W215" s="25">
        <v>601400</v>
      </c>
      <c r="X215" s="24"/>
      <c r="Y215" s="21">
        <f t="shared" si="206"/>
        <v>840050</v>
      </c>
      <c r="Z215" s="25">
        <v>0</v>
      </c>
      <c r="AA215" s="21">
        <f t="shared" si="207"/>
        <v>0</v>
      </c>
      <c r="AB215" s="25"/>
      <c r="AC215" s="21">
        <f t="shared" si="208"/>
        <v>0</v>
      </c>
      <c r="AD215" s="25"/>
      <c r="AE215" s="25"/>
      <c r="AF215" s="25"/>
      <c r="AG215" s="25"/>
      <c r="AH215" s="21">
        <f t="shared" si="209"/>
        <v>0</v>
      </c>
      <c r="AI215" s="4">
        <f t="shared" si="210"/>
        <v>0</v>
      </c>
      <c r="AJ215" s="4">
        <f t="shared" si="211"/>
        <v>393650</v>
      </c>
      <c r="AK215" s="4">
        <f t="shared" si="212"/>
        <v>689400</v>
      </c>
      <c r="AL215" s="4">
        <f t="shared" si="213"/>
        <v>0</v>
      </c>
      <c r="AM215" s="9">
        <f t="shared" si="214"/>
        <v>1083050</v>
      </c>
    </row>
    <row r="216" spans="1:39">
      <c r="A216" s="186"/>
      <c r="B216" s="8">
        <v>7</v>
      </c>
      <c r="C216" s="1" t="s">
        <v>373</v>
      </c>
      <c r="D216" s="4" t="s">
        <v>374</v>
      </c>
      <c r="E216" s="4" t="s">
        <v>23</v>
      </c>
      <c r="F216" s="4"/>
      <c r="G216" s="4">
        <v>719000</v>
      </c>
      <c r="H216" s="4">
        <f>282000+188000+80500+85000+80000</f>
        <v>715500</v>
      </c>
      <c r="I216" s="4">
        <v>673500</v>
      </c>
      <c r="J216" s="9">
        <f t="shared" si="203"/>
        <v>2108000</v>
      </c>
      <c r="K216" s="4"/>
      <c r="L216" s="4"/>
      <c r="M216" s="4"/>
      <c r="N216" s="4"/>
      <c r="O216" s="9">
        <f t="shared" si="204"/>
        <v>0</v>
      </c>
      <c r="P216" s="20"/>
      <c r="Q216" s="20"/>
      <c r="R216" s="20"/>
      <c r="S216" s="20"/>
      <c r="T216" s="9">
        <f t="shared" si="205"/>
        <v>0</v>
      </c>
      <c r="U216" s="20"/>
      <c r="V216" s="20"/>
      <c r="W216" s="20"/>
      <c r="X216" s="20"/>
      <c r="Y216" s="21">
        <f t="shared" si="206"/>
        <v>0</v>
      </c>
      <c r="Z216" s="25">
        <v>0</v>
      </c>
      <c r="AA216" s="21">
        <f t="shared" si="207"/>
        <v>0</v>
      </c>
      <c r="AB216" s="25"/>
      <c r="AC216" s="21">
        <f t="shared" si="208"/>
        <v>0</v>
      </c>
      <c r="AD216" s="25"/>
      <c r="AE216" s="25">
        <v>100000</v>
      </c>
      <c r="AF216" s="25">
        <v>257600</v>
      </c>
      <c r="AG216" s="25"/>
      <c r="AH216" s="21">
        <f t="shared" si="209"/>
        <v>357600</v>
      </c>
      <c r="AI216" s="4">
        <f t="shared" si="210"/>
        <v>0</v>
      </c>
      <c r="AJ216" s="4">
        <f t="shared" si="211"/>
        <v>819000</v>
      </c>
      <c r="AK216" s="4">
        <f t="shared" si="212"/>
        <v>973100</v>
      </c>
      <c r="AL216" s="4">
        <f t="shared" si="213"/>
        <v>673500</v>
      </c>
      <c r="AM216" s="9">
        <f t="shared" si="214"/>
        <v>2465600</v>
      </c>
    </row>
    <row r="217" spans="1:39">
      <c r="A217" s="186"/>
      <c r="B217" s="8">
        <v>8</v>
      </c>
      <c r="C217" s="1" t="s">
        <v>375</v>
      </c>
      <c r="D217" s="4" t="s">
        <v>376</v>
      </c>
      <c r="E217" s="4" t="s">
        <v>23</v>
      </c>
      <c r="F217" s="4"/>
      <c r="G217" s="4">
        <v>155000</v>
      </c>
      <c r="H217" s="4">
        <f>96000+48000</f>
        <v>144000</v>
      </c>
      <c r="I217" s="4">
        <f>68000+58000</f>
        <v>126000</v>
      </c>
      <c r="J217" s="9">
        <f t="shared" si="203"/>
        <v>425000</v>
      </c>
      <c r="K217" s="4"/>
      <c r="L217" s="4"/>
      <c r="M217" s="4"/>
      <c r="N217" s="4"/>
      <c r="O217" s="9">
        <f t="shared" si="204"/>
        <v>0</v>
      </c>
      <c r="P217" s="20"/>
      <c r="Q217" s="20"/>
      <c r="R217" s="20"/>
      <c r="S217" s="20"/>
      <c r="T217" s="9">
        <f t="shared" si="205"/>
        <v>0</v>
      </c>
      <c r="U217" s="20"/>
      <c r="V217" s="20">
        <v>195000</v>
      </c>
      <c r="W217" s="25">
        <v>267300</v>
      </c>
      <c r="X217" s="24">
        <v>262000</v>
      </c>
      <c r="Y217" s="21">
        <f t="shared" si="206"/>
        <v>724300</v>
      </c>
      <c r="Z217" s="25">
        <v>910500</v>
      </c>
      <c r="AA217" s="21">
        <f t="shared" si="207"/>
        <v>910500</v>
      </c>
      <c r="AB217" s="25"/>
      <c r="AC217" s="21">
        <f t="shared" si="208"/>
        <v>0</v>
      </c>
      <c r="AD217" s="25"/>
      <c r="AE217" s="25">
        <v>100000</v>
      </c>
      <c r="AF217" s="25">
        <v>230000</v>
      </c>
      <c r="AG217" s="25">
        <v>145000</v>
      </c>
      <c r="AH217" s="21">
        <f t="shared" si="209"/>
        <v>475000</v>
      </c>
      <c r="AI217" s="4">
        <f t="shared" si="210"/>
        <v>0</v>
      </c>
      <c r="AJ217" s="4">
        <f t="shared" si="211"/>
        <v>450000</v>
      </c>
      <c r="AK217" s="4">
        <f t="shared" si="212"/>
        <v>641300</v>
      </c>
      <c r="AL217" s="4">
        <f t="shared" si="213"/>
        <v>1443500</v>
      </c>
      <c r="AM217" s="9">
        <f t="shared" si="214"/>
        <v>2534800</v>
      </c>
    </row>
    <row r="218" spans="1:39" ht="31.5">
      <c r="A218" s="186"/>
      <c r="B218" s="8">
        <v>9</v>
      </c>
      <c r="C218" s="1" t="s">
        <v>377</v>
      </c>
      <c r="D218" s="4" t="s">
        <v>378</v>
      </c>
      <c r="E218" s="4" t="s">
        <v>23</v>
      </c>
      <c r="F218" s="4"/>
      <c r="G218" s="4">
        <v>529000</v>
      </c>
      <c r="H218" s="4">
        <v>330000</v>
      </c>
      <c r="I218" s="4"/>
      <c r="J218" s="9">
        <f t="shared" si="203"/>
        <v>859000</v>
      </c>
      <c r="K218" s="4"/>
      <c r="L218" s="4"/>
      <c r="M218" s="4"/>
      <c r="N218" s="4"/>
      <c r="O218" s="9">
        <f t="shared" si="204"/>
        <v>0</v>
      </c>
      <c r="P218" s="20"/>
      <c r="Q218" s="20"/>
      <c r="R218" s="4">
        <v>290000</v>
      </c>
      <c r="S218" s="23"/>
      <c r="T218" s="9">
        <f t="shared" si="205"/>
        <v>290000</v>
      </c>
      <c r="U218" s="20"/>
      <c r="V218" s="25">
        <v>787400</v>
      </c>
      <c r="W218" s="25">
        <v>518950</v>
      </c>
      <c r="X218" s="25"/>
      <c r="Y218" s="21">
        <f t="shared" si="206"/>
        <v>1306350</v>
      </c>
      <c r="Z218" s="25">
        <v>0</v>
      </c>
      <c r="AA218" s="21">
        <f t="shared" si="207"/>
        <v>0</v>
      </c>
      <c r="AB218" s="25"/>
      <c r="AC218" s="21">
        <f t="shared" si="208"/>
        <v>0</v>
      </c>
      <c r="AD218" s="25"/>
      <c r="AE218" s="25"/>
      <c r="AF218" s="25"/>
      <c r="AG218" s="25"/>
      <c r="AH218" s="21">
        <f t="shared" si="209"/>
        <v>0</v>
      </c>
      <c r="AI218" s="4">
        <f t="shared" si="210"/>
        <v>0</v>
      </c>
      <c r="AJ218" s="4">
        <f t="shared" si="211"/>
        <v>1316400</v>
      </c>
      <c r="AK218" s="4">
        <f t="shared" si="212"/>
        <v>1138950</v>
      </c>
      <c r="AL218" s="4">
        <f t="shared" si="213"/>
        <v>0</v>
      </c>
      <c r="AM218" s="9">
        <f t="shared" si="214"/>
        <v>2455350</v>
      </c>
    </row>
    <row r="219" spans="1:39">
      <c r="A219" s="186"/>
      <c r="B219" s="8">
        <v>10</v>
      </c>
      <c r="C219" s="40" t="s">
        <v>379</v>
      </c>
      <c r="D219" s="41" t="s">
        <v>380</v>
      </c>
      <c r="E219" s="4" t="s">
        <v>23</v>
      </c>
      <c r="F219" s="4"/>
      <c r="G219" s="4"/>
      <c r="H219" s="4"/>
      <c r="I219" s="4"/>
      <c r="J219" s="9">
        <f t="shared" si="203"/>
        <v>0</v>
      </c>
      <c r="K219" s="76">
        <v>290000</v>
      </c>
      <c r="L219" s="76">
        <f>1200000+70000</f>
        <v>1270000</v>
      </c>
      <c r="M219" s="76">
        <f>910000-60000</f>
        <v>850000</v>
      </c>
      <c r="N219" s="76">
        <v>835000</v>
      </c>
      <c r="O219" s="9">
        <f t="shared" si="204"/>
        <v>3245000</v>
      </c>
      <c r="P219" s="20"/>
      <c r="Q219" s="20"/>
      <c r="R219" s="20"/>
      <c r="S219" s="20"/>
      <c r="T219" s="9">
        <f t="shared" si="205"/>
        <v>0</v>
      </c>
      <c r="U219" s="20"/>
      <c r="V219" s="25"/>
      <c r="W219" s="20"/>
      <c r="X219" s="20"/>
      <c r="Y219" s="21">
        <f t="shared" si="206"/>
        <v>0</v>
      </c>
      <c r="Z219" s="25">
        <v>0</v>
      </c>
      <c r="AA219" s="21">
        <f t="shared" si="207"/>
        <v>0</v>
      </c>
      <c r="AB219" s="25"/>
      <c r="AC219" s="21">
        <f t="shared" si="208"/>
        <v>0</v>
      </c>
      <c r="AD219" s="25"/>
      <c r="AE219" s="25"/>
      <c r="AF219" s="25">
        <f>330000</f>
        <v>330000</v>
      </c>
      <c r="AG219" s="25"/>
      <c r="AH219" s="21">
        <f t="shared" si="209"/>
        <v>330000</v>
      </c>
      <c r="AI219" s="4">
        <f t="shared" si="210"/>
        <v>290000</v>
      </c>
      <c r="AJ219" s="4">
        <f t="shared" si="211"/>
        <v>1270000</v>
      </c>
      <c r="AK219" s="4">
        <f t="shared" si="212"/>
        <v>1180000</v>
      </c>
      <c r="AL219" s="4">
        <f t="shared" si="213"/>
        <v>835000</v>
      </c>
      <c r="AM219" s="9">
        <f t="shared" si="214"/>
        <v>3575000</v>
      </c>
    </row>
    <row r="220" spans="1:39">
      <c r="A220" s="186"/>
      <c r="B220" s="8">
        <v>11</v>
      </c>
      <c r="C220" s="40" t="s">
        <v>381</v>
      </c>
      <c r="D220" s="41" t="s">
        <v>382</v>
      </c>
      <c r="E220" s="4" t="s">
        <v>23</v>
      </c>
      <c r="F220" s="4"/>
      <c r="G220" s="4"/>
      <c r="H220" s="4"/>
      <c r="I220" s="4"/>
      <c r="J220" s="9">
        <f t="shared" si="203"/>
        <v>0</v>
      </c>
      <c r="K220" s="4"/>
      <c r="L220" s="4"/>
      <c r="M220" s="10"/>
      <c r="N220" s="10"/>
      <c r="O220" s="9">
        <f t="shared" si="204"/>
        <v>0</v>
      </c>
      <c r="P220" s="20"/>
      <c r="Q220" s="20"/>
      <c r="R220" s="20"/>
      <c r="S220" s="20"/>
      <c r="T220" s="9">
        <f t="shared" si="205"/>
        <v>0</v>
      </c>
      <c r="U220" s="20"/>
      <c r="V220" s="25"/>
      <c r="W220" s="20"/>
      <c r="X220" s="20"/>
      <c r="Y220" s="21">
        <f t="shared" si="206"/>
        <v>0</v>
      </c>
      <c r="Z220" s="25">
        <v>0</v>
      </c>
      <c r="AA220" s="21">
        <f t="shared" si="207"/>
        <v>0</v>
      </c>
      <c r="AB220" s="25"/>
      <c r="AC220" s="21">
        <f t="shared" si="208"/>
        <v>0</v>
      </c>
      <c r="AD220" s="25"/>
      <c r="AE220" s="25"/>
      <c r="AF220" s="25"/>
      <c r="AG220" s="25"/>
      <c r="AH220" s="21">
        <f t="shared" si="209"/>
        <v>0</v>
      </c>
      <c r="AI220" s="4">
        <f t="shared" si="210"/>
        <v>0</v>
      </c>
      <c r="AJ220" s="4">
        <f t="shared" si="211"/>
        <v>0</v>
      </c>
      <c r="AK220" s="4">
        <f t="shared" si="212"/>
        <v>0</v>
      </c>
      <c r="AL220" s="4">
        <f t="shared" si="213"/>
        <v>0</v>
      </c>
      <c r="AM220" s="9">
        <f t="shared" si="214"/>
        <v>0</v>
      </c>
    </row>
    <row r="221" spans="1:39" ht="31.5">
      <c r="A221" s="186"/>
      <c r="B221" s="8">
        <v>12</v>
      </c>
      <c r="C221" s="1" t="s">
        <v>383</v>
      </c>
      <c r="D221" s="4" t="s">
        <v>380</v>
      </c>
      <c r="E221" s="4" t="s">
        <v>23</v>
      </c>
      <c r="F221" s="4">
        <v>155000</v>
      </c>
      <c r="G221" s="4">
        <v>498500</v>
      </c>
      <c r="H221" s="4">
        <f>60500+126500+137500+258500+88000</f>
        <v>671000</v>
      </c>
      <c r="I221" s="4">
        <v>491000</v>
      </c>
      <c r="J221" s="9">
        <f t="shared" si="203"/>
        <v>1815500</v>
      </c>
      <c r="K221" s="4"/>
      <c r="L221" s="4"/>
      <c r="M221" s="4"/>
      <c r="N221" s="4"/>
      <c r="O221" s="9">
        <f t="shared" si="204"/>
        <v>0</v>
      </c>
      <c r="P221" s="20"/>
      <c r="Q221" s="20"/>
      <c r="R221" s="20"/>
      <c r="S221" s="20"/>
      <c r="T221" s="9">
        <f t="shared" si="205"/>
        <v>0</v>
      </c>
      <c r="U221" s="20"/>
      <c r="V221" s="20"/>
      <c r="W221" s="20"/>
      <c r="X221" s="20"/>
      <c r="Y221" s="21">
        <f t="shared" si="206"/>
        <v>0</v>
      </c>
      <c r="Z221" s="25">
        <v>0</v>
      </c>
      <c r="AA221" s="21">
        <f t="shared" si="207"/>
        <v>0</v>
      </c>
      <c r="AB221" s="25"/>
      <c r="AC221" s="21">
        <f t="shared" si="208"/>
        <v>0</v>
      </c>
      <c r="AD221" s="25"/>
      <c r="AE221" s="25"/>
      <c r="AF221" s="25"/>
      <c r="AG221" s="25"/>
      <c r="AH221" s="21">
        <f t="shared" si="209"/>
        <v>0</v>
      </c>
      <c r="AI221" s="4">
        <f t="shared" si="210"/>
        <v>155000</v>
      </c>
      <c r="AJ221" s="4">
        <f t="shared" si="211"/>
        <v>498500</v>
      </c>
      <c r="AK221" s="4">
        <f t="shared" si="212"/>
        <v>671000</v>
      </c>
      <c r="AL221" s="4">
        <f t="shared" si="213"/>
        <v>491000</v>
      </c>
      <c r="AM221" s="9">
        <f t="shared" si="214"/>
        <v>1815500</v>
      </c>
    </row>
    <row r="222" spans="1:39" ht="18.75">
      <c r="A222" s="186"/>
      <c r="B222" s="8">
        <v>13</v>
      </c>
      <c r="C222" s="1" t="s">
        <v>384</v>
      </c>
      <c r="D222" s="91" t="s">
        <v>427</v>
      </c>
      <c r="E222" s="4" t="s">
        <v>23</v>
      </c>
      <c r="F222" s="4"/>
      <c r="G222" s="4"/>
      <c r="H222" s="4"/>
      <c r="I222" s="4"/>
      <c r="J222" s="9">
        <f t="shared" si="203"/>
        <v>0</v>
      </c>
      <c r="K222" s="4"/>
      <c r="L222" s="4"/>
      <c r="M222" s="4"/>
      <c r="N222" s="4"/>
      <c r="O222" s="9">
        <f t="shared" si="204"/>
        <v>0</v>
      </c>
      <c r="P222" s="20"/>
      <c r="Q222" s="20"/>
      <c r="R222" s="20"/>
      <c r="S222" s="20"/>
      <c r="T222" s="9">
        <f t="shared" si="205"/>
        <v>0</v>
      </c>
      <c r="U222" s="20"/>
      <c r="V222" s="20"/>
      <c r="W222" s="20">
        <f>211000+16000</f>
        <v>227000</v>
      </c>
      <c r="X222" s="20">
        <v>344000</v>
      </c>
      <c r="Y222" s="21">
        <f t="shared" si="206"/>
        <v>571000</v>
      </c>
      <c r="Z222" s="25">
        <v>0</v>
      </c>
      <c r="AA222" s="21">
        <f t="shared" si="207"/>
        <v>0</v>
      </c>
      <c r="AB222" s="25"/>
      <c r="AC222" s="21">
        <f t="shared" si="208"/>
        <v>0</v>
      </c>
      <c r="AD222" s="25"/>
      <c r="AE222" s="25"/>
      <c r="AF222" s="25"/>
      <c r="AG222" s="25"/>
      <c r="AH222" s="21">
        <f t="shared" si="209"/>
        <v>0</v>
      </c>
      <c r="AI222" s="4">
        <f t="shared" si="210"/>
        <v>0</v>
      </c>
      <c r="AJ222" s="4">
        <f t="shared" si="211"/>
        <v>0</v>
      </c>
      <c r="AK222" s="4">
        <f t="shared" si="212"/>
        <v>227000</v>
      </c>
      <c r="AL222" s="4">
        <f t="shared" si="213"/>
        <v>344000</v>
      </c>
      <c r="AM222" s="9">
        <f t="shared" si="214"/>
        <v>571000</v>
      </c>
    </row>
    <row r="223" spans="1:39">
      <c r="A223" s="187"/>
      <c r="B223" s="8">
        <v>14</v>
      </c>
      <c r="C223" s="1" t="s">
        <v>385</v>
      </c>
      <c r="D223" s="4" t="s">
        <v>386</v>
      </c>
      <c r="E223" s="4" t="s">
        <v>23</v>
      </c>
      <c r="F223" s="4"/>
      <c r="G223" s="4">
        <v>155000</v>
      </c>
      <c r="H223" s="4"/>
      <c r="I223" s="4"/>
      <c r="J223" s="9">
        <f t="shared" si="203"/>
        <v>155000</v>
      </c>
      <c r="K223" s="4"/>
      <c r="L223" s="4"/>
      <c r="M223" s="4"/>
      <c r="N223" s="4"/>
      <c r="O223" s="9">
        <f t="shared" si="204"/>
        <v>0</v>
      </c>
      <c r="P223" s="20"/>
      <c r="Q223" s="20"/>
      <c r="R223" s="20"/>
      <c r="S223" s="20"/>
      <c r="T223" s="9">
        <f t="shared" si="205"/>
        <v>0</v>
      </c>
      <c r="U223" s="20"/>
      <c r="V223" s="20"/>
      <c r="W223" s="20"/>
      <c r="X223" s="20"/>
      <c r="Y223" s="21">
        <f t="shared" si="206"/>
        <v>0</v>
      </c>
      <c r="Z223" s="25">
        <v>0</v>
      </c>
      <c r="AA223" s="21">
        <f t="shared" si="207"/>
        <v>0</v>
      </c>
      <c r="AB223" s="25"/>
      <c r="AC223" s="21">
        <f t="shared" si="208"/>
        <v>0</v>
      </c>
      <c r="AD223" s="25"/>
      <c r="AE223" s="25"/>
      <c r="AF223" s="25"/>
      <c r="AG223" s="25"/>
      <c r="AH223" s="21">
        <f t="shared" si="209"/>
        <v>0</v>
      </c>
      <c r="AI223" s="4">
        <f t="shared" si="210"/>
        <v>0</v>
      </c>
      <c r="AJ223" s="4">
        <f t="shared" si="211"/>
        <v>155000</v>
      </c>
      <c r="AK223" s="4">
        <f t="shared" si="212"/>
        <v>0</v>
      </c>
      <c r="AL223" s="4">
        <f t="shared" si="213"/>
        <v>0</v>
      </c>
      <c r="AM223" s="9">
        <f t="shared" si="214"/>
        <v>155000</v>
      </c>
    </row>
    <row r="224" spans="1:39" s="38" customFormat="1">
      <c r="A224" s="34"/>
      <c r="B224" s="85"/>
      <c r="C224" s="35" t="s">
        <v>387</v>
      </c>
      <c r="D224" s="37"/>
      <c r="E224" s="37"/>
      <c r="F224" s="37">
        <f>SUM(F210:F223)</f>
        <v>155000</v>
      </c>
      <c r="G224" s="37">
        <f t="shared" ref="G224:AM224" si="215">SUM(G210:G223)</f>
        <v>3068447</v>
      </c>
      <c r="H224" s="37">
        <f t="shared" si="215"/>
        <v>3114500</v>
      </c>
      <c r="I224" s="37">
        <f t="shared" si="215"/>
        <v>1622500</v>
      </c>
      <c r="J224" s="37">
        <f t="shared" si="215"/>
        <v>7960447</v>
      </c>
      <c r="K224" s="37">
        <f t="shared" si="215"/>
        <v>290000</v>
      </c>
      <c r="L224" s="37">
        <f t="shared" si="215"/>
        <v>1270000</v>
      </c>
      <c r="M224" s="37">
        <f t="shared" si="215"/>
        <v>850000</v>
      </c>
      <c r="N224" s="37">
        <f t="shared" si="215"/>
        <v>835000</v>
      </c>
      <c r="O224" s="37">
        <f t="shared" si="215"/>
        <v>3245000</v>
      </c>
      <c r="P224" s="37">
        <f t="shared" si="215"/>
        <v>0</v>
      </c>
      <c r="Q224" s="37">
        <f t="shared" si="215"/>
        <v>0</v>
      </c>
      <c r="R224" s="37">
        <f t="shared" si="215"/>
        <v>290000</v>
      </c>
      <c r="S224" s="37">
        <f t="shared" si="215"/>
        <v>0</v>
      </c>
      <c r="T224" s="37">
        <f t="shared" si="215"/>
        <v>290000</v>
      </c>
      <c r="U224" s="37">
        <f t="shared" si="215"/>
        <v>195000</v>
      </c>
      <c r="V224" s="37">
        <f t="shared" si="215"/>
        <v>3131550</v>
      </c>
      <c r="W224" s="37">
        <f t="shared" si="215"/>
        <v>3591300</v>
      </c>
      <c r="X224" s="37">
        <f t="shared" si="215"/>
        <v>1146000</v>
      </c>
      <c r="Y224" s="37">
        <f t="shared" si="215"/>
        <v>8063850</v>
      </c>
      <c r="Z224" s="37">
        <f t="shared" si="215"/>
        <v>2571500</v>
      </c>
      <c r="AA224" s="37">
        <f t="shared" si="215"/>
        <v>2571500</v>
      </c>
      <c r="AB224" s="37">
        <f t="shared" si="215"/>
        <v>0</v>
      </c>
      <c r="AC224" s="37">
        <f t="shared" si="215"/>
        <v>0</v>
      </c>
      <c r="AD224" s="37">
        <f t="shared" si="215"/>
        <v>0</v>
      </c>
      <c r="AE224" s="37">
        <f t="shared" si="215"/>
        <v>400000</v>
      </c>
      <c r="AF224" s="37">
        <f t="shared" si="215"/>
        <v>1687600</v>
      </c>
      <c r="AG224" s="37">
        <f t="shared" si="215"/>
        <v>270000</v>
      </c>
      <c r="AH224" s="37">
        <f t="shared" si="215"/>
        <v>2357600</v>
      </c>
      <c r="AI224" s="37">
        <f t="shared" si="215"/>
        <v>640000</v>
      </c>
      <c r="AJ224" s="37">
        <f t="shared" si="215"/>
        <v>7869997</v>
      </c>
      <c r="AK224" s="37">
        <f t="shared" si="215"/>
        <v>9533400</v>
      </c>
      <c r="AL224" s="37">
        <f t="shared" si="215"/>
        <v>6445000</v>
      </c>
      <c r="AM224" s="37">
        <f t="shared" si="215"/>
        <v>24488397</v>
      </c>
    </row>
    <row r="225" spans="1:39" s="14" customFormat="1">
      <c r="A225" s="65"/>
      <c r="B225" s="86"/>
      <c r="C225" s="66"/>
      <c r="D225" s="67"/>
      <c r="E225" s="67"/>
      <c r="F225" s="67"/>
      <c r="G225" s="67"/>
      <c r="H225" s="68"/>
      <c r="I225" s="67"/>
      <c r="J225" s="67"/>
      <c r="K225" s="67"/>
      <c r="L225" s="67"/>
      <c r="M225" s="67"/>
      <c r="N225" s="67"/>
      <c r="O225" s="67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</row>
    <row r="226" spans="1:39" s="16" customFormat="1" ht="22.5" customHeight="1" thickBot="1">
      <c r="A226" s="15"/>
      <c r="B226" s="87"/>
      <c r="C226" s="19" t="s">
        <v>63</v>
      </c>
      <c r="D226" s="15"/>
      <c r="E226" s="15"/>
      <c r="F226" s="15">
        <f t="shared" ref="F226:AM226" si="216">F16+F19+F25+F28+F33+F46+F55+F64+F69+F71+F81+F83+F115+F120+F123+F125+F142+F145+F147+F154+F164+F170+F207+F209+F224</f>
        <v>5115000</v>
      </c>
      <c r="G226" s="15">
        <f t="shared" si="216"/>
        <v>31213052</v>
      </c>
      <c r="H226" s="15">
        <f t="shared" si="216"/>
        <v>33449181</v>
      </c>
      <c r="I226" s="15">
        <f t="shared" si="216"/>
        <v>16926000</v>
      </c>
      <c r="J226" s="15">
        <f t="shared" si="216"/>
        <v>86703233</v>
      </c>
      <c r="K226" s="15">
        <f t="shared" si="216"/>
        <v>3480000</v>
      </c>
      <c r="L226" s="15">
        <f t="shared" si="216"/>
        <v>36620000</v>
      </c>
      <c r="M226" s="15">
        <f t="shared" si="216"/>
        <v>40371999</v>
      </c>
      <c r="N226" s="15">
        <f t="shared" si="216"/>
        <v>18123500</v>
      </c>
      <c r="O226" s="15">
        <f t="shared" si="216"/>
        <v>98595499</v>
      </c>
      <c r="P226" s="15">
        <f t="shared" si="216"/>
        <v>4060000</v>
      </c>
      <c r="Q226" s="15">
        <f t="shared" si="216"/>
        <v>24874479</v>
      </c>
      <c r="R226" s="15">
        <f t="shared" si="216"/>
        <v>30501935</v>
      </c>
      <c r="S226" s="15">
        <f t="shared" si="216"/>
        <v>11338000</v>
      </c>
      <c r="T226" s="15">
        <f t="shared" si="216"/>
        <v>70774414</v>
      </c>
      <c r="U226" s="15">
        <f t="shared" si="216"/>
        <v>5265000</v>
      </c>
      <c r="V226" s="15">
        <f t="shared" si="216"/>
        <v>62724231</v>
      </c>
      <c r="W226" s="15">
        <f t="shared" si="216"/>
        <v>47459700</v>
      </c>
      <c r="X226" s="15">
        <f t="shared" si="216"/>
        <v>28552500</v>
      </c>
      <c r="Y226" s="15">
        <f t="shared" si="216"/>
        <v>144001431</v>
      </c>
      <c r="Z226" s="15">
        <f t="shared" si="216"/>
        <v>29535500</v>
      </c>
      <c r="AA226" s="15">
        <f t="shared" si="216"/>
        <v>29535500</v>
      </c>
      <c r="AB226" s="15">
        <f t="shared" si="216"/>
        <v>7090000</v>
      </c>
      <c r="AC226" s="15">
        <f t="shared" si="216"/>
        <v>7090000</v>
      </c>
      <c r="AD226" s="15">
        <f t="shared" si="216"/>
        <v>0</v>
      </c>
      <c r="AE226" s="15">
        <f t="shared" si="216"/>
        <v>4682000</v>
      </c>
      <c r="AF226" s="15">
        <f t="shared" si="216"/>
        <v>11835750</v>
      </c>
      <c r="AG226" s="15">
        <f t="shared" si="216"/>
        <v>1463000</v>
      </c>
      <c r="AH226" s="15">
        <f t="shared" si="216"/>
        <v>17980750</v>
      </c>
      <c r="AI226" s="15">
        <f t="shared" si="216"/>
        <v>17920000</v>
      </c>
      <c r="AJ226" s="15">
        <f t="shared" si="216"/>
        <v>160113762</v>
      </c>
      <c r="AK226" s="15">
        <f t="shared" si="216"/>
        <v>163618565</v>
      </c>
      <c r="AL226" s="15">
        <f t="shared" si="216"/>
        <v>113028500</v>
      </c>
      <c r="AM226" s="15">
        <f t="shared" si="216"/>
        <v>454680827</v>
      </c>
    </row>
    <row r="227" spans="1:39" ht="16.5" customHeight="1" thickTop="1">
      <c r="D227" s="183" t="s">
        <v>392</v>
      </c>
      <c r="E227" s="183"/>
      <c r="F227" s="3">
        <v>5115000</v>
      </c>
      <c r="G227" s="3">
        <v>31213052</v>
      </c>
      <c r="H227" s="31">
        <v>33449181</v>
      </c>
      <c r="I227" s="3">
        <v>16926000</v>
      </c>
      <c r="K227" s="3">
        <v>3480000</v>
      </c>
      <c r="L227" s="3">
        <v>36620000</v>
      </c>
      <c r="M227" s="3">
        <v>40371999</v>
      </c>
      <c r="N227" s="3">
        <v>18123500</v>
      </c>
      <c r="P227" s="3">
        <v>4060000</v>
      </c>
      <c r="Q227" s="3">
        <v>24874479</v>
      </c>
      <c r="R227" s="3">
        <v>30501935</v>
      </c>
      <c r="S227" s="3">
        <v>11338000</v>
      </c>
      <c r="U227" s="3">
        <v>5265000</v>
      </c>
      <c r="V227" s="3">
        <v>62724231</v>
      </c>
      <c r="W227" s="3">
        <v>47459700</v>
      </c>
      <c r="X227" s="3">
        <v>28552500</v>
      </c>
      <c r="Z227" s="3">
        <v>29535500</v>
      </c>
      <c r="AA227" s="3"/>
      <c r="AB227" s="3">
        <v>7090000</v>
      </c>
      <c r="AD227" s="3">
        <v>0</v>
      </c>
      <c r="AE227" s="3">
        <v>4682000</v>
      </c>
      <c r="AF227" s="3">
        <v>11835750</v>
      </c>
      <c r="AG227" s="3">
        <v>1463000</v>
      </c>
    </row>
    <row r="228" spans="1:39" ht="15.75" customHeight="1">
      <c r="E228" s="74" t="s">
        <v>393</v>
      </c>
      <c r="F228" s="3">
        <f>F226-F227</f>
        <v>0</v>
      </c>
      <c r="G228" s="3">
        <f t="shared" ref="G228:AG228" si="217">G226-G227</f>
        <v>0</v>
      </c>
      <c r="H228" s="3">
        <f t="shared" si="217"/>
        <v>0</v>
      </c>
      <c r="I228" s="3">
        <f>I226-I227</f>
        <v>0</v>
      </c>
      <c r="J228" s="3"/>
      <c r="K228" s="3">
        <f t="shared" si="217"/>
        <v>0</v>
      </c>
      <c r="L228" s="3">
        <f t="shared" si="217"/>
        <v>0</v>
      </c>
      <c r="M228" s="3">
        <f t="shared" si="217"/>
        <v>0</v>
      </c>
      <c r="N228" s="3">
        <f t="shared" si="217"/>
        <v>0</v>
      </c>
      <c r="O228" s="3"/>
      <c r="P228" s="3">
        <f t="shared" si="217"/>
        <v>0</v>
      </c>
      <c r="Q228" s="3">
        <f t="shared" si="217"/>
        <v>0</v>
      </c>
      <c r="R228" s="3">
        <f t="shared" si="217"/>
        <v>0</v>
      </c>
      <c r="S228" s="3">
        <f t="shared" si="217"/>
        <v>0</v>
      </c>
      <c r="T228" s="3"/>
      <c r="U228" s="3">
        <f t="shared" si="217"/>
        <v>0</v>
      </c>
      <c r="V228" s="3">
        <f t="shared" si="217"/>
        <v>0</v>
      </c>
      <c r="W228" s="3">
        <f t="shared" si="217"/>
        <v>0</v>
      </c>
      <c r="X228" s="3">
        <f t="shared" si="217"/>
        <v>0</v>
      </c>
      <c r="Y228" s="3"/>
      <c r="Z228" s="3">
        <f>Z226-Z227</f>
        <v>0</v>
      </c>
      <c r="AA228" s="3"/>
      <c r="AB228" s="3">
        <f t="shared" si="217"/>
        <v>0</v>
      </c>
      <c r="AC228" s="3"/>
      <c r="AD228" s="3">
        <f t="shared" si="217"/>
        <v>0</v>
      </c>
      <c r="AE228" s="3">
        <f t="shared" si="217"/>
        <v>0</v>
      </c>
      <c r="AF228" s="3">
        <f t="shared" si="217"/>
        <v>0</v>
      </c>
      <c r="AG228" s="3">
        <f t="shared" si="217"/>
        <v>0</v>
      </c>
      <c r="AH228" s="3"/>
      <c r="AM228" s="78" t="s">
        <v>431</v>
      </c>
    </row>
    <row r="229" spans="1:39" ht="15.75" customHeight="1">
      <c r="E229" s="88" t="s">
        <v>408</v>
      </c>
      <c r="H229" s="3"/>
      <c r="J229" s="3"/>
      <c r="O229" s="3"/>
      <c r="T229" s="3"/>
      <c r="Y229" s="3"/>
      <c r="AA229" s="78" t="s">
        <v>431</v>
      </c>
      <c r="AC229" s="78" t="s">
        <v>431</v>
      </c>
      <c r="AH229" s="3"/>
    </row>
    <row r="230" spans="1:39" ht="292.5" customHeight="1">
      <c r="C230" s="71" t="s">
        <v>390</v>
      </c>
      <c r="G230" s="80" t="s">
        <v>480</v>
      </c>
      <c r="H230" s="79" t="s">
        <v>398</v>
      </c>
      <c r="M230" s="81" t="s">
        <v>396</v>
      </c>
      <c r="N230" s="75"/>
      <c r="O230" s="75"/>
      <c r="P230" s="75"/>
      <c r="Q230" s="75"/>
      <c r="R230" s="79" t="s">
        <v>398</v>
      </c>
      <c r="T230" s="75"/>
      <c r="V230" s="143"/>
      <c r="W230" s="122"/>
      <c r="AE230" s="193"/>
      <c r="AF230" s="193"/>
    </row>
    <row r="231" spans="1:39">
      <c r="L231" s="75"/>
      <c r="M231" s="75"/>
      <c r="N231" s="75"/>
      <c r="O231" s="75"/>
      <c r="P231" s="75"/>
      <c r="Q231" s="75"/>
      <c r="R231" s="75"/>
      <c r="S231" s="75"/>
      <c r="T231" s="75"/>
    </row>
    <row r="233" spans="1:39">
      <c r="I233" s="14"/>
    </row>
  </sheetData>
  <autoFilter ref="A1:AM2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39">
    <mergeCell ref="P3:T3"/>
    <mergeCell ref="A121:A122"/>
    <mergeCell ref="A17:A18"/>
    <mergeCell ref="A20:A24"/>
    <mergeCell ref="A26:A27"/>
    <mergeCell ref="A29:A32"/>
    <mergeCell ref="A34:A45"/>
    <mergeCell ref="A47:A54"/>
    <mergeCell ref="A56:A63"/>
    <mergeCell ref="A65:A68"/>
    <mergeCell ref="A72:A80"/>
    <mergeCell ref="A84:A114"/>
    <mergeCell ref="A116:A119"/>
    <mergeCell ref="A5:A15"/>
    <mergeCell ref="D227:E227"/>
    <mergeCell ref="AE230:AF230"/>
    <mergeCell ref="A126:A141"/>
    <mergeCell ref="A143:A144"/>
    <mergeCell ref="A148:A153"/>
    <mergeCell ref="A155:A163"/>
    <mergeCell ref="A165:A169"/>
    <mergeCell ref="A171:A206"/>
    <mergeCell ref="A210:A223"/>
    <mergeCell ref="A1:AM1"/>
    <mergeCell ref="AI2:AM2"/>
    <mergeCell ref="A3:A4"/>
    <mergeCell ref="C3:C4"/>
    <mergeCell ref="D3:D4"/>
    <mergeCell ref="E3:E4"/>
    <mergeCell ref="B3:B4"/>
    <mergeCell ref="AI3:AM3"/>
    <mergeCell ref="AD3:AH3"/>
    <mergeCell ref="A2:E2"/>
    <mergeCell ref="F2:AH2"/>
    <mergeCell ref="K3:O3"/>
    <mergeCell ref="F3:J3"/>
    <mergeCell ref="AB3:AC3"/>
    <mergeCell ref="Z3:AA3"/>
    <mergeCell ref="U3:Y3"/>
  </mergeCells>
  <conditionalFormatting sqref="C28">
    <cfRule type="duplicateValues" dxfId="85" priority="4"/>
  </conditionalFormatting>
  <conditionalFormatting sqref="C82">
    <cfRule type="duplicateValues" dxfId="84" priority="3"/>
  </conditionalFormatting>
  <conditionalFormatting sqref="C226:E1048576 C3:E4 C131:C135 C198:C204 C128:C129 C87:C126 C5:C12 C83:C84 C206:C225 C174:C196 C141:C152 C155:C158 C14:C26 C42:C81 C160:C172 C29:C38">
    <cfRule type="duplicateValues" dxfId="83" priority="2"/>
  </conditionalFormatting>
  <conditionalFormatting sqref="C226:E1048576">
    <cfRule type="duplicateValues" dxfId="82" priority="1"/>
  </conditionalFormatting>
  <conditionalFormatting sqref="A3:B3">
    <cfRule type="duplicateValues" dxfId="81" priority="6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31"/>
  <sheetViews>
    <sheetView workbookViewId="0">
      <pane xSplit="5" ySplit="4" topLeftCell="P122" activePane="bottomRight" state="frozen"/>
      <selection pane="topRight" activeCell="F1" sqref="F1"/>
      <selection pane="bottomLeft" activeCell="A4" sqref="A4"/>
      <selection pane="bottomRight" activeCell="AA136" sqref="AA136"/>
    </sheetView>
  </sheetViews>
  <sheetFormatPr defaultRowHeight="15.75"/>
  <cols>
    <col min="1" max="1" width="21.140625" style="74" customWidth="1"/>
    <col min="2" max="2" width="7.28515625" style="74" customWidth="1"/>
    <col min="3" max="3" width="41.42578125" style="17" customWidth="1"/>
    <col min="4" max="4" width="16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0" width="14.7109375" style="14" customWidth="1"/>
    <col min="11" max="11" width="15.140625" style="14" customWidth="1"/>
    <col min="12" max="14" width="13.140625" style="3" customWidth="1"/>
    <col min="15" max="15" width="15" style="3" customWidth="1"/>
    <col min="16" max="16" width="16.28515625" style="14" customWidth="1"/>
    <col min="17" max="17" width="13.42578125" style="14" customWidth="1"/>
    <col min="18" max="18" width="13" style="3" customWidth="1"/>
    <col min="19" max="20" width="10.7109375" style="3" customWidth="1"/>
    <col min="21" max="21" width="14.5703125" style="3" customWidth="1"/>
    <col min="22" max="22" width="15.7109375" style="14" customWidth="1"/>
    <col min="23" max="23" width="13.5703125" style="14" customWidth="1"/>
    <col min="24" max="24" width="10.7109375" style="3" customWidth="1"/>
    <col min="25" max="25" width="11" style="3" customWidth="1"/>
    <col min="26" max="26" width="10.7109375" style="3" customWidth="1"/>
    <col min="27" max="27" width="15.140625" style="3" customWidth="1"/>
    <col min="28" max="28" width="15.28515625" style="14" customWidth="1"/>
    <col min="29" max="29" width="11.28515625" style="14" bestFit="1" customWidth="1"/>
    <col min="30" max="30" width="14.5703125" style="3" customWidth="1"/>
    <col min="31" max="31" width="11.28515625" style="14" bestFit="1" customWidth="1"/>
    <col min="32" max="32" width="10.140625" style="14" bestFit="1" customWidth="1"/>
    <col min="33" max="33" width="13.140625" style="3" customWidth="1"/>
    <col min="34" max="35" width="15" style="14" customWidth="1"/>
    <col min="36" max="38" width="10.7109375" style="3" customWidth="1"/>
    <col min="39" max="39" width="12.7109375" style="3" customWidth="1"/>
    <col min="40" max="40" width="15" style="14" customWidth="1"/>
    <col min="41" max="41" width="12.5703125" style="14" customWidth="1"/>
    <col min="42" max="42" width="10.7109375" style="3" customWidth="1"/>
    <col min="43" max="44" width="14.140625" style="3" customWidth="1"/>
    <col min="45" max="45" width="15.85546875" style="3" customWidth="1"/>
    <col min="46" max="46" width="15.85546875" style="96" customWidth="1"/>
    <col min="47" max="47" width="15" style="14" customWidth="1"/>
    <col min="48" max="49" width="9.140625" style="3" customWidth="1"/>
    <col min="50" max="16384" width="9.140625" style="3"/>
  </cols>
  <sheetData>
    <row r="1" spans="1:47" s="6" customFormat="1" ht="23.25" customHeight="1">
      <c r="A1" s="181" t="s">
        <v>449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</row>
    <row r="2" spans="1:47" s="6" customFormat="1" ht="23.25" customHeight="1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200"/>
      <c r="AP2" s="201" t="s">
        <v>65</v>
      </c>
      <c r="AQ2" s="194"/>
      <c r="AR2" s="194"/>
      <c r="AS2" s="194"/>
      <c r="AT2" s="194"/>
      <c r="AU2" s="200"/>
    </row>
    <row r="3" spans="1:47" s="7" customFormat="1" ht="18.75" customHeight="1">
      <c r="A3" s="185" t="s">
        <v>53</v>
      </c>
      <c r="B3" s="185" t="s">
        <v>47</v>
      </c>
      <c r="C3" s="185" t="s">
        <v>13</v>
      </c>
      <c r="D3" s="185" t="s">
        <v>46</v>
      </c>
      <c r="E3" s="185" t="s">
        <v>16</v>
      </c>
      <c r="F3" s="195" t="s">
        <v>388</v>
      </c>
      <c r="G3" s="198"/>
      <c r="H3" s="198"/>
      <c r="I3" s="198"/>
      <c r="J3" s="198"/>
      <c r="K3" s="199"/>
      <c r="L3" s="195" t="s">
        <v>54</v>
      </c>
      <c r="M3" s="198"/>
      <c r="N3" s="198"/>
      <c r="O3" s="198"/>
      <c r="P3" s="198"/>
      <c r="Q3" s="199"/>
      <c r="R3" s="195" t="s">
        <v>55</v>
      </c>
      <c r="S3" s="198"/>
      <c r="T3" s="198"/>
      <c r="U3" s="198"/>
      <c r="V3" s="198"/>
      <c r="W3" s="199"/>
      <c r="X3" s="195" t="s">
        <v>56</v>
      </c>
      <c r="Y3" s="198"/>
      <c r="Z3" s="198"/>
      <c r="AA3" s="198"/>
      <c r="AB3" s="198"/>
      <c r="AC3" s="199"/>
      <c r="AD3" s="195" t="s">
        <v>429</v>
      </c>
      <c r="AE3" s="198"/>
      <c r="AF3" s="199"/>
      <c r="AG3" s="195" t="s">
        <v>391</v>
      </c>
      <c r="AH3" s="198"/>
      <c r="AI3" s="199"/>
      <c r="AJ3" s="195" t="s">
        <v>389</v>
      </c>
      <c r="AK3" s="198"/>
      <c r="AL3" s="198"/>
      <c r="AM3" s="198"/>
      <c r="AN3" s="198"/>
      <c r="AO3" s="199"/>
      <c r="AP3" s="202" t="s">
        <v>57</v>
      </c>
      <c r="AQ3" s="203"/>
      <c r="AR3" s="203"/>
      <c r="AS3" s="203"/>
      <c r="AT3" s="203"/>
      <c r="AU3" s="204"/>
    </row>
    <row r="4" spans="1:47" s="7" customFormat="1">
      <c r="A4" s="187"/>
      <c r="B4" s="187"/>
      <c r="C4" s="187"/>
      <c r="D4" s="187"/>
      <c r="E4" s="187"/>
      <c r="F4" s="104" t="s">
        <v>48</v>
      </c>
      <c r="G4" s="104" t="s">
        <v>49</v>
      </c>
      <c r="H4" s="30" t="s">
        <v>50</v>
      </c>
      <c r="I4" s="106" t="s">
        <v>64</v>
      </c>
      <c r="J4" s="92" t="s">
        <v>430</v>
      </c>
      <c r="K4" s="105" t="s">
        <v>51</v>
      </c>
      <c r="L4" s="104" t="s">
        <v>48</v>
      </c>
      <c r="M4" s="104" t="s">
        <v>49</v>
      </c>
      <c r="N4" s="104" t="s">
        <v>50</v>
      </c>
      <c r="O4" s="106" t="s">
        <v>64</v>
      </c>
      <c r="P4" s="104" t="s">
        <v>430</v>
      </c>
      <c r="Q4" s="105" t="s">
        <v>51</v>
      </c>
      <c r="R4" s="104" t="s">
        <v>48</v>
      </c>
      <c r="S4" s="104" t="s">
        <v>49</v>
      </c>
      <c r="T4" s="104" t="s">
        <v>50</v>
      </c>
      <c r="U4" s="106" t="s">
        <v>64</v>
      </c>
      <c r="V4" s="92" t="s">
        <v>430</v>
      </c>
      <c r="W4" s="105" t="s">
        <v>51</v>
      </c>
      <c r="X4" s="104" t="s">
        <v>48</v>
      </c>
      <c r="Y4" s="104" t="s">
        <v>49</v>
      </c>
      <c r="Z4" s="104" t="s">
        <v>50</v>
      </c>
      <c r="AA4" s="106" t="s">
        <v>400</v>
      </c>
      <c r="AB4" s="92" t="s">
        <v>430</v>
      </c>
      <c r="AC4" s="105" t="s">
        <v>51</v>
      </c>
      <c r="AD4" s="104" t="s">
        <v>64</v>
      </c>
      <c r="AE4" s="104" t="s">
        <v>430</v>
      </c>
      <c r="AF4" s="104" t="s">
        <v>51</v>
      </c>
      <c r="AG4" s="104" t="s">
        <v>64</v>
      </c>
      <c r="AH4" s="104" t="s">
        <v>430</v>
      </c>
      <c r="AI4" s="104" t="s">
        <v>51</v>
      </c>
      <c r="AJ4" s="104" t="s">
        <v>48</v>
      </c>
      <c r="AK4" s="104" t="s">
        <v>49</v>
      </c>
      <c r="AL4" s="104" t="s">
        <v>50</v>
      </c>
      <c r="AM4" s="104" t="s">
        <v>64</v>
      </c>
      <c r="AN4" s="92" t="s">
        <v>430</v>
      </c>
      <c r="AO4" s="105" t="s">
        <v>51</v>
      </c>
      <c r="AP4" s="104" t="s">
        <v>48</v>
      </c>
      <c r="AQ4" s="104" t="s">
        <v>49</v>
      </c>
      <c r="AR4" s="104" t="s">
        <v>50</v>
      </c>
      <c r="AS4" s="107" t="s">
        <v>64</v>
      </c>
      <c r="AT4" s="93" t="s">
        <v>430</v>
      </c>
      <c r="AU4" s="104" t="s">
        <v>407</v>
      </c>
    </row>
    <row r="5" spans="1:47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4"/>
      <c r="K5" s="9">
        <f>SUM(F5:J5)</f>
        <v>1085500</v>
      </c>
      <c r="L5" s="4"/>
      <c r="M5" s="4"/>
      <c r="N5" s="4"/>
      <c r="O5" s="4"/>
      <c r="P5" s="4"/>
      <c r="Q5" s="9">
        <f>SUM(L5:P5)</f>
        <v>0</v>
      </c>
      <c r="R5" s="4"/>
      <c r="S5" s="4"/>
      <c r="T5" s="4"/>
      <c r="U5" s="4"/>
      <c r="V5" s="4"/>
      <c r="W5" s="9">
        <f>SUM(R5:V5)</f>
        <v>0</v>
      </c>
      <c r="X5" s="4"/>
      <c r="Y5" s="4">
        <v>383150</v>
      </c>
      <c r="Z5" s="10">
        <f>805550+120000</f>
        <v>925550</v>
      </c>
      <c r="AA5" s="27">
        <v>30000</v>
      </c>
      <c r="AB5" s="20"/>
      <c r="AC5" s="21">
        <f>SUM(X5:AB5)</f>
        <v>1338700</v>
      </c>
      <c r="AD5" s="27">
        <v>1050000</v>
      </c>
      <c r="AE5" s="20">
        <f>105000+210000+315000+315000+210000</f>
        <v>1155000</v>
      </c>
      <c r="AF5" s="21">
        <f>SUM(AD5:AE5)</f>
        <v>2205000</v>
      </c>
      <c r="AG5" s="10"/>
      <c r="AH5" s="20"/>
      <c r="AI5" s="21">
        <f>SUM(AG5:AH5)</f>
        <v>0</v>
      </c>
      <c r="AJ5" s="10"/>
      <c r="AK5" s="10"/>
      <c r="AL5" s="10"/>
      <c r="AM5" s="10"/>
      <c r="AN5" s="20"/>
      <c r="AO5" s="21">
        <f>SUM(AJ5:AN5)</f>
        <v>0</v>
      </c>
      <c r="AP5" s="4">
        <f t="shared" ref="AP5:AR15" si="0">F5+L5+R5+X5+AJ5</f>
        <v>0</v>
      </c>
      <c r="AQ5" s="4">
        <f t="shared" si="0"/>
        <v>831650</v>
      </c>
      <c r="AR5" s="4">
        <f t="shared" si="0"/>
        <v>1522550</v>
      </c>
      <c r="AS5" s="4">
        <f>I5+O5+U5+AA5+AD5+AG5+AM5</f>
        <v>1120000</v>
      </c>
      <c r="AT5" s="94">
        <f>J5+P5+V5+AB5+AE5+AH5+AN5</f>
        <v>1155000</v>
      </c>
      <c r="AU5" s="9">
        <f>SUM(AP5:AT5)</f>
        <v>4629200</v>
      </c>
    </row>
    <row r="6" spans="1:47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4"/>
      <c r="K6" s="9">
        <f t="shared" ref="K6:K15" si="1">SUM(F6:J6)</f>
        <v>1596065</v>
      </c>
      <c r="L6" s="4"/>
      <c r="M6" s="4"/>
      <c r="N6" s="4"/>
      <c r="O6" s="4"/>
      <c r="P6" s="4"/>
      <c r="Q6" s="9">
        <f t="shared" ref="Q6:Q15" si="2">SUM(L6:P6)</f>
        <v>0</v>
      </c>
      <c r="R6" s="4"/>
      <c r="S6" s="4"/>
      <c r="T6" s="4"/>
      <c r="U6" s="4"/>
      <c r="V6" s="4"/>
      <c r="W6" s="9">
        <f t="shared" ref="W6:W15" si="3">SUM(R6:V6)</f>
        <v>0</v>
      </c>
      <c r="X6" s="4">
        <v>195000</v>
      </c>
      <c r="Y6" s="10">
        <v>1237100</v>
      </c>
      <c r="Z6" s="10">
        <v>145500</v>
      </c>
      <c r="AA6" s="27">
        <v>330000</v>
      </c>
      <c r="AB6" s="20"/>
      <c r="AC6" s="21">
        <f t="shared" ref="AC6:AC15" si="4">SUM(X6:AB6)</f>
        <v>1907600</v>
      </c>
      <c r="AD6" s="10">
        <v>1043000</v>
      </c>
      <c r="AE6" s="20">
        <f>105000+210000+315000+315000+210000</f>
        <v>1155000</v>
      </c>
      <c r="AF6" s="21">
        <f t="shared" ref="AF6:AF15" si="5">SUM(AD6:AE6)</f>
        <v>2198000</v>
      </c>
      <c r="AG6" s="10"/>
      <c r="AH6" s="20"/>
      <c r="AI6" s="21">
        <f t="shared" ref="AI6:AI15" si="6">SUM(AG6:AH6)</f>
        <v>0</v>
      </c>
      <c r="AJ6" s="10"/>
      <c r="AK6" s="10"/>
      <c r="AL6" s="10"/>
      <c r="AM6" s="10"/>
      <c r="AN6" s="20"/>
      <c r="AO6" s="21">
        <f t="shared" ref="AO6:AO15" si="7">SUM(AJ6:AN6)</f>
        <v>0</v>
      </c>
      <c r="AP6" s="4">
        <f t="shared" si="0"/>
        <v>350000</v>
      </c>
      <c r="AQ6" s="4">
        <f t="shared" si="0"/>
        <v>2218165</v>
      </c>
      <c r="AR6" s="4">
        <f t="shared" si="0"/>
        <v>365500</v>
      </c>
      <c r="AS6" s="4">
        <f t="shared" ref="AS6:AT15" si="8">I6+O6+U6+AA6+AD6+AG6+AM6</f>
        <v>1613000</v>
      </c>
      <c r="AT6" s="94">
        <f t="shared" si="8"/>
        <v>1155000</v>
      </c>
      <c r="AU6" s="9">
        <f t="shared" ref="AU6:AU15" si="9">SUM(AP6:AT6)</f>
        <v>5701665</v>
      </c>
    </row>
    <row r="7" spans="1:47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4"/>
      <c r="K7" s="9">
        <f t="shared" si="1"/>
        <v>1181345</v>
      </c>
      <c r="L7" s="4"/>
      <c r="M7" s="4"/>
      <c r="N7" s="4"/>
      <c r="O7" s="4"/>
      <c r="P7" s="4"/>
      <c r="Q7" s="9">
        <f t="shared" si="2"/>
        <v>0</v>
      </c>
      <c r="R7" s="4"/>
      <c r="S7" s="4"/>
      <c r="T7" s="4"/>
      <c r="U7" s="4"/>
      <c r="V7" s="4"/>
      <c r="W7" s="9">
        <f t="shared" si="3"/>
        <v>0</v>
      </c>
      <c r="X7" s="4">
        <v>195000</v>
      </c>
      <c r="Y7" s="10">
        <v>1233000</v>
      </c>
      <c r="Z7" s="10">
        <f>669300+90000</f>
        <v>759300</v>
      </c>
      <c r="AA7" s="27">
        <v>120000</v>
      </c>
      <c r="AB7" s="20"/>
      <c r="AC7" s="21">
        <f t="shared" si="4"/>
        <v>2307300</v>
      </c>
      <c r="AD7" s="10">
        <v>1113000</v>
      </c>
      <c r="AE7" s="20">
        <f>101500+304500+609000+203000</f>
        <v>1218000</v>
      </c>
      <c r="AF7" s="21">
        <f t="shared" si="5"/>
        <v>2331000</v>
      </c>
      <c r="AG7" s="10"/>
      <c r="AH7" s="20"/>
      <c r="AI7" s="21">
        <f t="shared" si="6"/>
        <v>0</v>
      </c>
      <c r="AJ7" s="10"/>
      <c r="AK7" s="10"/>
      <c r="AL7" s="10"/>
      <c r="AM7" s="10"/>
      <c r="AN7" s="20"/>
      <c r="AO7" s="21">
        <f t="shared" si="7"/>
        <v>0</v>
      </c>
      <c r="AP7" s="4">
        <f t="shared" si="0"/>
        <v>350000</v>
      </c>
      <c r="AQ7" s="4">
        <f t="shared" si="0"/>
        <v>1549345</v>
      </c>
      <c r="AR7" s="4">
        <f t="shared" si="0"/>
        <v>1089300</v>
      </c>
      <c r="AS7" s="4">
        <f t="shared" si="8"/>
        <v>1613000</v>
      </c>
      <c r="AT7" s="94">
        <f t="shared" si="8"/>
        <v>1218000</v>
      </c>
      <c r="AU7" s="9">
        <f t="shared" si="9"/>
        <v>5819645</v>
      </c>
    </row>
    <row r="8" spans="1:47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4"/>
      <c r="K8" s="9">
        <f t="shared" si="1"/>
        <v>588500</v>
      </c>
      <c r="L8" s="4"/>
      <c r="M8" s="4"/>
      <c r="N8" s="4"/>
      <c r="O8" s="4"/>
      <c r="P8" s="4"/>
      <c r="Q8" s="9">
        <f t="shared" si="2"/>
        <v>0</v>
      </c>
      <c r="R8" s="4"/>
      <c r="S8" s="4">
        <v>290000</v>
      </c>
      <c r="T8" s="4">
        <v>2759000</v>
      </c>
      <c r="U8" s="11">
        <v>300000</v>
      </c>
      <c r="V8" s="11"/>
      <c r="W8" s="9">
        <f t="shared" si="3"/>
        <v>3349000</v>
      </c>
      <c r="X8" s="4"/>
      <c r="Y8" s="4">
        <v>195000</v>
      </c>
      <c r="Z8" s="10">
        <f>620800+150000</f>
        <v>770800</v>
      </c>
      <c r="AA8" s="27">
        <v>30000</v>
      </c>
      <c r="AB8" s="20"/>
      <c r="AC8" s="21">
        <f t="shared" si="4"/>
        <v>995800</v>
      </c>
      <c r="AD8" s="10">
        <v>1155000</v>
      </c>
      <c r="AE8" s="20">
        <f>105000+315000+315000+315000+210000</f>
        <v>1260000</v>
      </c>
      <c r="AF8" s="21">
        <f t="shared" si="5"/>
        <v>2415000</v>
      </c>
      <c r="AG8" s="10"/>
      <c r="AH8" s="20"/>
      <c r="AI8" s="21">
        <f t="shared" si="6"/>
        <v>0</v>
      </c>
      <c r="AJ8" s="10"/>
      <c r="AK8" s="10"/>
      <c r="AL8" s="10"/>
      <c r="AM8" s="10"/>
      <c r="AN8" s="20"/>
      <c r="AO8" s="21">
        <f t="shared" si="7"/>
        <v>0</v>
      </c>
      <c r="AP8" s="4">
        <f t="shared" si="0"/>
        <v>0</v>
      </c>
      <c r="AQ8" s="4">
        <f t="shared" si="0"/>
        <v>485000</v>
      </c>
      <c r="AR8" s="4">
        <f t="shared" si="0"/>
        <v>3998300</v>
      </c>
      <c r="AS8" s="4">
        <f t="shared" si="8"/>
        <v>1605000</v>
      </c>
      <c r="AT8" s="94">
        <f t="shared" si="8"/>
        <v>1260000</v>
      </c>
      <c r="AU8" s="9">
        <f t="shared" si="9"/>
        <v>7348300</v>
      </c>
    </row>
    <row r="9" spans="1:47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4"/>
      <c r="K9" s="9">
        <f t="shared" si="1"/>
        <v>0</v>
      </c>
      <c r="L9" s="76">
        <v>290000</v>
      </c>
      <c r="M9" s="76">
        <v>1260000</v>
      </c>
      <c r="N9" s="76">
        <v>920000</v>
      </c>
      <c r="O9" s="76">
        <v>300000</v>
      </c>
      <c r="P9" s="4"/>
      <c r="Q9" s="9">
        <f t="shared" si="2"/>
        <v>2770000</v>
      </c>
      <c r="R9" s="4"/>
      <c r="S9" s="4">
        <v>1263000</v>
      </c>
      <c r="T9" s="4">
        <v>840000</v>
      </c>
      <c r="U9" s="11">
        <v>300000</v>
      </c>
      <c r="V9" s="11"/>
      <c r="W9" s="9">
        <f t="shared" si="3"/>
        <v>2403000</v>
      </c>
      <c r="X9" s="4"/>
      <c r="Y9" s="10">
        <v>1169850</v>
      </c>
      <c r="Z9" s="10">
        <v>1051200</v>
      </c>
      <c r="AA9" s="27">
        <v>30000</v>
      </c>
      <c r="AB9" s="20"/>
      <c r="AC9" s="21">
        <f t="shared" si="4"/>
        <v>2251050</v>
      </c>
      <c r="AD9" s="10">
        <v>0</v>
      </c>
      <c r="AE9" s="20"/>
      <c r="AF9" s="21">
        <f t="shared" si="5"/>
        <v>0</v>
      </c>
      <c r="AG9" s="10"/>
      <c r="AH9" s="20">
        <f>1400000+300000+200000</f>
        <v>1900000</v>
      </c>
      <c r="AI9" s="21">
        <f t="shared" si="6"/>
        <v>1900000</v>
      </c>
      <c r="AJ9" s="10"/>
      <c r="AK9" s="10"/>
      <c r="AL9" s="10"/>
      <c r="AM9" s="10"/>
      <c r="AN9" s="20"/>
      <c r="AO9" s="21">
        <f t="shared" si="7"/>
        <v>0</v>
      </c>
      <c r="AP9" s="4">
        <f t="shared" si="0"/>
        <v>290000</v>
      </c>
      <c r="AQ9" s="4">
        <f t="shared" si="0"/>
        <v>3692850</v>
      </c>
      <c r="AR9" s="4">
        <f t="shared" si="0"/>
        <v>2811200</v>
      </c>
      <c r="AS9" s="4">
        <f t="shared" si="8"/>
        <v>630000</v>
      </c>
      <c r="AT9" s="94">
        <f t="shared" si="8"/>
        <v>1900000</v>
      </c>
      <c r="AU9" s="9">
        <f t="shared" si="9"/>
        <v>9324050</v>
      </c>
    </row>
    <row r="10" spans="1:47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4"/>
      <c r="K10" s="9">
        <f t="shared" si="1"/>
        <v>0</v>
      </c>
      <c r="L10" s="4"/>
      <c r="M10" s="4"/>
      <c r="N10" s="4"/>
      <c r="O10" s="4"/>
      <c r="P10" s="4"/>
      <c r="Q10" s="9">
        <f t="shared" si="2"/>
        <v>0</v>
      </c>
      <c r="R10" s="4"/>
      <c r="S10" s="4"/>
      <c r="T10" s="4"/>
      <c r="U10" s="4"/>
      <c r="V10" s="4"/>
      <c r="W10" s="9">
        <f t="shared" si="3"/>
        <v>0</v>
      </c>
      <c r="X10" s="4"/>
      <c r="Y10" s="10">
        <v>195000</v>
      </c>
      <c r="Z10" s="10">
        <f>494700+150000</f>
        <v>644700</v>
      </c>
      <c r="AA10" s="27">
        <v>625000</v>
      </c>
      <c r="AB10" s="20">
        <f>119000+178500+178500+178500+119000</f>
        <v>773500</v>
      </c>
      <c r="AC10" s="21">
        <f t="shared" si="4"/>
        <v>2238200</v>
      </c>
      <c r="AD10" s="10">
        <v>0</v>
      </c>
      <c r="AE10" s="20"/>
      <c r="AF10" s="21">
        <f t="shared" si="5"/>
        <v>0</v>
      </c>
      <c r="AG10" s="10"/>
      <c r="AH10" s="20"/>
      <c r="AI10" s="21">
        <f t="shared" si="6"/>
        <v>0</v>
      </c>
      <c r="AJ10" s="10"/>
      <c r="AK10" s="10"/>
      <c r="AL10" s="10"/>
      <c r="AM10" s="10"/>
      <c r="AN10" s="20"/>
      <c r="AO10" s="21">
        <f t="shared" si="7"/>
        <v>0</v>
      </c>
      <c r="AP10" s="4">
        <f t="shared" si="0"/>
        <v>0</v>
      </c>
      <c r="AQ10" s="4">
        <f t="shared" si="0"/>
        <v>195000</v>
      </c>
      <c r="AR10" s="4">
        <f t="shared" si="0"/>
        <v>644700</v>
      </c>
      <c r="AS10" s="4">
        <f t="shared" si="8"/>
        <v>625000</v>
      </c>
      <c r="AT10" s="94">
        <f t="shared" si="8"/>
        <v>773500</v>
      </c>
      <c r="AU10" s="9">
        <f t="shared" si="9"/>
        <v>2238200</v>
      </c>
    </row>
    <row r="11" spans="1:47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4"/>
      <c r="K11" s="9">
        <f t="shared" si="1"/>
        <v>1613552</v>
      </c>
      <c r="L11" s="4"/>
      <c r="M11" s="4"/>
      <c r="N11" s="4"/>
      <c r="O11" s="4"/>
      <c r="P11" s="4"/>
      <c r="Q11" s="9">
        <f t="shared" si="2"/>
        <v>0</v>
      </c>
      <c r="R11" s="4"/>
      <c r="S11" s="4"/>
      <c r="T11" s="4"/>
      <c r="U11" s="4"/>
      <c r="V11" s="4"/>
      <c r="W11" s="9">
        <f t="shared" si="3"/>
        <v>0</v>
      </c>
      <c r="X11" s="4"/>
      <c r="Y11" s="10">
        <v>1451150</v>
      </c>
      <c r="Z11" s="10">
        <v>523800</v>
      </c>
      <c r="AA11" s="27"/>
      <c r="AB11" s="20"/>
      <c r="AC11" s="21">
        <f t="shared" si="4"/>
        <v>1974950</v>
      </c>
      <c r="AD11" s="10">
        <v>840000</v>
      </c>
      <c r="AE11" s="20">
        <f>105000+285000+315000+15000+315000+210000</f>
        <v>1245000</v>
      </c>
      <c r="AF11" s="21">
        <f t="shared" si="5"/>
        <v>2085000</v>
      </c>
      <c r="AG11" s="10"/>
      <c r="AH11" s="20"/>
      <c r="AI11" s="21">
        <f t="shared" si="6"/>
        <v>0</v>
      </c>
      <c r="AJ11" s="10"/>
      <c r="AK11" s="10"/>
      <c r="AL11" s="10"/>
      <c r="AM11" s="10"/>
      <c r="AN11" s="20"/>
      <c r="AO11" s="21">
        <f t="shared" si="7"/>
        <v>0</v>
      </c>
      <c r="AP11" s="4">
        <f t="shared" si="0"/>
        <v>155000</v>
      </c>
      <c r="AQ11" s="4">
        <f t="shared" si="0"/>
        <v>2689702</v>
      </c>
      <c r="AR11" s="4">
        <f t="shared" si="0"/>
        <v>743800</v>
      </c>
      <c r="AS11" s="4">
        <f t="shared" si="8"/>
        <v>840000</v>
      </c>
      <c r="AT11" s="94">
        <f t="shared" si="8"/>
        <v>1245000</v>
      </c>
      <c r="AU11" s="9">
        <f t="shared" si="9"/>
        <v>5673502</v>
      </c>
    </row>
    <row r="12" spans="1:47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4"/>
      <c r="K12" s="9">
        <f t="shared" si="1"/>
        <v>0</v>
      </c>
      <c r="L12" s="4"/>
      <c r="M12" s="4"/>
      <c r="N12" s="4"/>
      <c r="O12" s="4"/>
      <c r="P12" s="4"/>
      <c r="Q12" s="9">
        <f t="shared" si="2"/>
        <v>0</v>
      </c>
      <c r="R12" s="4"/>
      <c r="S12" s="4"/>
      <c r="T12" s="4"/>
      <c r="U12" s="4"/>
      <c r="V12" s="4"/>
      <c r="W12" s="9">
        <f t="shared" si="3"/>
        <v>0</v>
      </c>
      <c r="X12" s="4"/>
      <c r="Y12" s="4">
        <v>195000</v>
      </c>
      <c r="Z12" s="10">
        <f>1004850+120000</f>
        <v>1124850</v>
      </c>
      <c r="AA12" s="27">
        <v>660000</v>
      </c>
      <c r="AB12" s="20">
        <f>140000+140000+210000+210000+140000</f>
        <v>840000</v>
      </c>
      <c r="AC12" s="21">
        <f t="shared" si="4"/>
        <v>2819850</v>
      </c>
      <c r="AD12" s="10">
        <v>0</v>
      </c>
      <c r="AE12" s="20"/>
      <c r="AF12" s="21">
        <f t="shared" si="5"/>
        <v>0</v>
      </c>
      <c r="AG12" s="10"/>
      <c r="AH12" s="20"/>
      <c r="AI12" s="21">
        <f t="shared" si="6"/>
        <v>0</v>
      </c>
      <c r="AJ12" s="10"/>
      <c r="AK12" s="10"/>
      <c r="AL12" s="10"/>
      <c r="AM12" s="10"/>
      <c r="AN12" s="20"/>
      <c r="AO12" s="21">
        <f t="shared" si="7"/>
        <v>0</v>
      </c>
      <c r="AP12" s="4">
        <f t="shared" si="0"/>
        <v>0</v>
      </c>
      <c r="AQ12" s="4">
        <f t="shared" si="0"/>
        <v>195000</v>
      </c>
      <c r="AR12" s="4">
        <f t="shared" si="0"/>
        <v>1124850</v>
      </c>
      <c r="AS12" s="4">
        <f t="shared" si="8"/>
        <v>660000</v>
      </c>
      <c r="AT12" s="94">
        <f t="shared" si="8"/>
        <v>840000</v>
      </c>
      <c r="AU12" s="9">
        <f t="shared" si="9"/>
        <v>2819850</v>
      </c>
    </row>
    <row r="13" spans="1:47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4"/>
      <c r="K13" s="9">
        <f t="shared" si="1"/>
        <v>0</v>
      </c>
      <c r="L13" s="76"/>
      <c r="M13" s="76"/>
      <c r="N13" s="76">
        <v>290000</v>
      </c>
      <c r="O13" s="76">
        <v>775000</v>
      </c>
      <c r="P13" s="4">
        <f>150000+675000+225000+150000</f>
        <v>1200000</v>
      </c>
      <c r="Q13" s="9">
        <f t="shared" si="2"/>
        <v>2265000</v>
      </c>
      <c r="R13" s="4"/>
      <c r="S13" s="4"/>
      <c r="T13" s="4"/>
      <c r="U13" s="4"/>
      <c r="V13" s="4"/>
      <c r="W13" s="9">
        <f t="shared" si="3"/>
        <v>0</v>
      </c>
      <c r="X13" s="4"/>
      <c r="Y13" s="10"/>
      <c r="Z13" s="10"/>
      <c r="AA13" s="10"/>
      <c r="AB13" s="20"/>
      <c r="AC13" s="21">
        <f t="shared" si="4"/>
        <v>0</v>
      </c>
      <c r="AD13" s="10">
        <v>0</v>
      </c>
      <c r="AE13" s="20"/>
      <c r="AF13" s="21">
        <f t="shared" si="5"/>
        <v>0</v>
      </c>
      <c r="AG13" s="10"/>
      <c r="AH13" s="20"/>
      <c r="AI13" s="21">
        <f t="shared" si="6"/>
        <v>0</v>
      </c>
      <c r="AJ13" s="10"/>
      <c r="AK13" s="10"/>
      <c r="AL13" s="10"/>
      <c r="AM13" s="10"/>
      <c r="AN13" s="20"/>
      <c r="AO13" s="21">
        <f t="shared" si="7"/>
        <v>0</v>
      </c>
      <c r="AP13" s="4">
        <f t="shared" si="0"/>
        <v>0</v>
      </c>
      <c r="AQ13" s="4">
        <f t="shared" si="0"/>
        <v>0</v>
      </c>
      <c r="AR13" s="4">
        <f t="shared" si="0"/>
        <v>290000</v>
      </c>
      <c r="AS13" s="4">
        <f t="shared" si="8"/>
        <v>775000</v>
      </c>
      <c r="AT13" s="94">
        <f t="shared" si="8"/>
        <v>1200000</v>
      </c>
      <c r="AU13" s="9">
        <f t="shared" si="9"/>
        <v>2265000</v>
      </c>
    </row>
    <row r="14" spans="1:47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4"/>
      <c r="K14" s="9">
        <f t="shared" si="1"/>
        <v>327667</v>
      </c>
      <c r="L14" s="4"/>
      <c r="M14" s="4"/>
      <c r="N14" s="4"/>
      <c r="O14" s="4"/>
      <c r="P14" s="4"/>
      <c r="Q14" s="9">
        <f t="shared" si="2"/>
        <v>0</v>
      </c>
      <c r="R14" s="4"/>
      <c r="S14" s="4"/>
      <c r="T14" s="4"/>
      <c r="U14" s="4"/>
      <c r="V14" s="4"/>
      <c r="W14" s="9">
        <f t="shared" si="3"/>
        <v>0</v>
      </c>
      <c r="X14" s="4"/>
      <c r="Y14" s="10">
        <v>641000</v>
      </c>
      <c r="Z14" s="10">
        <f>787850+210000</f>
        <v>997850</v>
      </c>
      <c r="AA14" s="10">
        <v>60000</v>
      </c>
      <c r="AB14" s="20"/>
      <c r="AC14" s="21">
        <f t="shared" si="4"/>
        <v>1698850</v>
      </c>
      <c r="AD14" s="10">
        <v>1155000</v>
      </c>
      <c r="AE14" s="20">
        <f>105000+315000+315000+315000+210000</f>
        <v>1260000</v>
      </c>
      <c r="AF14" s="21">
        <f t="shared" si="5"/>
        <v>2415000</v>
      </c>
      <c r="AG14" s="10"/>
      <c r="AH14" s="20"/>
      <c r="AI14" s="21">
        <f t="shared" si="6"/>
        <v>0</v>
      </c>
      <c r="AJ14" s="10"/>
      <c r="AK14" s="10"/>
      <c r="AL14" s="10"/>
      <c r="AM14" s="10"/>
      <c r="AN14" s="20"/>
      <c r="AO14" s="21">
        <f t="shared" si="7"/>
        <v>0</v>
      </c>
      <c r="AP14" s="4">
        <f t="shared" si="0"/>
        <v>0</v>
      </c>
      <c r="AQ14" s="4">
        <f t="shared" si="0"/>
        <v>641000</v>
      </c>
      <c r="AR14" s="4">
        <f t="shared" si="0"/>
        <v>1185517</v>
      </c>
      <c r="AS14" s="4">
        <f t="shared" si="8"/>
        <v>1355000</v>
      </c>
      <c r="AT14" s="94">
        <f t="shared" si="8"/>
        <v>1260000</v>
      </c>
      <c r="AU14" s="9">
        <f t="shared" si="9"/>
        <v>4441517</v>
      </c>
    </row>
    <row r="15" spans="1:47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4"/>
      <c r="K15" s="9">
        <f t="shared" si="1"/>
        <v>465500</v>
      </c>
      <c r="L15" s="76"/>
      <c r="M15" s="76">
        <v>290000</v>
      </c>
      <c r="N15" s="76">
        <v>970000</v>
      </c>
      <c r="O15" s="76">
        <v>925000</v>
      </c>
      <c r="P15" s="4">
        <f>225000+150000+75000+225000+225000+150000</f>
        <v>1050000</v>
      </c>
      <c r="Q15" s="9">
        <f t="shared" si="2"/>
        <v>3235000</v>
      </c>
      <c r="R15" s="4"/>
      <c r="S15" s="4"/>
      <c r="T15" s="4"/>
      <c r="U15" s="4"/>
      <c r="V15" s="4"/>
      <c r="W15" s="9">
        <f t="shared" si="3"/>
        <v>0</v>
      </c>
      <c r="X15" s="4"/>
      <c r="Y15" s="4"/>
      <c r="Z15" s="4"/>
      <c r="AA15" s="4"/>
      <c r="AB15" s="20"/>
      <c r="AC15" s="21">
        <f t="shared" si="4"/>
        <v>0</v>
      </c>
      <c r="AD15" s="10">
        <v>0</v>
      </c>
      <c r="AE15" s="20"/>
      <c r="AF15" s="21">
        <f t="shared" si="5"/>
        <v>0</v>
      </c>
      <c r="AG15" s="10"/>
      <c r="AH15" s="20"/>
      <c r="AI15" s="21">
        <f t="shared" si="6"/>
        <v>0</v>
      </c>
      <c r="AJ15" s="10"/>
      <c r="AK15" s="10"/>
      <c r="AL15" s="10"/>
      <c r="AM15" s="10"/>
      <c r="AN15" s="20"/>
      <c r="AO15" s="21">
        <f t="shared" si="7"/>
        <v>0</v>
      </c>
      <c r="AP15" s="4">
        <f t="shared" si="0"/>
        <v>0</v>
      </c>
      <c r="AQ15" s="4">
        <f t="shared" si="0"/>
        <v>290000</v>
      </c>
      <c r="AR15" s="4">
        <f t="shared" si="0"/>
        <v>1335500</v>
      </c>
      <c r="AS15" s="4">
        <f t="shared" si="8"/>
        <v>1025000</v>
      </c>
      <c r="AT15" s="94">
        <f t="shared" si="8"/>
        <v>1050000</v>
      </c>
      <c r="AU15" s="9">
        <f t="shared" si="9"/>
        <v>3700500</v>
      </c>
    </row>
    <row r="16" spans="1:47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AU16" si="10">SUM(G5:G15)</f>
        <v>2984462</v>
      </c>
      <c r="H16" s="37">
        <f t="shared" si="10"/>
        <v>2388667</v>
      </c>
      <c r="I16" s="37">
        <f t="shared" si="10"/>
        <v>1020000</v>
      </c>
      <c r="J16" s="37">
        <f t="shared" si="10"/>
        <v>0</v>
      </c>
      <c r="K16" s="37">
        <f t="shared" si="10"/>
        <v>6858129</v>
      </c>
      <c r="L16" s="37">
        <f t="shared" si="10"/>
        <v>290000</v>
      </c>
      <c r="M16" s="37">
        <f t="shared" si="10"/>
        <v>1550000</v>
      </c>
      <c r="N16" s="37">
        <f t="shared" si="10"/>
        <v>2180000</v>
      </c>
      <c r="O16" s="37">
        <f t="shared" si="10"/>
        <v>2000000</v>
      </c>
      <c r="P16" s="37">
        <f t="shared" si="10"/>
        <v>2250000</v>
      </c>
      <c r="Q16" s="37">
        <f t="shared" si="10"/>
        <v>8270000</v>
      </c>
      <c r="R16" s="37">
        <f t="shared" si="10"/>
        <v>0</v>
      </c>
      <c r="S16" s="37">
        <f t="shared" si="10"/>
        <v>1553000</v>
      </c>
      <c r="T16" s="37">
        <f t="shared" si="10"/>
        <v>3599000</v>
      </c>
      <c r="U16" s="37">
        <f t="shared" si="10"/>
        <v>600000</v>
      </c>
      <c r="V16" s="37">
        <f t="shared" si="10"/>
        <v>0</v>
      </c>
      <c r="W16" s="37">
        <f t="shared" si="10"/>
        <v>5752000</v>
      </c>
      <c r="X16" s="37">
        <f t="shared" si="10"/>
        <v>390000</v>
      </c>
      <c r="Y16" s="37">
        <f t="shared" si="10"/>
        <v>6700250</v>
      </c>
      <c r="Z16" s="37">
        <f t="shared" si="10"/>
        <v>6943550</v>
      </c>
      <c r="AA16" s="37">
        <f t="shared" si="10"/>
        <v>1885000</v>
      </c>
      <c r="AB16" s="37">
        <f t="shared" si="10"/>
        <v>1613500</v>
      </c>
      <c r="AC16" s="37">
        <f t="shared" si="10"/>
        <v>17532300</v>
      </c>
      <c r="AD16" s="37">
        <f t="shared" si="10"/>
        <v>6356000</v>
      </c>
      <c r="AE16" s="37">
        <f t="shared" si="10"/>
        <v>7293000</v>
      </c>
      <c r="AF16" s="37">
        <f t="shared" si="10"/>
        <v>13649000</v>
      </c>
      <c r="AG16" s="37">
        <f t="shared" si="10"/>
        <v>0</v>
      </c>
      <c r="AH16" s="37">
        <f t="shared" si="10"/>
        <v>1900000</v>
      </c>
      <c r="AI16" s="37">
        <f t="shared" si="10"/>
        <v>1900000</v>
      </c>
      <c r="AJ16" s="37">
        <f t="shared" si="10"/>
        <v>0</v>
      </c>
      <c r="AK16" s="37">
        <f t="shared" si="10"/>
        <v>0</v>
      </c>
      <c r="AL16" s="37">
        <f t="shared" si="10"/>
        <v>0</v>
      </c>
      <c r="AM16" s="37">
        <f t="shared" si="10"/>
        <v>0</v>
      </c>
      <c r="AN16" s="37">
        <f t="shared" si="10"/>
        <v>0</v>
      </c>
      <c r="AO16" s="37">
        <f t="shared" si="10"/>
        <v>0</v>
      </c>
      <c r="AP16" s="37">
        <f t="shared" si="10"/>
        <v>1145000</v>
      </c>
      <c r="AQ16" s="37">
        <f t="shared" si="10"/>
        <v>12787712</v>
      </c>
      <c r="AR16" s="37">
        <f t="shared" si="10"/>
        <v>15111217</v>
      </c>
      <c r="AS16" s="37">
        <f t="shared" si="10"/>
        <v>11861000</v>
      </c>
      <c r="AT16" s="37">
        <f t="shared" si="10"/>
        <v>13056500</v>
      </c>
      <c r="AU16" s="37">
        <f t="shared" si="10"/>
        <v>53961429</v>
      </c>
    </row>
    <row r="17" spans="1:47">
      <c r="A17" s="185" t="s">
        <v>35</v>
      </c>
      <c r="B17" s="8">
        <v>1</v>
      </c>
      <c r="C17" s="1" t="s">
        <v>84</v>
      </c>
      <c r="D17" s="4" t="s">
        <v>85</v>
      </c>
      <c r="E17" s="4" t="s">
        <v>35</v>
      </c>
      <c r="F17" s="4"/>
      <c r="G17" s="4"/>
      <c r="H17" s="4">
        <v>155000</v>
      </c>
      <c r="I17" s="4">
        <v>533000</v>
      </c>
      <c r="J17" s="4">
        <f>140000+105000+105000+70000</f>
        <v>420000</v>
      </c>
      <c r="K17" s="9">
        <f t="shared" ref="K17:K19" si="11">SUM(F17:J17)</f>
        <v>1108000</v>
      </c>
      <c r="L17" s="4"/>
      <c r="M17" s="4"/>
      <c r="N17" s="4"/>
      <c r="O17" s="4"/>
      <c r="P17" s="4"/>
      <c r="Q17" s="9">
        <f t="shared" ref="Q17:Q19" si="12">SUM(L17:P17)</f>
        <v>0</v>
      </c>
      <c r="R17" s="4"/>
      <c r="S17" s="4"/>
      <c r="T17" s="4"/>
      <c r="U17" s="4"/>
      <c r="V17" s="4"/>
      <c r="W17" s="9">
        <f t="shared" ref="W17:W19" si="13">SUM(R17:V17)</f>
        <v>0</v>
      </c>
      <c r="X17" s="4"/>
      <c r="Y17" s="4"/>
      <c r="Z17" s="4"/>
      <c r="AA17" s="4"/>
      <c r="AB17" s="20"/>
      <c r="AC17" s="21">
        <f t="shared" ref="AC17:AC19" si="14">SUM(X17:AB17)</f>
        <v>0</v>
      </c>
      <c r="AD17" s="10"/>
      <c r="AE17" s="20"/>
      <c r="AF17" s="21">
        <f t="shared" ref="AF17:AF19" si="15">SUM(AD17:AE17)</f>
        <v>0</v>
      </c>
      <c r="AG17" s="10"/>
      <c r="AH17" s="20"/>
      <c r="AI17" s="21">
        <f t="shared" ref="AI17:AI19" si="16">SUM(AG17:AH17)</f>
        <v>0</v>
      </c>
      <c r="AJ17" s="10"/>
      <c r="AK17" s="10"/>
      <c r="AL17" s="10"/>
      <c r="AM17" s="10"/>
      <c r="AN17" s="20"/>
      <c r="AO17" s="21">
        <f t="shared" ref="AO17:AO19" si="17">SUM(AJ17:AN17)</f>
        <v>0</v>
      </c>
      <c r="AP17" s="4">
        <f t="shared" ref="AP17:AR19" si="18">F17+L17+R17+X17+AJ17</f>
        <v>0</v>
      </c>
      <c r="AQ17" s="4">
        <f t="shared" si="18"/>
        <v>0</v>
      </c>
      <c r="AR17" s="4">
        <f t="shared" si="18"/>
        <v>155000</v>
      </c>
      <c r="AS17" s="4">
        <f t="shared" ref="AS17:AT19" si="19">I17+O17+U17+AA17+AD17+AG17+AM17</f>
        <v>533000</v>
      </c>
      <c r="AT17" s="94">
        <f t="shared" si="19"/>
        <v>420000</v>
      </c>
      <c r="AU17" s="9">
        <f t="shared" ref="AU17:AU19" si="20">SUM(AP17:AT17)</f>
        <v>1108000</v>
      </c>
    </row>
    <row r="18" spans="1:47">
      <c r="A18" s="186"/>
      <c r="B18" s="8">
        <v>2</v>
      </c>
      <c r="C18" s="100" t="s">
        <v>446</v>
      </c>
      <c r="D18" s="101" t="s">
        <v>447</v>
      </c>
      <c r="E18" s="101" t="s">
        <v>35</v>
      </c>
      <c r="F18" s="4"/>
      <c r="G18" s="4"/>
      <c r="H18" s="4"/>
      <c r="I18" s="4"/>
      <c r="J18" s="4">
        <v>155000</v>
      </c>
      <c r="K18" s="9">
        <f t="shared" si="11"/>
        <v>155000</v>
      </c>
      <c r="L18" s="4"/>
      <c r="M18" s="4"/>
      <c r="N18" s="4"/>
      <c r="O18" s="4"/>
      <c r="P18" s="4"/>
      <c r="Q18" s="9">
        <f t="shared" si="12"/>
        <v>0</v>
      </c>
      <c r="R18" s="4"/>
      <c r="S18" s="4"/>
      <c r="T18" s="4"/>
      <c r="U18" s="4"/>
      <c r="V18" s="4"/>
      <c r="W18" s="9">
        <f t="shared" si="13"/>
        <v>0</v>
      </c>
      <c r="X18" s="4"/>
      <c r="Y18" s="4"/>
      <c r="Z18" s="4"/>
      <c r="AA18" s="4"/>
      <c r="AB18" s="20"/>
      <c r="AC18" s="21">
        <f t="shared" si="14"/>
        <v>0</v>
      </c>
      <c r="AD18" s="10"/>
      <c r="AE18" s="20"/>
      <c r="AF18" s="21">
        <f t="shared" si="15"/>
        <v>0</v>
      </c>
      <c r="AG18" s="10"/>
      <c r="AH18" s="20"/>
      <c r="AI18" s="21">
        <f t="shared" si="16"/>
        <v>0</v>
      </c>
      <c r="AJ18" s="10"/>
      <c r="AK18" s="10"/>
      <c r="AL18" s="10"/>
      <c r="AM18" s="10"/>
      <c r="AN18" s="20"/>
      <c r="AO18" s="21">
        <f t="shared" si="17"/>
        <v>0</v>
      </c>
      <c r="AP18" s="4">
        <f t="shared" si="18"/>
        <v>0</v>
      </c>
      <c r="AQ18" s="4">
        <f t="shared" si="18"/>
        <v>0</v>
      </c>
      <c r="AR18" s="4">
        <f t="shared" si="18"/>
        <v>0</v>
      </c>
      <c r="AS18" s="4">
        <f t="shared" si="19"/>
        <v>0</v>
      </c>
      <c r="AT18" s="94">
        <f t="shared" si="19"/>
        <v>155000</v>
      </c>
      <c r="AU18" s="9">
        <f t="shared" si="20"/>
        <v>155000</v>
      </c>
    </row>
    <row r="19" spans="1:47">
      <c r="A19" s="187"/>
      <c r="B19" s="8">
        <v>3</v>
      </c>
      <c r="C19" s="1" t="s">
        <v>7</v>
      </c>
      <c r="D19" s="4" t="s">
        <v>40</v>
      </c>
      <c r="E19" s="4" t="s">
        <v>35</v>
      </c>
      <c r="F19" s="4">
        <v>155000</v>
      </c>
      <c r="G19" s="4"/>
      <c r="H19" s="4">
        <f>418500+93000+46500</f>
        <v>558000</v>
      </c>
      <c r="I19" s="4">
        <v>417000</v>
      </c>
      <c r="J19" s="4">
        <f>102000+98000+98500+106500+36000</f>
        <v>441000</v>
      </c>
      <c r="K19" s="9">
        <f t="shared" si="11"/>
        <v>1571000</v>
      </c>
      <c r="L19" s="4"/>
      <c r="M19" s="4"/>
      <c r="N19" s="4"/>
      <c r="O19" s="4"/>
      <c r="P19" s="4"/>
      <c r="Q19" s="9">
        <f t="shared" si="12"/>
        <v>0</v>
      </c>
      <c r="R19" s="4">
        <v>290000</v>
      </c>
      <c r="S19" s="4"/>
      <c r="T19" s="4"/>
      <c r="U19" s="4">
        <v>800000</v>
      </c>
      <c r="V19" s="4"/>
      <c r="W19" s="9">
        <f t="shared" si="13"/>
        <v>1090000</v>
      </c>
      <c r="X19" s="4"/>
      <c r="Y19" s="4"/>
      <c r="Z19" s="4"/>
      <c r="AA19" s="4"/>
      <c r="AB19" s="20"/>
      <c r="AC19" s="21">
        <f t="shared" si="14"/>
        <v>0</v>
      </c>
      <c r="AD19" s="10"/>
      <c r="AE19" s="20"/>
      <c r="AF19" s="21">
        <f t="shared" si="15"/>
        <v>0</v>
      </c>
      <c r="AG19" s="10"/>
      <c r="AH19" s="20"/>
      <c r="AI19" s="21">
        <f t="shared" si="16"/>
        <v>0</v>
      </c>
      <c r="AJ19" s="10"/>
      <c r="AK19" s="10"/>
      <c r="AL19" s="10"/>
      <c r="AM19" s="10"/>
      <c r="AN19" s="20"/>
      <c r="AO19" s="21">
        <f t="shared" si="17"/>
        <v>0</v>
      </c>
      <c r="AP19" s="4">
        <f t="shared" si="18"/>
        <v>445000</v>
      </c>
      <c r="AQ19" s="4">
        <f t="shared" si="18"/>
        <v>0</v>
      </c>
      <c r="AR19" s="4">
        <f t="shared" si="18"/>
        <v>558000</v>
      </c>
      <c r="AS19" s="4">
        <f t="shared" si="19"/>
        <v>1217000</v>
      </c>
      <c r="AT19" s="94">
        <f t="shared" si="19"/>
        <v>441000</v>
      </c>
      <c r="AU19" s="9">
        <f t="shared" si="20"/>
        <v>2661000</v>
      </c>
    </row>
    <row r="20" spans="1:47" s="38" customFormat="1">
      <c r="A20" s="34"/>
      <c r="B20" s="34"/>
      <c r="C20" s="35" t="s">
        <v>86</v>
      </c>
      <c r="D20" s="36"/>
      <c r="E20" s="37"/>
      <c r="F20" s="37">
        <f>SUM(F17:F19)</f>
        <v>155000</v>
      </c>
      <c r="G20" s="37">
        <f t="shared" ref="G20:AU20" si="21">SUM(G17:G19)</f>
        <v>0</v>
      </c>
      <c r="H20" s="37">
        <f t="shared" si="21"/>
        <v>713000</v>
      </c>
      <c r="I20" s="37">
        <f t="shared" si="21"/>
        <v>950000</v>
      </c>
      <c r="J20" s="37">
        <f t="shared" si="21"/>
        <v>1016000</v>
      </c>
      <c r="K20" s="37">
        <f t="shared" si="21"/>
        <v>2834000</v>
      </c>
      <c r="L20" s="37">
        <f t="shared" si="21"/>
        <v>0</v>
      </c>
      <c r="M20" s="37">
        <f t="shared" si="21"/>
        <v>0</v>
      </c>
      <c r="N20" s="37">
        <f t="shared" si="21"/>
        <v>0</v>
      </c>
      <c r="O20" s="37">
        <f t="shared" si="21"/>
        <v>0</v>
      </c>
      <c r="P20" s="37">
        <f t="shared" si="21"/>
        <v>0</v>
      </c>
      <c r="Q20" s="37">
        <f t="shared" si="21"/>
        <v>0</v>
      </c>
      <c r="R20" s="37">
        <f t="shared" si="21"/>
        <v>290000</v>
      </c>
      <c r="S20" s="37">
        <f t="shared" si="21"/>
        <v>0</v>
      </c>
      <c r="T20" s="37">
        <f t="shared" si="21"/>
        <v>0</v>
      </c>
      <c r="U20" s="37">
        <f t="shared" si="21"/>
        <v>800000</v>
      </c>
      <c r="V20" s="37">
        <f t="shared" si="21"/>
        <v>0</v>
      </c>
      <c r="W20" s="37">
        <f t="shared" si="21"/>
        <v>1090000</v>
      </c>
      <c r="X20" s="37">
        <f t="shared" si="21"/>
        <v>0</v>
      </c>
      <c r="Y20" s="37">
        <f t="shared" si="21"/>
        <v>0</v>
      </c>
      <c r="Z20" s="37">
        <f t="shared" si="21"/>
        <v>0</v>
      </c>
      <c r="AA20" s="37">
        <f t="shared" si="21"/>
        <v>0</v>
      </c>
      <c r="AB20" s="37">
        <f t="shared" si="21"/>
        <v>0</v>
      </c>
      <c r="AC20" s="37">
        <f t="shared" si="21"/>
        <v>0</v>
      </c>
      <c r="AD20" s="37">
        <f t="shared" si="21"/>
        <v>0</v>
      </c>
      <c r="AE20" s="37">
        <f t="shared" si="21"/>
        <v>0</v>
      </c>
      <c r="AF20" s="37">
        <f t="shared" si="21"/>
        <v>0</v>
      </c>
      <c r="AG20" s="37">
        <f t="shared" si="21"/>
        <v>0</v>
      </c>
      <c r="AH20" s="37">
        <f t="shared" si="21"/>
        <v>0</v>
      </c>
      <c r="AI20" s="37">
        <f t="shared" si="21"/>
        <v>0</v>
      </c>
      <c r="AJ20" s="37">
        <f t="shared" si="21"/>
        <v>0</v>
      </c>
      <c r="AK20" s="37">
        <f t="shared" si="21"/>
        <v>0</v>
      </c>
      <c r="AL20" s="37">
        <f t="shared" si="21"/>
        <v>0</v>
      </c>
      <c r="AM20" s="37">
        <f t="shared" si="21"/>
        <v>0</v>
      </c>
      <c r="AN20" s="37">
        <f t="shared" si="21"/>
        <v>0</v>
      </c>
      <c r="AO20" s="37">
        <f t="shared" si="21"/>
        <v>0</v>
      </c>
      <c r="AP20" s="37">
        <f t="shared" si="21"/>
        <v>445000</v>
      </c>
      <c r="AQ20" s="37">
        <f t="shared" si="21"/>
        <v>0</v>
      </c>
      <c r="AR20" s="37">
        <f t="shared" si="21"/>
        <v>713000</v>
      </c>
      <c r="AS20" s="37">
        <f t="shared" si="21"/>
        <v>1750000</v>
      </c>
      <c r="AT20" s="37">
        <f t="shared" si="21"/>
        <v>1016000</v>
      </c>
      <c r="AU20" s="37">
        <f t="shared" si="21"/>
        <v>3924000</v>
      </c>
    </row>
    <row r="21" spans="1:47" ht="31.5">
      <c r="A21" s="185" t="s">
        <v>18</v>
      </c>
      <c r="B21" s="8">
        <v>1</v>
      </c>
      <c r="C21" s="1" t="s">
        <v>87</v>
      </c>
      <c r="D21" s="4" t="s">
        <v>88</v>
      </c>
      <c r="E21" s="4" t="s">
        <v>18</v>
      </c>
      <c r="F21" s="4"/>
      <c r="G21" s="4"/>
      <c r="H21" s="4">
        <v>155000</v>
      </c>
      <c r="I21" s="4">
        <f>100000+40000</f>
        <v>140000</v>
      </c>
      <c r="J21" s="4"/>
      <c r="K21" s="9">
        <f t="shared" ref="K21:K25" si="22">SUM(F21:J21)</f>
        <v>295000</v>
      </c>
      <c r="L21" s="4"/>
      <c r="M21" s="4"/>
      <c r="N21" s="4"/>
      <c r="O21" s="4"/>
      <c r="P21" s="4"/>
      <c r="Q21" s="9">
        <f t="shared" ref="Q21:Q25" si="23">SUM(L21:P21)</f>
        <v>0</v>
      </c>
      <c r="R21" s="4"/>
      <c r="S21" s="4"/>
      <c r="T21" s="4"/>
      <c r="U21" s="4"/>
      <c r="V21" s="4"/>
      <c r="W21" s="9">
        <f t="shared" ref="W21:W25" si="24">SUM(R21:V21)</f>
        <v>0</v>
      </c>
      <c r="X21" s="4"/>
      <c r="Y21" s="4"/>
      <c r="Z21" s="10">
        <v>259750</v>
      </c>
      <c r="AA21" s="27">
        <v>172000</v>
      </c>
      <c r="AB21" s="20"/>
      <c r="AC21" s="21">
        <f t="shared" ref="AC21:AC25" si="25">SUM(X21:AB21)</f>
        <v>431750</v>
      </c>
      <c r="AD21" s="10">
        <v>945000</v>
      </c>
      <c r="AE21" s="20">
        <f>315000+315000+315000+210000</f>
        <v>1155000</v>
      </c>
      <c r="AF21" s="21">
        <f t="shared" ref="AF21:AF25" si="26">SUM(AD21:AE21)</f>
        <v>2100000</v>
      </c>
      <c r="AG21" s="10"/>
      <c r="AH21" s="20"/>
      <c r="AI21" s="21">
        <f t="shared" ref="AI21:AI25" si="27">SUM(AG21:AH21)</f>
        <v>0</v>
      </c>
      <c r="AJ21" s="10"/>
      <c r="AK21" s="10"/>
      <c r="AL21" s="10">
        <v>376000</v>
      </c>
      <c r="AM21" s="10"/>
      <c r="AN21" s="20"/>
      <c r="AO21" s="21">
        <f t="shared" ref="AO21:AO25" si="28">SUM(AJ21:AN21)</f>
        <v>376000</v>
      </c>
      <c r="AP21" s="4">
        <f t="shared" ref="AP21:AR25" si="29">F21+L21+R21+X21+AJ21</f>
        <v>0</v>
      </c>
      <c r="AQ21" s="4">
        <f t="shared" si="29"/>
        <v>0</v>
      </c>
      <c r="AR21" s="4">
        <f t="shared" si="29"/>
        <v>790750</v>
      </c>
      <c r="AS21" s="4">
        <f t="shared" ref="AS21:AT25" si="30">I21+O21+U21+AA21+AD21+AG21+AM21</f>
        <v>1257000</v>
      </c>
      <c r="AT21" s="94">
        <f t="shared" si="30"/>
        <v>1155000</v>
      </c>
      <c r="AU21" s="9">
        <f t="shared" ref="AU21:AU25" si="31">SUM(AP21:AT21)</f>
        <v>3202750</v>
      </c>
    </row>
    <row r="22" spans="1:47">
      <c r="A22" s="186"/>
      <c r="B22" s="8">
        <v>2</v>
      </c>
      <c r="C22" s="1" t="s">
        <v>89</v>
      </c>
      <c r="D22" s="4" t="s">
        <v>90</v>
      </c>
      <c r="E22" s="4" t="s">
        <v>18</v>
      </c>
      <c r="F22" s="4"/>
      <c r="G22" s="4"/>
      <c r="H22" s="4">
        <v>155000</v>
      </c>
      <c r="I22" s="4">
        <f>120000+20000</f>
        <v>140000</v>
      </c>
      <c r="J22" s="4"/>
      <c r="K22" s="9">
        <f t="shared" si="22"/>
        <v>295000</v>
      </c>
      <c r="L22" s="4"/>
      <c r="M22" s="4"/>
      <c r="N22" s="4"/>
      <c r="O22" s="4"/>
      <c r="P22" s="4"/>
      <c r="Q22" s="9">
        <f t="shared" si="23"/>
        <v>0</v>
      </c>
      <c r="R22" s="4"/>
      <c r="S22" s="4"/>
      <c r="T22" s="4"/>
      <c r="U22" s="4"/>
      <c r="V22" s="4"/>
      <c r="W22" s="9">
        <f t="shared" si="24"/>
        <v>0</v>
      </c>
      <c r="X22" s="4"/>
      <c r="Y22" s="4"/>
      <c r="Z22" s="10">
        <f>258750+140000</f>
        <v>398750</v>
      </c>
      <c r="AA22" s="27">
        <v>30000</v>
      </c>
      <c r="AB22" s="20"/>
      <c r="AC22" s="21">
        <f t="shared" si="25"/>
        <v>428750</v>
      </c>
      <c r="AD22" s="10">
        <v>945000</v>
      </c>
      <c r="AE22" s="20">
        <f>315000+313500+315000+315000+210000</f>
        <v>1468500</v>
      </c>
      <c r="AF22" s="21">
        <f t="shared" si="26"/>
        <v>2413500</v>
      </c>
      <c r="AG22" s="10"/>
      <c r="AH22" s="20"/>
      <c r="AI22" s="21">
        <f t="shared" si="27"/>
        <v>0</v>
      </c>
      <c r="AJ22" s="10"/>
      <c r="AK22" s="10"/>
      <c r="AL22" s="10">
        <v>376000</v>
      </c>
      <c r="AM22" s="10"/>
      <c r="AN22" s="20"/>
      <c r="AO22" s="21">
        <f t="shared" si="28"/>
        <v>376000</v>
      </c>
      <c r="AP22" s="4">
        <f t="shared" si="29"/>
        <v>0</v>
      </c>
      <c r="AQ22" s="4">
        <f t="shared" si="29"/>
        <v>0</v>
      </c>
      <c r="AR22" s="4">
        <f t="shared" si="29"/>
        <v>929750</v>
      </c>
      <c r="AS22" s="4">
        <f t="shared" si="30"/>
        <v>1115000</v>
      </c>
      <c r="AT22" s="94">
        <f t="shared" si="30"/>
        <v>1468500</v>
      </c>
      <c r="AU22" s="9">
        <f t="shared" si="31"/>
        <v>3513250</v>
      </c>
    </row>
    <row r="23" spans="1:47" ht="31.5">
      <c r="A23" s="186"/>
      <c r="B23" s="8">
        <v>3</v>
      </c>
      <c r="C23" s="1" t="s">
        <v>91</v>
      </c>
      <c r="D23" s="4" t="s">
        <v>92</v>
      </c>
      <c r="E23" s="4" t="s">
        <v>18</v>
      </c>
      <c r="F23" s="4"/>
      <c r="G23" s="4">
        <v>155000</v>
      </c>
      <c r="H23" s="4">
        <f>462000+77000+286000+330000+110000+40000</f>
        <v>1305000</v>
      </c>
      <c r="I23" s="4">
        <v>685500</v>
      </c>
      <c r="J23" s="4">
        <f>210000+210000</f>
        <v>420000</v>
      </c>
      <c r="K23" s="9">
        <f t="shared" si="22"/>
        <v>2565500</v>
      </c>
      <c r="L23" s="4"/>
      <c r="M23" s="4"/>
      <c r="N23" s="4"/>
      <c r="O23" s="4"/>
      <c r="P23" s="4"/>
      <c r="Q23" s="9">
        <f t="shared" si="23"/>
        <v>0</v>
      </c>
      <c r="R23" s="4"/>
      <c r="S23" s="4">
        <v>290000</v>
      </c>
      <c r="T23" s="4">
        <v>1516000</v>
      </c>
      <c r="U23" s="11">
        <v>300000</v>
      </c>
      <c r="V23" s="11"/>
      <c r="W23" s="9">
        <f t="shared" si="24"/>
        <v>2106000</v>
      </c>
      <c r="X23" s="4"/>
      <c r="Y23" s="4"/>
      <c r="Z23" s="4"/>
      <c r="AA23" s="4"/>
      <c r="AB23" s="20"/>
      <c r="AC23" s="21">
        <f t="shared" si="25"/>
        <v>0</v>
      </c>
      <c r="AD23" s="10"/>
      <c r="AE23" s="20"/>
      <c r="AF23" s="21">
        <f t="shared" si="26"/>
        <v>0</v>
      </c>
      <c r="AG23" s="10"/>
      <c r="AH23" s="20"/>
      <c r="AI23" s="21">
        <f t="shared" si="27"/>
        <v>0</v>
      </c>
      <c r="AJ23" s="10"/>
      <c r="AK23" s="10"/>
      <c r="AL23" s="10"/>
      <c r="AM23" s="10"/>
      <c r="AN23" s="20"/>
      <c r="AO23" s="21">
        <f t="shared" si="28"/>
        <v>0</v>
      </c>
      <c r="AP23" s="4">
        <f t="shared" si="29"/>
        <v>0</v>
      </c>
      <c r="AQ23" s="4">
        <f t="shared" si="29"/>
        <v>445000</v>
      </c>
      <c r="AR23" s="4">
        <f t="shared" si="29"/>
        <v>2821000</v>
      </c>
      <c r="AS23" s="4">
        <f t="shared" si="30"/>
        <v>985500</v>
      </c>
      <c r="AT23" s="94">
        <f t="shared" si="30"/>
        <v>420000</v>
      </c>
      <c r="AU23" s="9">
        <f t="shared" si="31"/>
        <v>4671500</v>
      </c>
    </row>
    <row r="24" spans="1:47">
      <c r="A24" s="186"/>
      <c r="B24" s="8">
        <v>4</v>
      </c>
      <c r="C24" s="1" t="s">
        <v>9</v>
      </c>
      <c r="D24" s="4" t="s">
        <v>42</v>
      </c>
      <c r="E24" s="4" t="s">
        <v>18</v>
      </c>
      <c r="F24" s="4"/>
      <c r="G24" s="4"/>
      <c r="H24" s="4"/>
      <c r="I24" s="4"/>
      <c r="J24" s="4"/>
      <c r="K24" s="9">
        <f t="shared" si="22"/>
        <v>0</v>
      </c>
      <c r="L24" s="4"/>
      <c r="M24" s="4"/>
      <c r="N24" s="4"/>
      <c r="O24" s="4"/>
      <c r="P24" s="4"/>
      <c r="Q24" s="9">
        <f t="shared" si="23"/>
        <v>0</v>
      </c>
      <c r="R24" s="4">
        <v>290000</v>
      </c>
      <c r="S24" s="70">
        <v>2093000</v>
      </c>
      <c r="T24" s="4">
        <v>1575000</v>
      </c>
      <c r="U24" s="11"/>
      <c r="V24" s="11"/>
      <c r="W24" s="9">
        <f t="shared" si="24"/>
        <v>3958000</v>
      </c>
      <c r="X24" s="4">
        <v>195000</v>
      </c>
      <c r="Y24" s="10">
        <v>1426450</v>
      </c>
      <c r="Z24" s="10">
        <v>1018500</v>
      </c>
      <c r="AA24" s="10">
        <v>950000</v>
      </c>
      <c r="AB24" s="20">
        <f>70000+210000</f>
        <v>280000</v>
      </c>
      <c r="AC24" s="21">
        <f t="shared" si="25"/>
        <v>3869950</v>
      </c>
      <c r="AD24" s="10"/>
      <c r="AE24" s="20"/>
      <c r="AF24" s="21">
        <f t="shared" si="26"/>
        <v>0</v>
      </c>
      <c r="AG24" s="10"/>
      <c r="AH24" s="20"/>
      <c r="AI24" s="21">
        <f t="shared" si="27"/>
        <v>0</v>
      </c>
      <c r="AJ24" s="10"/>
      <c r="AK24" s="10">
        <v>100000</v>
      </c>
      <c r="AL24" s="10">
        <v>522000</v>
      </c>
      <c r="AM24" s="10"/>
      <c r="AN24" s="20"/>
      <c r="AO24" s="21">
        <f t="shared" si="28"/>
        <v>622000</v>
      </c>
      <c r="AP24" s="4">
        <f t="shared" si="29"/>
        <v>485000</v>
      </c>
      <c r="AQ24" s="4">
        <f t="shared" si="29"/>
        <v>3619450</v>
      </c>
      <c r="AR24" s="4">
        <f t="shared" si="29"/>
        <v>3115500</v>
      </c>
      <c r="AS24" s="4">
        <f t="shared" si="30"/>
        <v>950000</v>
      </c>
      <c r="AT24" s="94">
        <f t="shared" si="30"/>
        <v>280000</v>
      </c>
      <c r="AU24" s="9">
        <f t="shared" si="31"/>
        <v>8449950</v>
      </c>
    </row>
    <row r="25" spans="1:47" ht="31.5">
      <c r="A25" s="187"/>
      <c r="B25" s="8">
        <v>5</v>
      </c>
      <c r="C25" s="1" t="s">
        <v>93</v>
      </c>
      <c r="D25" s="4" t="s">
        <v>94</v>
      </c>
      <c r="E25" s="4" t="s">
        <v>18</v>
      </c>
      <c r="F25" s="4">
        <v>155000</v>
      </c>
      <c r="G25" s="4">
        <v>207500</v>
      </c>
      <c r="H25" s="4">
        <v>379500</v>
      </c>
      <c r="I25" s="4"/>
      <c r="J25" s="4"/>
      <c r="K25" s="9">
        <f t="shared" si="22"/>
        <v>742000</v>
      </c>
      <c r="L25" s="4"/>
      <c r="M25" s="4"/>
      <c r="N25" s="4"/>
      <c r="O25" s="4"/>
      <c r="P25" s="4"/>
      <c r="Q25" s="9">
        <f t="shared" si="23"/>
        <v>0</v>
      </c>
      <c r="R25" s="4"/>
      <c r="S25" s="4"/>
      <c r="T25" s="4"/>
      <c r="U25" s="4"/>
      <c r="V25" s="4"/>
      <c r="W25" s="9">
        <f t="shared" si="24"/>
        <v>0</v>
      </c>
      <c r="X25" s="4"/>
      <c r="Y25" s="10">
        <v>629500</v>
      </c>
      <c r="Z25" s="10">
        <v>436500</v>
      </c>
      <c r="AA25" s="10"/>
      <c r="AB25" s="20"/>
      <c r="AC25" s="21">
        <f t="shared" si="25"/>
        <v>1066000</v>
      </c>
      <c r="AD25" s="10"/>
      <c r="AE25" s="20"/>
      <c r="AF25" s="21">
        <f t="shared" si="26"/>
        <v>0</v>
      </c>
      <c r="AG25" s="10"/>
      <c r="AH25" s="20"/>
      <c r="AI25" s="21">
        <f t="shared" si="27"/>
        <v>0</v>
      </c>
      <c r="AJ25" s="10"/>
      <c r="AK25" s="10"/>
      <c r="AL25" s="10"/>
      <c r="AM25" s="10"/>
      <c r="AN25" s="20"/>
      <c r="AO25" s="21">
        <f t="shared" si="28"/>
        <v>0</v>
      </c>
      <c r="AP25" s="4">
        <f t="shared" si="29"/>
        <v>155000</v>
      </c>
      <c r="AQ25" s="4">
        <f t="shared" si="29"/>
        <v>837000</v>
      </c>
      <c r="AR25" s="4">
        <f t="shared" si="29"/>
        <v>816000</v>
      </c>
      <c r="AS25" s="4">
        <f t="shared" si="30"/>
        <v>0</v>
      </c>
      <c r="AT25" s="94">
        <f t="shared" si="30"/>
        <v>0</v>
      </c>
      <c r="AU25" s="9">
        <f t="shared" si="31"/>
        <v>1808000</v>
      </c>
    </row>
    <row r="26" spans="1:47" s="38" customFormat="1">
      <c r="A26" s="34"/>
      <c r="B26" s="34"/>
      <c r="C26" s="35" t="s">
        <v>95</v>
      </c>
      <c r="D26" s="37"/>
      <c r="E26" s="37"/>
      <c r="F26" s="37">
        <f>SUM(F21:F25)</f>
        <v>155000</v>
      </c>
      <c r="G26" s="37">
        <f t="shared" ref="G26:AU26" si="32">SUM(G21:G25)</f>
        <v>362500</v>
      </c>
      <c r="H26" s="37">
        <f t="shared" si="32"/>
        <v>1994500</v>
      </c>
      <c r="I26" s="37">
        <f t="shared" si="32"/>
        <v>965500</v>
      </c>
      <c r="J26" s="37">
        <f t="shared" si="32"/>
        <v>420000</v>
      </c>
      <c r="K26" s="37">
        <f t="shared" si="32"/>
        <v>3897500</v>
      </c>
      <c r="L26" s="37">
        <f t="shared" si="32"/>
        <v>0</v>
      </c>
      <c r="M26" s="37">
        <f t="shared" si="32"/>
        <v>0</v>
      </c>
      <c r="N26" s="37">
        <f t="shared" si="32"/>
        <v>0</v>
      </c>
      <c r="O26" s="37">
        <f t="shared" si="32"/>
        <v>0</v>
      </c>
      <c r="P26" s="37">
        <f t="shared" si="32"/>
        <v>0</v>
      </c>
      <c r="Q26" s="37">
        <f t="shared" si="32"/>
        <v>0</v>
      </c>
      <c r="R26" s="37">
        <f t="shared" si="32"/>
        <v>290000</v>
      </c>
      <c r="S26" s="37">
        <f t="shared" si="32"/>
        <v>2383000</v>
      </c>
      <c r="T26" s="37">
        <f t="shared" si="32"/>
        <v>3091000</v>
      </c>
      <c r="U26" s="37">
        <f t="shared" si="32"/>
        <v>300000</v>
      </c>
      <c r="V26" s="37">
        <f t="shared" si="32"/>
        <v>0</v>
      </c>
      <c r="W26" s="37">
        <f t="shared" si="32"/>
        <v>6064000</v>
      </c>
      <c r="X26" s="37">
        <f t="shared" si="32"/>
        <v>195000</v>
      </c>
      <c r="Y26" s="37">
        <f t="shared" si="32"/>
        <v>2055950</v>
      </c>
      <c r="Z26" s="37">
        <f t="shared" si="32"/>
        <v>2113500</v>
      </c>
      <c r="AA26" s="37">
        <f t="shared" si="32"/>
        <v>1152000</v>
      </c>
      <c r="AB26" s="37">
        <f t="shared" si="32"/>
        <v>280000</v>
      </c>
      <c r="AC26" s="37">
        <f t="shared" si="32"/>
        <v>5796450</v>
      </c>
      <c r="AD26" s="37">
        <f t="shared" si="32"/>
        <v>1890000</v>
      </c>
      <c r="AE26" s="37">
        <f t="shared" si="32"/>
        <v>2623500</v>
      </c>
      <c r="AF26" s="37">
        <f t="shared" si="32"/>
        <v>4513500</v>
      </c>
      <c r="AG26" s="37">
        <f t="shared" si="32"/>
        <v>0</v>
      </c>
      <c r="AH26" s="37">
        <f t="shared" si="32"/>
        <v>0</v>
      </c>
      <c r="AI26" s="37">
        <f t="shared" si="32"/>
        <v>0</v>
      </c>
      <c r="AJ26" s="37">
        <f t="shared" si="32"/>
        <v>0</v>
      </c>
      <c r="AK26" s="37">
        <f t="shared" si="32"/>
        <v>100000</v>
      </c>
      <c r="AL26" s="37">
        <f t="shared" si="32"/>
        <v>1274000</v>
      </c>
      <c r="AM26" s="37">
        <f t="shared" si="32"/>
        <v>0</v>
      </c>
      <c r="AN26" s="37">
        <f t="shared" si="32"/>
        <v>0</v>
      </c>
      <c r="AO26" s="37">
        <f t="shared" si="32"/>
        <v>1374000</v>
      </c>
      <c r="AP26" s="37">
        <f t="shared" si="32"/>
        <v>640000</v>
      </c>
      <c r="AQ26" s="37">
        <f t="shared" si="32"/>
        <v>4901450</v>
      </c>
      <c r="AR26" s="37">
        <f t="shared" si="32"/>
        <v>8473000</v>
      </c>
      <c r="AS26" s="37">
        <f t="shared" si="32"/>
        <v>4307500</v>
      </c>
      <c r="AT26" s="37">
        <f t="shared" si="32"/>
        <v>3323500</v>
      </c>
      <c r="AU26" s="37">
        <f t="shared" si="32"/>
        <v>21645450</v>
      </c>
    </row>
    <row r="27" spans="1:47">
      <c r="A27" s="185" t="s">
        <v>96</v>
      </c>
      <c r="B27" s="8">
        <v>1</v>
      </c>
      <c r="C27" s="1" t="s">
        <v>97</v>
      </c>
      <c r="D27" s="4" t="s">
        <v>96</v>
      </c>
      <c r="E27" s="4" t="s">
        <v>98</v>
      </c>
      <c r="F27" s="4"/>
      <c r="G27" s="4">
        <v>155000</v>
      </c>
      <c r="H27" s="4">
        <v>-155000</v>
      </c>
      <c r="I27" s="4"/>
      <c r="J27" s="4"/>
      <c r="K27" s="9">
        <f t="shared" ref="K27:K28" si="33">SUM(F27:J27)</f>
        <v>0</v>
      </c>
      <c r="L27" s="4"/>
      <c r="M27" s="4"/>
      <c r="N27" s="4"/>
      <c r="O27" s="4"/>
      <c r="P27" s="4"/>
      <c r="Q27" s="9">
        <f t="shared" ref="Q27:Q28" si="34">SUM(L27:P27)</f>
        <v>0</v>
      </c>
      <c r="R27" s="4"/>
      <c r="S27" s="4"/>
      <c r="T27" s="4"/>
      <c r="U27" s="4"/>
      <c r="V27" s="4"/>
      <c r="W27" s="9">
        <f t="shared" ref="W27:W28" si="35">SUM(R27:V27)</f>
        <v>0</v>
      </c>
      <c r="X27" s="4"/>
      <c r="Y27" s="4"/>
      <c r="Z27" s="4"/>
      <c r="AA27" s="4"/>
      <c r="AB27" s="20"/>
      <c r="AC27" s="21">
        <f t="shared" ref="AC27:AC28" si="36">SUM(X27:AB27)</f>
        <v>0</v>
      </c>
      <c r="AD27" s="10"/>
      <c r="AE27" s="20"/>
      <c r="AF27" s="21">
        <f t="shared" ref="AF27:AF28" si="37">SUM(AD27:AE27)</f>
        <v>0</v>
      </c>
      <c r="AG27" s="10"/>
      <c r="AH27" s="20"/>
      <c r="AI27" s="21">
        <f t="shared" ref="AI27:AI28" si="38">SUM(AG27:AH27)</f>
        <v>0</v>
      </c>
      <c r="AJ27" s="10"/>
      <c r="AK27" s="10"/>
      <c r="AL27" s="10"/>
      <c r="AM27" s="10"/>
      <c r="AN27" s="20"/>
      <c r="AO27" s="21">
        <f t="shared" ref="AO27:AO28" si="39">SUM(AJ27:AN27)</f>
        <v>0</v>
      </c>
      <c r="AP27" s="4">
        <f t="shared" ref="AP27:AR28" si="40">F27+L27+R27+X27+AJ27</f>
        <v>0</v>
      </c>
      <c r="AQ27" s="4">
        <f t="shared" si="40"/>
        <v>155000</v>
      </c>
      <c r="AR27" s="4">
        <f t="shared" si="40"/>
        <v>-155000</v>
      </c>
      <c r="AS27" s="4">
        <f t="shared" ref="AS27:AT28" si="41">I27+O27+U27+AA27+AD27+AG27+AM27</f>
        <v>0</v>
      </c>
      <c r="AT27" s="94">
        <f t="shared" si="41"/>
        <v>0</v>
      </c>
      <c r="AU27" s="9">
        <f t="shared" ref="AU27:AU28" si="42">SUM(AP27:AT27)</f>
        <v>0</v>
      </c>
    </row>
    <row r="28" spans="1:47" ht="30">
      <c r="A28" s="187"/>
      <c r="B28" s="8">
        <v>2</v>
      </c>
      <c r="C28" s="2" t="s">
        <v>99</v>
      </c>
      <c r="D28" s="4" t="s">
        <v>96</v>
      </c>
      <c r="E28" s="4" t="s">
        <v>98</v>
      </c>
      <c r="F28" s="4"/>
      <c r="G28" s="4"/>
      <c r="H28" s="5"/>
      <c r="I28" s="4"/>
      <c r="J28" s="4"/>
      <c r="K28" s="9">
        <f t="shared" si="33"/>
        <v>0</v>
      </c>
      <c r="L28" s="4"/>
      <c r="M28" s="4"/>
      <c r="N28" s="4"/>
      <c r="O28" s="4"/>
      <c r="P28" s="4"/>
      <c r="Q28" s="9">
        <f t="shared" si="34"/>
        <v>0</v>
      </c>
      <c r="R28" s="4"/>
      <c r="S28" s="4"/>
      <c r="T28" s="4"/>
      <c r="U28" s="4"/>
      <c r="V28" s="4"/>
      <c r="W28" s="9">
        <f t="shared" si="35"/>
        <v>0</v>
      </c>
      <c r="X28" s="4"/>
      <c r="Y28" s="4"/>
      <c r="Z28" s="4"/>
      <c r="AA28" s="4"/>
      <c r="AB28" s="20"/>
      <c r="AC28" s="21">
        <f t="shared" si="36"/>
        <v>0</v>
      </c>
      <c r="AD28" s="10"/>
      <c r="AE28" s="20"/>
      <c r="AF28" s="21">
        <f t="shared" si="37"/>
        <v>0</v>
      </c>
      <c r="AG28" s="10"/>
      <c r="AH28" s="20"/>
      <c r="AI28" s="21">
        <f t="shared" si="38"/>
        <v>0</v>
      </c>
      <c r="AJ28" s="10"/>
      <c r="AK28" s="10"/>
      <c r="AL28" s="10">
        <v>100000</v>
      </c>
      <c r="AM28" s="10">
        <v>150000</v>
      </c>
      <c r="AN28" s="20"/>
      <c r="AO28" s="21">
        <f t="shared" si="39"/>
        <v>250000</v>
      </c>
      <c r="AP28" s="4">
        <f t="shared" si="40"/>
        <v>0</v>
      </c>
      <c r="AQ28" s="4">
        <f t="shared" si="40"/>
        <v>0</v>
      </c>
      <c r="AR28" s="4">
        <f t="shared" si="40"/>
        <v>100000</v>
      </c>
      <c r="AS28" s="4">
        <f t="shared" si="41"/>
        <v>150000</v>
      </c>
      <c r="AT28" s="94">
        <f t="shared" si="41"/>
        <v>0</v>
      </c>
      <c r="AU28" s="9">
        <f t="shared" si="42"/>
        <v>250000</v>
      </c>
    </row>
    <row r="29" spans="1:47" s="38" customFormat="1">
      <c r="A29" s="34"/>
      <c r="B29" s="34"/>
      <c r="C29" s="35" t="s">
        <v>100</v>
      </c>
      <c r="D29" s="37"/>
      <c r="E29" s="37"/>
      <c r="F29" s="37">
        <f>SUM(F27:F28)</f>
        <v>0</v>
      </c>
      <c r="G29" s="37">
        <f t="shared" ref="G29:AU29" si="43">SUM(G27:G28)</f>
        <v>155000</v>
      </c>
      <c r="H29" s="37">
        <f t="shared" si="43"/>
        <v>-155000</v>
      </c>
      <c r="I29" s="37">
        <f t="shared" si="43"/>
        <v>0</v>
      </c>
      <c r="J29" s="37">
        <f t="shared" si="43"/>
        <v>0</v>
      </c>
      <c r="K29" s="37">
        <f t="shared" si="43"/>
        <v>0</v>
      </c>
      <c r="L29" s="37">
        <f t="shared" si="43"/>
        <v>0</v>
      </c>
      <c r="M29" s="37">
        <f t="shared" si="43"/>
        <v>0</v>
      </c>
      <c r="N29" s="37">
        <f t="shared" si="43"/>
        <v>0</v>
      </c>
      <c r="O29" s="37">
        <f t="shared" si="43"/>
        <v>0</v>
      </c>
      <c r="P29" s="37">
        <f t="shared" si="43"/>
        <v>0</v>
      </c>
      <c r="Q29" s="37">
        <f t="shared" si="43"/>
        <v>0</v>
      </c>
      <c r="R29" s="37">
        <f t="shared" si="43"/>
        <v>0</v>
      </c>
      <c r="S29" s="37">
        <f t="shared" si="43"/>
        <v>0</v>
      </c>
      <c r="T29" s="37">
        <f t="shared" si="43"/>
        <v>0</v>
      </c>
      <c r="U29" s="37">
        <f t="shared" si="43"/>
        <v>0</v>
      </c>
      <c r="V29" s="37">
        <f t="shared" si="43"/>
        <v>0</v>
      </c>
      <c r="W29" s="37">
        <f t="shared" si="43"/>
        <v>0</v>
      </c>
      <c r="X29" s="37">
        <f t="shared" si="43"/>
        <v>0</v>
      </c>
      <c r="Y29" s="37">
        <f t="shared" si="43"/>
        <v>0</v>
      </c>
      <c r="Z29" s="37">
        <f t="shared" si="43"/>
        <v>0</v>
      </c>
      <c r="AA29" s="37">
        <f t="shared" si="43"/>
        <v>0</v>
      </c>
      <c r="AB29" s="37">
        <f t="shared" si="43"/>
        <v>0</v>
      </c>
      <c r="AC29" s="37">
        <f t="shared" si="43"/>
        <v>0</v>
      </c>
      <c r="AD29" s="37">
        <f t="shared" si="43"/>
        <v>0</v>
      </c>
      <c r="AE29" s="37">
        <f t="shared" si="43"/>
        <v>0</v>
      </c>
      <c r="AF29" s="37">
        <f t="shared" si="43"/>
        <v>0</v>
      </c>
      <c r="AG29" s="37">
        <f t="shared" si="43"/>
        <v>0</v>
      </c>
      <c r="AH29" s="37">
        <f t="shared" si="43"/>
        <v>0</v>
      </c>
      <c r="AI29" s="37">
        <f t="shared" si="43"/>
        <v>0</v>
      </c>
      <c r="AJ29" s="37">
        <f t="shared" si="43"/>
        <v>0</v>
      </c>
      <c r="AK29" s="37">
        <f t="shared" si="43"/>
        <v>0</v>
      </c>
      <c r="AL29" s="37">
        <f t="shared" si="43"/>
        <v>100000</v>
      </c>
      <c r="AM29" s="37">
        <f t="shared" si="43"/>
        <v>150000</v>
      </c>
      <c r="AN29" s="37">
        <f t="shared" si="43"/>
        <v>0</v>
      </c>
      <c r="AO29" s="37">
        <f t="shared" si="43"/>
        <v>250000</v>
      </c>
      <c r="AP29" s="37">
        <f t="shared" si="43"/>
        <v>0</v>
      </c>
      <c r="AQ29" s="37">
        <f t="shared" si="43"/>
        <v>155000</v>
      </c>
      <c r="AR29" s="37">
        <f t="shared" si="43"/>
        <v>-55000</v>
      </c>
      <c r="AS29" s="37">
        <f t="shared" si="43"/>
        <v>150000</v>
      </c>
      <c r="AT29" s="37">
        <f t="shared" si="43"/>
        <v>0</v>
      </c>
      <c r="AU29" s="37">
        <f t="shared" si="43"/>
        <v>250000</v>
      </c>
    </row>
    <row r="30" spans="1:47">
      <c r="A30" s="185" t="s">
        <v>58</v>
      </c>
      <c r="B30" s="8">
        <v>1</v>
      </c>
      <c r="C30" s="1" t="s">
        <v>101</v>
      </c>
      <c r="D30" s="4" t="s">
        <v>102</v>
      </c>
      <c r="E30" s="4" t="s">
        <v>31</v>
      </c>
      <c r="F30" s="4"/>
      <c r="G30" s="4"/>
      <c r="H30" s="4">
        <v>155000</v>
      </c>
      <c r="I30" s="4">
        <v>12000</v>
      </c>
      <c r="J30" s="4"/>
      <c r="K30" s="9">
        <f t="shared" ref="K30:K32" si="44">SUM(F30:J30)</f>
        <v>167000</v>
      </c>
      <c r="L30" s="4"/>
      <c r="M30" s="4"/>
      <c r="N30" s="4"/>
      <c r="O30" s="4"/>
      <c r="P30" s="4"/>
      <c r="Q30" s="9">
        <f t="shared" ref="Q30:Q33" si="45">SUM(L30:P30)</f>
        <v>0</v>
      </c>
      <c r="R30" s="20"/>
      <c r="S30" s="20"/>
      <c r="T30" s="20"/>
      <c r="U30" s="20"/>
      <c r="V30" s="20"/>
      <c r="W30" s="9">
        <f t="shared" ref="W30:W33" si="46">SUM(R30:V30)</f>
        <v>0</v>
      </c>
      <c r="X30" s="20"/>
      <c r="Y30" s="20"/>
      <c r="Z30" s="20"/>
      <c r="AA30" s="20"/>
      <c r="AB30" s="20"/>
      <c r="AC30" s="21">
        <f t="shared" ref="AC30:AC33" si="47">SUM(X30:AB30)</f>
        <v>0</v>
      </c>
      <c r="AD30" s="25"/>
      <c r="AE30" s="20"/>
      <c r="AF30" s="21">
        <f t="shared" ref="AF30:AF33" si="48">SUM(AD30:AE30)</f>
        <v>0</v>
      </c>
      <c r="AG30" s="25"/>
      <c r="AH30" s="20"/>
      <c r="AI30" s="21">
        <f t="shared" ref="AI30:AI33" si="49">SUM(AG30:AH30)</f>
        <v>0</v>
      </c>
      <c r="AJ30" s="25"/>
      <c r="AK30" s="25"/>
      <c r="AL30" s="25"/>
      <c r="AM30" s="25"/>
      <c r="AN30" s="20"/>
      <c r="AO30" s="21">
        <f t="shared" ref="AO30:AO33" si="50">SUM(AJ30:AN30)</f>
        <v>0</v>
      </c>
      <c r="AP30" s="4">
        <f t="shared" ref="AP30:AR33" si="51">F30+L30+R30+X30+AJ30</f>
        <v>0</v>
      </c>
      <c r="AQ30" s="4">
        <f t="shared" si="51"/>
        <v>0</v>
      </c>
      <c r="AR30" s="4">
        <f t="shared" si="51"/>
        <v>155000</v>
      </c>
      <c r="AS30" s="4">
        <f t="shared" ref="AS30:AT33" si="52">I30+O30+U30+AA30+AD30+AG30+AM30</f>
        <v>12000</v>
      </c>
      <c r="AT30" s="94">
        <f t="shared" si="52"/>
        <v>0</v>
      </c>
      <c r="AU30" s="9">
        <f t="shared" ref="AU30:AU33" si="53">SUM(AP30:AT30)</f>
        <v>167000</v>
      </c>
    </row>
    <row r="31" spans="1:47">
      <c r="A31" s="186"/>
      <c r="B31" s="8">
        <v>2</v>
      </c>
      <c r="C31" s="1" t="s">
        <v>103</v>
      </c>
      <c r="D31" s="4" t="s">
        <v>104</v>
      </c>
      <c r="E31" s="4" t="s">
        <v>31</v>
      </c>
      <c r="F31" s="4"/>
      <c r="G31" s="4">
        <v>155000</v>
      </c>
      <c r="H31" s="4">
        <f>33000+115933</f>
        <v>148933</v>
      </c>
      <c r="I31" s="4"/>
      <c r="J31" s="4"/>
      <c r="K31" s="9">
        <f t="shared" si="44"/>
        <v>303933</v>
      </c>
      <c r="L31" s="76"/>
      <c r="M31" s="76"/>
      <c r="N31" s="76">
        <v>290000</v>
      </c>
      <c r="O31" s="76"/>
      <c r="P31" s="4"/>
      <c r="Q31" s="9">
        <f t="shared" si="45"/>
        <v>290000</v>
      </c>
      <c r="R31" s="20"/>
      <c r="S31" s="20">
        <v>605000</v>
      </c>
      <c r="T31" s="4">
        <v>252000</v>
      </c>
      <c r="U31" s="22"/>
      <c r="V31" s="22"/>
      <c r="W31" s="9">
        <f t="shared" si="46"/>
        <v>857000</v>
      </c>
      <c r="X31" s="20"/>
      <c r="Y31" s="20">
        <v>322500</v>
      </c>
      <c r="Z31" s="25">
        <v>122950</v>
      </c>
      <c r="AA31" s="25"/>
      <c r="AB31" s="20"/>
      <c r="AC31" s="21">
        <f t="shared" si="47"/>
        <v>445450</v>
      </c>
      <c r="AD31" s="25"/>
      <c r="AE31" s="20"/>
      <c r="AF31" s="21">
        <f t="shared" si="48"/>
        <v>0</v>
      </c>
      <c r="AG31" s="25"/>
      <c r="AH31" s="20"/>
      <c r="AI31" s="21">
        <f t="shared" si="49"/>
        <v>0</v>
      </c>
      <c r="AJ31" s="25"/>
      <c r="AK31" s="24">
        <v>100000</v>
      </c>
      <c r="AL31" s="25">
        <v>276000</v>
      </c>
      <c r="AM31" s="25"/>
      <c r="AN31" s="20"/>
      <c r="AO31" s="21">
        <f t="shared" si="50"/>
        <v>376000</v>
      </c>
      <c r="AP31" s="4">
        <f t="shared" si="51"/>
        <v>0</v>
      </c>
      <c r="AQ31" s="4">
        <f t="shared" si="51"/>
        <v>1182500</v>
      </c>
      <c r="AR31" s="4">
        <f t="shared" si="51"/>
        <v>1089883</v>
      </c>
      <c r="AS31" s="4">
        <f t="shared" si="52"/>
        <v>0</v>
      </c>
      <c r="AT31" s="94">
        <f t="shared" si="52"/>
        <v>0</v>
      </c>
      <c r="AU31" s="9">
        <f t="shared" si="53"/>
        <v>2272383</v>
      </c>
    </row>
    <row r="32" spans="1:47">
      <c r="A32" s="186"/>
      <c r="B32" s="8">
        <v>3</v>
      </c>
      <c r="C32" s="1" t="s">
        <v>12</v>
      </c>
      <c r="D32" s="4" t="s">
        <v>45</v>
      </c>
      <c r="E32" s="4" t="s">
        <v>31</v>
      </c>
      <c r="F32" s="4"/>
      <c r="G32" s="4"/>
      <c r="H32" s="4">
        <v>155000</v>
      </c>
      <c r="I32" s="4">
        <v>160000</v>
      </c>
      <c r="J32" s="4"/>
      <c r="K32" s="9">
        <f t="shared" si="44"/>
        <v>315000</v>
      </c>
      <c r="L32" s="76"/>
      <c r="M32" s="76"/>
      <c r="N32" s="76">
        <v>820000</v>
      </c>
      <c r="O32" s="76">
        <v>200000</v>
      </c>
      <c r="P32" s="4"/>
      <c r="Q32" s="9">
        <f t="shared" si="45"/>
        <v>1020000</v>
      </c>
      <c r="R32" s="20"/>
      <c r="S32" s="20"/>
      <c r="T32" s="4">
        <v>530000</v>
      </c>
      <c r="U32" s="23">
        <v>480000</v>
      </c>
      <c r="V32" s="23"/>
      <c r="W32" s="9">
        <f t="shared" si="46"/>
        <v>1010000</v>
      </c>
      <c r="X32" s="20"/>
      <c r="Y32" s="20"/>
      <c r="Z32" s="20"/>
      <c r="AA32" s="20"/>
      <c r="AB32" s="20"/>
      <c r="AC32" s="21">
        <f t="shared" si="47"/>
        <v>0</v>
      </c>
      <c r="AD32" s="25"/>
      <c r="AE32" s="20"/>
      <c r="AF32" s="21">
        <f t="shared" si="48"/>
        <v>0</v>
      </c>
      <c r="AG32" s="25"/>
      <c r="AH32" s="20"/>
      <c r="AI32" s="21">
        <f t="shared" si="49"/>
        <v>0</v>
      </c>
      <c r="AJ32" s="25"/>
      <c r="AK32" s="25"/>
      <c r="AL32" s="25"/>
      <c r="AM32" s="25"/>
      <c r="AN32" s="20"/>
      <c r="AO32" s="21">
        <f t="shared" si="50"/>
        <v>0</v>
      </c>
      <c r="AP32" s="4">
        <f t="shared" si="51"/>
        <v>0</v>
      </c>
      <c r="AQ32" s="4">
        <f t="shared" si="51"/>
        <v>0</v>
      </c>
      <c r="AR32" s="4">
        <f t="shared" si="51"/>
        <v>1505000</v>
      </c>
      <c r="AS32" s="4">
        <f t="shared" si="52"/>
        <v>840000</v>
      </c>
      <c r="AT32" s="94">
        <f t="shared" si="52"/>
        <v>0</v>
      </c>
      <c r="AU32" s="9">
        <f t="shared" si="53"/>
        <v>2345000</v>
      </c>
    </row>
    <row r="33" spans="1:47">
      <c r="A33" s="187"/>
      <c r="B33" s="8">
        <v>4</v>
      </c>
      <c r="C33" s="1" t="s">
        <v>477</v>
      </c>
      <c r="D33" s="4" t="s">
        <v>102</v>
      </c>
      <c r="E33" s="4" t="s">
        <v>31</v>
      </c>
      <c r="F33" s="4"/>
      <c r="G33" s="4"/>
      <c r="H33" s="4"/>
      <c r="I33" s="4"/>
      <c r="J33" s="4"/>
      <c r="K33" s="9"/>
      <c r="L33" s="76"/>
      <c r="M33" s="76"/>
      <c r="N33" s="76"/>
      <c r="O33" s="76"/>
      <c r="P33" s="4">
        <v>-3000000</v>
      </c>
      <c r="Q33" s="9">
        <f t="shared" si="45"/>
        <v>-3000000</v>
      </c>
      <c r="R33" s="20"/>
      <c r="S33" s="20"/>
      <c r="T33" s="4"/>
      <c r="U33" s="23"/>
      <c r="V33" s="23"/>
      <c r="W33" s="9">
        <f t="shared" si="46"/>
        <v>0</v>
      </c>
      <c r="X33" s="20"/>
      <c r="Y33" s="20"/>
      <c r="Z33" s="20"/>
      <c r="AA33" s="20"/>
      <c r="AB33" s="20"/>
      <c r="AC33" s="21">
        <f t="shared" si="47"/>
        <v>0</v>
      </c>
      <c r="AD33" s="25"/>
      <c r="AE33" s="20"/>
      <c r="AF33" s="21">
        <f t="shared" si="48"/>
        <v>0</v>
      </c>
      <c r="AG33" s="25"/>
      <c r="AH33" s="20"/>
      <c r="AI33" s="21">
        <f t="shared" si="49"/>
        <v>0</v>
      </c>
      <c r="AJ33" s="25"/>
      <c r="AK33" s="25"/>
      <c r="AL33" s="25"/>
      <c r="AM33" s="25"/>
      <c r="AN33" s="20"/>
      <c r="AO33" s="21">
        <f t="shared" si="50"/>
        <v>0</v>
      </c>
      <c r="AP33" s="4">
        <f t="shared" si="51"/>
        <v>0</v>
      </c>
      <c r="AQ33" s="4">
        <f t="shared" si="51"/>
        <v>0</v>
      </c>
      <c r="AR33" s="4">
        <f t="shared" si="51"/>
        <v>0</v>
      </c>
      <c r="AS33" s="4">
        <f t="shared" si="52"/>
        <v>0</v>
      </c>
      <c r="AT33" s="94">
        <f t="shared" si="52"/>
        <v>-3000000</v>
      </c>
      <c r="AU33" s="9">
        <f t="shared" si="53"/>
        <v>-3000000</v>
      </c>
    </row>
    <row r="34" spans="1:47" s="38" customFormat="1">
      <c r="A34" s="34"/>
      <c r="B34" s="34"/>
      <c r="C34" s="35" t="s">
        <v>107</v>
      </c>
      <c r="D34" s="37"/>
      <c r="E34" s="37"/>
      <c r="F34" s="37">
        <f>SUM(F30:F33)</f>
        <v>0</v>
      </c>
      <c r="G34" s="37">
        <f t="shared" ref="G34:AU34" si="54">SUM(G30:G33)</f>
        <v>155000</v>
      </c>
      <c r="H34" s="37">
        <f t="shared" si="54"/>
        <v>458933</v>
      </c>
      <c r="I34" s="37">
        <f t="shared" si="54"/>
        <v>172000</v>
      </c>
      <c r="J34" s="37">
        <f t="shared" si="54"/>
        <v>0</v>
      </c>
      <c r="K34" s="37">
        <f t="shared" si="54"/>
        <v>785933</v>
      </c>
      <c r="L34" s="37">
        <f t="shared" si="54"/>
        <v>0</v>
      </c>
      <c r="M34" s="37">
        <f t="shared" si="54"/>
        <v>0</v>
      </c>
      <c r="N34" s="37">
        <f t="shared" si="54"/>
        <v>1110000</v>
      </c>
      <c r="O34" s="37">
        <f t="shared" si="54"/>
        <v>200000</v>
      </c>
      <c r="P34" s="37">
        <f t="shared" si="54"/>
        <v>-3000000</v>
      </c>
      <c r="Q34" s="37">
        <f t="shared" si="54"/>
        <v>-1690000</v>
      </c>
      <c r="R34" s="37">
        <f t="shared" si="54"/>
        <v>0</v>
      </c>
      <c r="S34" s="37">
        <f t="shared" si="54"/>
        <v>605000</v>
      </c>
      <c r="T34" s="37">
        <f t="shared" si="54"/>
        <v>782000</v>
      </c>
      <c r="U34" s="37">
        <f t="shared" si="54"/>
        <v>480000</v>
      </c>
      <c r="V34" s="37">
        <f t="shared" si="54"/>
        <v>0</v>
      </c>
      <c r="W34" s="37">
        <f t="shared" si="54"/>
        <v>1867000</v>
      </c>
      <c r="X34" s="37">
        <f t="shared" si="54"/>
        <v>0</v>
      </c>
      <c r="Y34" s="37">
        <f t="shared" si="54"/>
        <v>322500</v>
      </c>
      <c r="Z34" s="37">
        <f t="shared" si="54"/>
        <v>122950</v>
      </c>
      <c r="AA34" s="37">
        <f t="shared" si="54"/>
        <v>0</v>
      </c>
      <c r="AB34" s="37">
        <f t="shared" si="54"/>
        <v>0</v>
      </c>
      <c r="AC34" s="37">
        <f t="shared" si="54"/>
        <v>445450</v>
      </c>
      <c r="AD34" s="37">
        <f t="shared" si="54"/>
        <v>0</v>
      </c>
      <c r="AE34" s="37">
        <f t="shared" si="54"/>
        <v>0</v>
      </c>
      <c r="AF34" s="37">
        <f t="shared" si="54"/>
        <v>0</v>
      </c>
      <c r="AG34" s="37">
        <f t="shared" si="54"/>
        <v>0</v>
      </c>
      <c r="AH34" s="37">
        <f t="shared" si="54"/>
        <v>0</v>
      </c>
      <c r="AI34" s="37">
        <f t="shared" si="54"/>
        <v>0</v>
      </c>
      <c r="AJ34" s="37">
        <f t="shared" si="54"/>
        <v>0</v>
      </c>
      <c r="AK34" s="37">
        <f t="shared" si="54"/>
        <v>100000</v>
      </c>
      <c r="AL34" s="37">
        <f t="shared" si="54"/>
        <v>276000</v>
      </c>
      <c r="AM34" s="37">
        <f t="shared" si="54"/>
        <v>0</v>
      </c>
      <c r="AN34" s="37">
        <f t="shared" si="54"/>
        <v>0</v>
      </c>
      <c r="AO34" s="37">
        <f t="shared" si="54"/>
        <v>376000</v>
      </c>
      <c r="AP34" s="37">
        <f t="shared" si="54"/>
        <v>0</v>
      </c>
      <c r="AQ34" s="37">
        <f t="shared" si="54"/>
        <v>1182500</v>
      </c>
      <c r="AR34" s="37">
        <f t="shared" si="54"/>
        <v>2749883</v>
      </c>
      <c r="AS34" s="37">
        <f t="shared" si="54"/>
        <v>852000</v>
      </c>
      <c r="AT34" s="37">
        <f t="shared" si="54"/>
        <v>-3000000</v>
      </c>
      <c r="AU34" s="37">
        <f t="shared" si="54"/>
        <v>1784383</v>
      </c>
    </row>
    <row r="35" spans="1:47">
      <c r="A35" s="185" t="s">
        <v>108</v>
      </c>
      <c r="B35" s="8">
        <v>1</v>
      </c>
      <c r="C35" s="1" t="s">
        <v>110</v>
      </c>
      <c r="D35" s="4" t="s">
        <v>108</v>
      </c>
      <c r="E35" s="4" t="s">
        <v>108</v>
      </c>
      <c r="F35" s="4">
        <v>155000</v>
      </c>
      <c r="G35" s="4">
        <v>368500</v>
      </c>
      <c r="H35" s="4">
        <f>44000+22000+8000+140000</f>
        <v>214000</v>
      </c>
      <c r="I35" s="4">
        <v>180000</v>
      </c>
      <c r="J35" s="4"/>
      <c r="K35" s="9">
        <f t="shared" ref="K35:K43" si="55">SUM(F35:J35)</f>
        <v>917500</v>
      </c>
      <c r="L35" s="4"/>
      <c r="M35" s="4"/>
      <c r="N35" s="4"/>
      <c r="O35" s="4"/>
      <c r="P35" s="4"/>
      <c r="Q35" s="9">
        <f t="shared" ref="Q35:Q43" si="56">SUM(L35:P35)</f>
        <v>0</v>
      </c>
      <c r="R35" s="20"/>
      <c r="S35" s="20"/>
      <c r="T35" s="20"/>
      <c r="U35" s="20"/>
      <c r="V35" s="20"/>
      <c r="W35" s="9">
        <f t="shared" ref="W35:W43" si="57">SUM(R35:V35)</f>
        <v>0</v>
      </c>
      <c r="X35" s="20"/>
      <c r="Y35" s="20"/>
      <c r="Z35" s="20"/>
      <c r="AA35" s="20"/>
      <c r="AB35" s="20"/>
      <c r="AC35" s="21">
        <f t="shared" ref="AC35:AC43" si="58">SUM(X35:AB35)</f>
        <v>0</v>
      </c>
      <c r="AD35" s="25"/>
      <c r="AE35" s="20"/>
      <c r="AF35" s="21">
        <f t="shared" ref="AF35:AF43" si="59">SUM(AD35:AE35)</f>
        <v>0</v>
      </c>
      <c r="AG35" s="25"/>
      <c r="AH35" s="20"/>
      <c r="AI35" s="21">
        <f t="shared" ref="AI35:AI43" si="60">SUM(AG35:AH35)</f>
        <v>0</v>
      </c>
      <c r="AJ35" s="25"/>
      <c r="AK35" s="25"/>
      <c r="AL35" s="25"/>
      <c r="AM35" s="25"/>
      <c r="AN35" s="20"/>
      <c r="AO35" s="21">
        <f t="shared" ref="AO35:AO43" si="61">SUM(AJ35:AN35)</f>
        <v>0</v>
      </c>
      <c r="AP35" s="4">
        <f t="shared" ref="AP35:AR43" si="62">F35+L35+R35+X35+AJ35</f>
        <v>155000</v>
      </c>
      <c r="AQ35" s="4">
        <f t="shared" si="62"/>
        <v>368500</v>
      </c>
      <c r="AR35" s="4">
        <f t="shared" si="62"/>
        <v>214000</v>
      </c>
      <c r="AS35" s="4">
        <f t="shared" ref="AS35:AT43" si="63">I35+O35+U35+AA35+AD35+AG35+AM35</f>
        <v>180000</v>
      </c>
      <c r="AT35" s="94">
        <f t="shared" si="63"/>
        <v>0</v>
      </c>
      <c r="AU35" s="9">
        <f t="shared" ref="AU35:AU43" si="64">SUM(AP35:AT35)</f>
        <v>917500</v>
      </c>
    </row>
    <row r="36" spans="1:47" ht="31.5">
      <c r="A36" s="186"/>
      <c r="B36" s="8">
        <v>2</v>
      </c>
      <c r="C36" s="1" t="s">
        <v>111</v>
      </c>
      <c r="D36" s="4" t="s">
        <v>108</v>
      </c>
      <c r="E36" s="4" t="s">
        <v>108</v>
      </c>
      <c r="F36" s="4"/>
      <c r="G36" s="4"/>
      <c r="H36" s="4"/>
      <c r="I36" s="4"/>
      <c r="J36" s="4"/>
      <c r="K36" s="9">
        <f t="shared" si="55"/>
        <v>0</v>
      </c>
      <c r="L36" s="4"/>
      <c r="M36" s="4"/>
      <c r="N36" s="4"/>
      <c r="O36" s="4"/>
      <c r="P36" s="4"/>
      <c r="Q36" s="9">
        <f t="shared" si="56"/>
        <v>0</v>
      </c>
      <c r="R36" s="20"/>
      <c r="S36" s="20"/>
      <c r="T36" s="20"/>
      <c r="U36" s="20"/>
      <c r="V36" s="20"/>
      <c r="W36" s="9">
        <f t="shared" si="57"/>
        <v>0</v>
      </c>
      <c r="X36" s="20"/>
      <c r="Y36" s="24">
        <v>354300</v>
      </c>
      <c r="Z36" s="24">
        <f>32950+112000</f>
        <v>144950</v>
      </c>
      <c r="AA36" s="24"/>
      <c r="AB36" s="20"/>
      <c r="AC36" s="21">
        <f t="shared" si="58"/>
        <v>499250</v>
      </c>
      <c r="AD36" s="25"/>
      <c r="AE36" s="20"/>
      <c r="AF36" s="21">
        <f t="shared" si="59"/>
        <v>0</v>
      </c>
      <c r="AG36" s="25"/>
      <c r="AH36" s="20"/>
      <c r="AI36" s="21">
        <f t="shared" si="60"/>
        <v>0</v>
      </c>
      <c r="AJ36" s="25"/>
      <c r="AK36" s="25"/>
      <c r="AL36" s="25"/>
      <c r="AM36" s="25"/>
      <c r="AN36" s="20"/>
      <c r="AO36" s="21">
        <f t="shared" si="61"/>
        <v>0</v>
      </c>
      <c r="AP36" s="4">
        <f t="shared" si="62"/>
        <v>0</v>
      </c>
      <c r="AQ36" s="4">
        <f t="shared" si="62"/>
        <v>354300</v>
      </c>
      <c r="AR36" s="4">
        <f t="shared" si="62"/>
        <v>144950</v>
      </c>
      <c r="AS36" s="4">
        <f t="shared" si="63"/>
        <v>0</v>
      </c>
      <c r="AT36" s="94">
        <f t="shared" si="63"/>
        <v>0</v>
      </c>
      <c r="AU36" s="9">
        <f t="shared" si="64"/>
        <v>499250</v>
      </c>
    </row>
    <row r="37" spans="1:47">
      <c r="A37" s="186"/>
      <c r="B37" s="8">
        <v>3</v>
      </c>
      <c r="C37" s="40" t="s">
        <v>112</v>
      </c>
      <c r="D37" s="4" t="s">
        <v>108</v>
      </c>
      <c r="E37" s="4" t="s">
        <v>108</v>
      </c>
      <c r="F37" s="4"/>
      <c r="G37" s="4"/>
      <c r="H37" s="4"/>
      <c r="I37" s="4"/>
      <c r="J37" s="4"/>
      <c r="K37" s="9">
        <f t="shared" si="55"/>
        <v>0</v>
      </c>
      <c r="L37" s="76">
        <v>290000</v>
      </c>
      <c r="M37" s="76">
        <v>2200000</v>
      </c>
      <c r="N37" s="76">
        <v>1200000</v>
      </c>
      <c r="O37" s="76">
        <v>700000</v>
      </c>
      <c r="P37" s="4">
        <f>280000+150000+150000+150000</f>
        <v>730000</v>
      </c>
      <c r="Q37" s="9">
        <f t="shared" si="56"/>
        <v>5120000</v>
      </c>
      <c r="R37" s="20"/>
      <c r="S37" s="20"/>
      <c r="T37" s="20"/>
      <c r="U37" s="20"/>
      <c r="V37" s="20"/>
      <c r="W37" s="9">
        <f t="shared" si="57"/>
        <v>0</v>
      </c>
      <c r="X37" s="20"/>
      <c r="Y37" s="24"/>
      <c r="Z37" s="24"/>
      <c r="AA37" s="24"/>
      <c r="AB37" s="20"/>
      <c r="AC37" s="21">
        <f t="shared" si="58"/>
        <v>0</v>
      </c>
      <c r="AD37" s="25"/>
      <c r="AE37" s="20"/>
      <c r="AF37" s="21">
        <f t="shared" si="59"/>
        <v>0</v>
      </c>
      <c r="AG37" s="25"/>
      <c r="AH37" s="20"/>
      <c r="AI37" s="21">
        <f t="shared" si="60"/>
        <v>0</v>
      </c>
      <c r="AJ37" s="25"/>
      <c r="AK37" s="25"/>
      <c r="AL37" s="25"/>
      <c r="AM37" s="25"/>
      <c r="AN37" s="20"/>
      <c r="AO37" s="21">
        <f t="shared" si="61"/>
        <v>0</v>
      </c>
      <c r="AP37" s="4">
        <f t="shared" si="62"/>
        <v>290000</v>
      </c>
      <c r="AQ37" s="4">
        <f t="shared" si="62"/>
        <v>2200000</v>
      </c>
      <c r="AR37" s="4">
        <f t="shared" si="62"/>
        <v>1200000</v>
      </c>
      <c r="AS37" s="4">
        <f t="shared" si="63"/>
        <v>700000</v>
      </c>
      <c r="AT37" s="94">
        <f t="shared" si="63"/>
        <v>730000</v>
      </c>
      <c r="AU37" s="9">
        <f t="shared" si="64"/>
        <v>5120000</v>
      </c>
    </row>
    <row r="38" spans="1:47">
      <c r="A38" s="186"/>
      <c r="B38" s="8">
        <v>4</v>
      </c>
      <c r="C38" s="1" t="s">
        <v>113</v>
      </c>
      <c r="D38" s="41" t="s">
        <v>114</v>
      </c>
      <c r="E38" s="4" t="s">
        <v>108</v>
      </c>
      <c r="F38" s="4"/>
      <c r="G38" s="4"/>
      <c r="H38" s="4"/>
      <c r="I38" s="4"/>
      <c r="J38" s="4"/>
      <c r="K38" s="9">
        <f t="shared" si="55"/>
        <v>0</v>
      </c>
      <c r="L38" s="4"/>
      <c r="M38" s="4"/>
      <c r="N38" s="4"/>
      <c r="O38" s="4"/>
      <c r="P38" s="4"/>
      <c r="Q38" s="9">
        <f t="shared" si="56"/>
        <v>0</v>
      </c>
      <c r="R38" s="20"/>
      <c r="S38" s="20"/>
      <c r="T38" s="20"/>
      <c r="U38" s="20"/>
      <c r="V38" s="20"/>
      <c r="W38" s="9">
        <f t="shared" si="57"/>
        <v>0</v>
      </c>
      <c r="X38" s="20"/>
      <c r="Y38" s="24"/>
      <c r="Z38" s="24">
        <v>199000</v>
      </c>
      <c r="AA38" s="24">
        <v>92000</v>
      </c>
      <c r="AB38" s="20"/>
      <c r="AC38" s="21">
        <f t="shared" si="58"/>
        <v>291000</v>
      </c>
      <c r="AD38" s="25"/>
      <c r="AE38" s="20"/>
      <c r="AF38" s="21">
        <f t="shared" si="59"/>
        <v>0</v>
      </c>
      <c r="AG38" s="25"/>
      <c r="AH38" s="20"/>
      <c r="AI38" s="21">
        <f t="shared" si="60"/>
        <v>0</v>
      </c>
      <c r="AJ38" s="25"/>
      <c r="AK38" s="25"/>
      <c r="AL38" s="25"/>
      <c r="AM38" s="25"/>
      <c r="AN38" s="20"/>
      <c r="AO38" s="21">
        <f t="shared" si="61"/>
        <v>0</v>
      </c>
      <c r="AP38" s="4">
        <f t="shared" si="62"/>
        <v>0</v>
      </c>
      <c r="AQ38" s="4">
        <f t="shared" si="62"/>
        <v>0</v>
      </c>
      <c r="AR38" s="4">
        <f t="shared" si="62"/>
        <v>199000</v>
      </c>
      <c r="AS38" s="4">
        <f t="shared" si="63"/>
        <v>92000</v>
      </c>
      <c r="AT38" s="94">
        <f t="shared" si="63"/>
        <v>0</v>
      </c>
      <c r="AU38" s="9">
        <f t="shared" si="64"/>
        <v>291000</v>
      </c>
    </row>
    <row r="39" spans="1:47">
      <c r="A39" s="186"/>
      <c r="B39" s="8">
        <v>5</v>
      </c>
      <c r="C39" s="1" t="s">
        <v>115</v>
      </c>
      <c r="D39" s="4" t="s">
        <v>116</v>
      </c>
      <c r="E39" s="4" t="s">
        <v>108</v>
      </c>
      <c r="F39" s="4">
        <v>155000</v>
      </c>
      <c r="G39" s="4">
        <v>395500</v>
      </c>
      <c r="H39" s="4">
        <v>303500</v>
      </c>
      <c r="I39" s="4">
        <f>60000+20000</f>
        <v>80000</v>
      </c>
      <c r="J39" s="4"/>
      <c r="K39" s="9">
        <f t="shared" si="55"/>
        <v>934000</v>
      </c>
      <c r="L39" s="4"/>
      <c r="M39" s="4"/>
      <c r="N39" s="4"/>
      <c r="O39" s="4"/>
      <c r="P39" s="4"/>
      <c r="Q39" s="9">
        <f t="shared" si="56"/>
        <v>0</v>
      </c>
      <c r="R39" s="20">
        <v>290000</v>
      </c>
      <c r="S39" s="22">
        <v>364000</v>
      </c>
      <c r="T39" s="4">
        <v>404000</v>
      </c>
      <c r="U39" s="22">
        <v>248000</v>
      </c>
      <c r="V39" s="22"/>
      <c r="W39" s="9">
        <f t="shared" si="57"/>
        <v>1306000</v>
      </c>
      <c r="X39" s="20">
        <v>195000</v>
      </c>
      <c r="Y39" s="24">
        <f>438600+4000</f>
        <v>442600</v>
      </c>
      <c r="Z39" s="24">
        <v>449800</v>
      </c>
      <c r="AA39" s="24">
        <v>150000</v>
      </c>
      <c r="AB39" s="20"/>
      <c r="AC39" s="21">
        <f t="shared" si="58"/>
        <v>1237400</v>
      </c>
      <c r="AD39" s="25">
        <v>409500</v>
      </c>
      <c r="AE39" s="20">
        <f>154000+241500+147000</f>
        <v>542500</v>
      </c>
      <c r="AF39" s="21">
        <f t="shared" si="59"/>
        <v>952000</v>
      </c>
      <c r="AG39" s="25"/>
      <c r="AH39" s="20"/>
      <c r="AI39" s="21">
        <f t="shared" si="60"/>
        <v>0</v>
      </c>
      <c r="AJ39" s="25"/>
      <c r="AK39" s="25"/>
      <c r="AL39" s="25">
        <v>100000</v>
      </c>
      <c r="AM39" s="25"/>
      <c r="AN39" s="20"/>
      <c r="AO39" s="21">
        <f t="shared" si="61"/>
        <v>100000</v>
      </c>
      <c r="AP39" s="4">
        <f t="shared" si="62"/>
        <v>640000</v>
      </c>
      <c r="AQ39" s="4">
        <f t="shared" si="62"/>
        <v>1202100</v>
      </c>
      <c r="AR39" s="4">
        <f t="shared" si="62"/>
        <v>1257300</v>
      </c>
      <c r="AS39" s="4">
        <f t="shared" si="63"/>
        <v>887500</v>
      </c>
      <c r="AT39" s="94">
        <f t="shared" si="63"/>
        <v>542500</v>
      </c>
      <c r="AU39" s="9">
        <f t="shared" si="64"/>
        <v>4529400</v>
      </c>
    </row>
    <row r="40" spans="1:47">
      <c r="A40" s="186"/>
      <c r="B40" s="8">
        <v>6</v>
      </c>
      <c r="C40" s="1" t="s">
        <v>115</v>
      </c>
      <c r="D40" s="4" t="s">
        <v>116</v>
      </c>
      <c r="E40" s="4" t="s">
        <v>108</v>
      </c>
      <c r="F40" s="4"/>
      <c r="G40" s="4"/>
      <c r="H40" s="4"/>
      <c r="I40" s="4"/>
      <c r="J40" s="4"/>
      <c r="K40" s="9">
        <f t="shared" si="55"/>
        <v>0</v>
      </c>
      <c r="L40" s="4"/>
      <c r="M40" s="4"/>
      <c r="N40" s="4"/>
      <c r="O40" s="4"/>
      <c r="P40" s="4"/>
      <c r="Q40" s="9">
        <f t="shared" si="56"/>
        <v>0</v>
      </c>
      <c r="R40" s="20"/>
      <c r="S40" s="26"/>
      <c r="T40" s="22"/>
      <c r="U40" s="22"/>
      <c r="V40" s="22"/>
      <c r="W40" s="9">
        <f t="shared" si="57"/>
        <v>0</v>
      </c>
      <c r="X40" s="20"/>
      <c r="Y40" s="24">
        <v>195000</v>
      </c>
      <c r="Z40" s="24"/>
      <c r="AA40" s="24"/>
      <c r="AB40" s="20"/>
      <c r="AC40" s="21">
        <f t="shared" si="58"/>
        <v>195000</v>
      </c>
      <c r="AD40" s="25"/>
      <c r="AE40" s="20"/>
      <c r="AF40" s="21">
        <f t="shared" si="59"/>
        <v>0</v>
      </c>
      <c r="AG40" s="25"/>
      <c r="AH40" s="20"/>
      <c r="AI40" s="21">
        <f t="shared" si="60"/>
        <v>0</v>
      </c>
      <c r="AJ40" s="25"/>
      <c r="AK40" s="25"/>
      <c r="AL40" s="25"/>
      <c r="AM40" s="25"/>
      <c r="AN40" s="20"/>
      <c r="AO40" s="21">
        <f t="shared" si="61"/>
        <v>0</v>
      </c>
      <c r="AP40" s="4">
        <f t="shared" si="62"/>
        <v>0</v>
      </c>
      <c r="AQ40" s="4">
        <f t="shared" si="62"/>
        <v>195000</v>
      </c>
      <c r="AR40" s="4">
        <f t="shared" si="62"/>
        <v>0</v>
      </c>
      <c r="AS40" s="4">
        <f t="shared" si="63"/>
        <v>0</v>
      </c>
      <c r="AT40" s="94">
        <f t="shared" si="63"/>
        <v>0</v>
      </c>
      <c r="AU40" s="9">
        <f t="shared" si="64"/>
        <v>195000</v>
      </c>
    </row>
    <row r="41" spans="1:47" ht="31.5">
      <c r="A41" s="186"/>
      <c r="B41" s="8">
        <v>7</v>
      </c>
      <c r="C41" s="1" t="s">
        <v>117</v>
      </c>
      <c r="D41" s="4" t="s">
        <v>114</v>
      </c>
      <c r="E41" s="4" t="s">
        <v>108</v>
      </c>
      <c r="F41" s="4"/>
      <c r="G41" s="4"/>
      <c r="H41" s="4"/>
      <c r="I41" s="4"/>
      <c r="J41" s="4"/>
      <c r="K41" s="9">
        <f t="shared" si="55"/>
        <v>0</v>
      </c>
      <c r="L41" s="76"/>
      <c r="M41" s="76">
        <v>290000</v>
      </c>
      <c r="N41" s="76">
        <v>-290000</v>
      </c>
      <c r="O41" s="76">
        <v>913500</v>
      </c>
      <c r="P41" s="4"/>
      <c r="Q41" s="9">
        <f t="shared" si="56"/>
        <v>913500</v>
      </c>
      <c r="R41" s="20"/>
      <c r="S41" s="20"/>
      <c r="T41" s="20"/>
      <c r="U41" s="20"/>
      <c r="V41" s="20"/>
      <c r="W41" s="9">
        <f t="shared" si="57"/>
        <v>0</v>
      </c>
      <c r="X41" s="20"/>
      <c r="Y41" s="24"/>
      <c r="Z41" s="24"/>
      <c r="AA41" s="24"/>
      <c r="AB41" s="20"/>
      <c r="AC41" s="21">
        <f t="shared" si="58"/>
        <v>0</v>
      </c>
      <c r="AD41" s="25"/>
      <c r="AE41" s="20"/>
      <c r="AF41" s="21">
        <f t="shared" si="59"/>
        <v>0</v>
      </c>
      <c r="AG41" s="25"/>
      <c r="AH41" s="20"/>
      <c r="AI41" s="21">
        <f t="shared" si="60"/>
        <v>0</v>
      </c>
      <c r="AJ41" s="25"/>
      <c r="AK41" s="25"/>
      <c r="AL41" s="25"/>
      <c r="AM41" s="25"/>
      <c r="AN41" s="20"/>
      <c r="AO41" s="21">
        <f t="shared" si="61"/>
        <v>0</v>
      </c>
      <c r="AP41" s="4">
        <f t="shared" si="62"/>
        <v>0</v>
      </c>
      <c r="AQ41" s="4">
        <f t="shared" si="62"/>
        <v>290000</v>
      </c>
      <c r="AR41" s="4">
        <f t="shared" si="62"/>
        <v>-290000</v>
      </c>
      <c r="AS41" s="4">
        <f t="shared" si="63"/>
        <v>913500</v>
      </c>
      <c r="AT41" s="94">
        <f t="shared" si="63"/>
        <v>0</v>
      </c>
      <c r="AU41" s="9">
        <f t="shared" si="64"/>
        <v>913500</v>
      </c>
    </row>
    <row r="42" spans="1:47">
      <c r="A42" s="186"/>
      <c r="B42" s="8">
        <v>8</v>
      </c>
      <c r="C42" s="1" t="s">
        <v>118</v>
      </c>
      <c r="D42" s="4" t="s">
        <v>108</v>
      </c>
      <c r="E42" s="4" t="s">
        <v>108</v>
      </c>
      <c r="F42" s="4"/>
      <c r="G42" s="4"/>
      <c r="H42" s="4">
        <f>155000+40000</f>
        <v>195000</v>
      </c>
      <c r="I42" s="4">
        <v>371000</v>
      </c>
      <c r="J42" s="4">
        <f>40500+87500+100500+100500+49000</f>
        <v>378000</v>
      </c>
      <c r="K42" s="9">
        <f t="shared" si="55"/>
        <v>944000</v>
      </c>
      <c r="L42" s="4"/>
      <c r="M42" s="4"/>
      <c r="N42" s="4"/>
      <c r="O42" s="4"/>
      <c r="P42" s="4"/>
      <c r="Q42" s="9">
        <f t="shared" si="56"/>
        <v>0</v>
      </c>
      <c r="R42" s="20"/>
      <c r="S42" s="20"/>
      <c r="T42" s="20"/>
      <c r="U42" s="20"/>
      <c r="V42" s="20"/>
      <c r="W42" s="9">
        <f t="shared" si="57"/>
        <v>0</v>
      </c>
      <c r="X42" s="20"/>
      <c r="Y42" s="20"/>
      <c r="Z42" s="20"/>
      <c r="AA42" s="20"/>
      <c r="AB42" s="20"/>
      <c r="AC42" s="21">
        <f t="shared" si="58"/>
        <v>0</v>
      </c>
      <c r="AD42" s="25"/>
      <c r="AE42" s="20"/>
      <c r="AF42" s="21">
        <f t="shared" si="59"/>
        <v>0</v>
      </c>
      <c r="AG42" s="25"/>
      <c r="AH42" s="20"/>
      <c r="AI42" s="21">
        <f t="shared" si="60"/>
        <v>0</v>
      </c>
      <c r="AJ42" s="25"/>
      <c r="AK42" s="25"/>
      <c r="AL42" s="25"/>
      <c r="AM42" s="25"/>
      <c r="AN42" s="20"/>
      <c r="AO42" s="21">
        <f t="shared" si="61"/>
        <v>0</v>
      </c>
      <c r="AP42" s="4">
        <f t="shared" si="62"/>
        <v>0</v>
      </c>
      <c r="AQ42" s="4">
        <f t="shared" si="62"/>
        <v>0</v>
      </c>
      <c r="AR42" s="4">
        <f t="shared" si="62"/>
        <v>195000</v>
      </c>
      <c r="AS42" s="4">
        <f t="shared" si="63"/>
        <v>371000</v>
      </c>
      <c r="AT42" s="94">
        <f t="shared" si="63"/>
        <v>378000</v>
      </c>
      <c r="AU42" s="9">
        <f t="shared" si="64"/>
        <v>944000</v>
      </c>
    </row>
    <row r="43" spans="1:47">
      <c r="A43" s="187"/>
      <c r="B43" s="8">
        <v>9</v>
      </c>
      <c r="C43" s="1" t="s">
        <v>121</v>
      </c>
      <c r="D43" s="4" t="s">
        <v>108</v>
      </c>
      <c r="E43" s="4" t="s">
        <v>108</v>
      </c>
      <c r="F43" s="4"/>
      <c r="G43" s="4">
        <v>155000</v>
      </c>
      <c r="H43" s="4">
        <v>44000</v>
      </c>
      <c r="I43" s="4"/>
      <c r="J43" s="4"/>
      <c r="K43" s="9">
        <f t="shared" si="55"/>
        <v>199000</v>
      </c>
      <c r="L43" s="4"/>
      <c r="M43" s="4"/>
      <c r="N43" s="4"/>
      <c r="O43" s="4"/>
      <c r="P43" s="4"/>
      <c r="Q43" s="9">
        <f t="shared" si="56"/>
        <v>0</v>
      </c>
      <c r="R43" s="20"/>
      <c r="S43" s="20"/>
      <c r="T43" s="20"/>
      <c r="U43" s="20"/>
      <c r="V43" s="20"/>
      <c r="W43" s="9">
        <f t="shared" si="57"/>
        <v>0</v>
      </c>
      <c r="X43" s="20"/>
      <c r="Y43" s="20">
        <v>195000</v>
      </c>
      <c r="Z43" s="24">
        <v>188250</v>
      </c>
      <c r="AA43" s="24"/>
      <c r="AB43" s="20"/>
      <c r="AC43" s="21">
        <f t="shared" si="58"/>
        <v>383250</v>
      </c>
      <c r="AD43" s="25"/>
      <c r="AE43" s="20"/>
      <c r="AF43" s="21">
        <f t="shared" si="59"/>
        <v>0</v>
      </c>
      <c r="AG43" s="25"/>
      <c r="AH43" s="20"/>
      <c r="AI43" s="21">
        <f t="shared" si="60"/>
        <v>0</v>
      </c>
      <c r="AJ43" s="25"/>
      <c r="AK43" s="25"/>
      <c r="AL43" s="25"/>
      <c r="AM43" s="25"/>
      <c r="AN43" s="20"/>
      <c r="AO43" s="21">
        <f t="shared" si="61"/>
        <v>0</v>
      </c>
      <c r="AP43" s="4">
        <f t="shared" si="62"/>
        <v>0</v>
      </c>
      <c r="AQ43" s="4">
        <f t="shared" si="62"/>
        <v>350000</v>
      </c>
      <c r="AR43" s="4">
        <f t="shared" si="62"/>
        <v>232250</v>
      </c>
      <c r="AS43" s="4">
        <f t="shared" si="63"/>
        <v>0</v>
      </c>
      <c r="AT43" s="94">
        <f t="shared" si="63"/>
        <v>0</v>
      </c>
      <c r="AU43" s="9">
        <f t="shared" si="64"/>
        <v>582250</v>
      </c>
    </row>
    <row r="44" spans="1:47" s="38" customFormat="1">
      <c r="A44" s="34"/>
      <c r="B44" s="34"/>
      <c r="C44" s="35" t="s">
        <v>122</v>
      </c>
      <c r="D44" s="37"/>
      <c r="E44" s="37"/>
      <c r="F44" s="37">
        <f t="shared" ref="F44:AU44" si="65">SUM(F35:F43)</f>
        <v>310000</v>
      </c>
      <c r="G44" s="37">
        <f t="shared" si="65"/>
        <v>919000</v>
      </c>
      <c r="H44" s="37">
        <f t="shared" si="65"/>
        <v>756500</v>
      </c>
      <c r="I44" s="37">
        <f t="shared" si="65"/>
        <v>631000</v>
      </c>
      <c r="J44" s="37">
        <f t="shared" si="65"/>
        <v>378000</v>
      </c>
      <c r="K44" s="37">
        <f t="shared" si="65"/>
        <v>2994500</v>
      </c>
      <c r="L44" s="37">
        <f t="shared" si="65"/>
        <v>290000</v>
      </c>
      <c r="M44" s="37">
        <f t="shared" si="65"/>
        <v>2490000</v>
      </c>
      <c r="N44" s="37">
        <f t="shared" si="65"/>
        <v>910000</v>
      </c>
      <c r="O44" s="37">
        <f t="shared" si="65"/>
        <v>1613500</v>
      </c>
      <c r="P44" s="37">
        <f t="shared" si="65"/>
        <v>730000</v>
      </c>
      <c r="Q44" s="37">
        <f t="shared" si="65"/>
        <v>6033500</v>
      </c>
      <c r="R44" s="37">
        <f t="shared" si="65"/>
        <v>290000</v>
      </c>
      <c r="S44" s="37">
        <f t="shared" si="65"/>
        <v>364000</v>
      </c>
      <c r="T44" s="37">
        <f t="shared" si="65"/>
        <v>404000</v>
      </c>
      <c r="U44" s="37">
        <f t="shared" si="65"/>
        <v>248000</v>
      </c>
      <c r="V44" s="37">
        <f t="shared" si="65"/>
        <v>0</v>
      </c>
      <c r="W44" s="37">
        <f t="shared" si="65"/>
        <v>1306000</v>
      </c>
      <c r="X44" s="37">
        <f t="shared" si="65"/>
        <v>195000</v>
      </c>
      <c r="Y44" s="37">
        <f t="shared" si="65"/>
        <v>1186900</v>
      </c>
      <c r="Z44" s="37">
        <f t="shared" si="65"/>
        <v>982000</v>
      </c>
      <c r="AA44" s="37">
        <f t="shared" si="65"/>
        <v>242000</v>
      </c>
      <c r="AB44" s="37">
        <f t="shared" si="65"/>
        <v>0</v>
      </c>
      <c r="AC44" s="37">
        <f t="shared" si="65"/>
        <v>2605900</v>
      </c>
      <c r="AD44" s="37">
        <f t="shared" si="65"/>
        <v>409500</v>
      </c>
      <c r="AE44" s="37">
        <f t="shared" si="65"/>
        <v>542500</v>
      </c>
      <c r="AF44" s="37">
        <f t="shared" si="65"/>
        <v>952000</v>
      </c>
      <c r="AG44" s="37">
        <f t="shared" si="65"/>
        <v>0</v>
      </c>
      <c r="AH44" s="37">
        <f t="shared" si="65"/>
        <v>0</v>
      </c>
      <c r="AI44" s="37">
        <f t="shared" si="65"/>
        <v>0</v>
      </c>
      <c r="AJ44" s="37">
        <f t="shared" si="65"/>
        <v>0</v>
      </c>
      <c r="AK44" s="37">
        <f t="shared" si="65"/>
        <v>0</v>
      </c>
      <c r="AL44" s="37">
        <f t="shared" si="65"/>
        <v>100000</v>
      </c>
      <c r="AM44" s="37">
        <f t="shared" si="65"/>
        <v>0</v>
      </c>
      <c r="AN44" s="37">
        <f t="shared" si="65"/>
        <v>0</v>
      </c>
      <c r="AO44" s="37">
        <f t="shared" si="65"/>
        <v>100000</v>
      </c>
      <c r="AP44" s="37">
        <f t="shared" si="65"/>
        <v>1085000</v>
      </c>
      <c r="AQ44" s="37">
        <f t="shared" si="65"/>
        <v>4959900</v>
      </c>
      <c r="AR44" s="37">
        <f t="shared" si="65"/>
        <v>3152500</v>
      </c>
      <c r="AS44" s="37">
        <f t="shared" si="65"/>
        <v>3144000</v>
      </c>
      <c r="AT44" s="37">
        <f t="shared" si="65"/>
        <v>1650500</v>
      </c>
      <c r="AU44" s="37">
        <f t="shared" si="65"/>
        <v>13991900</v>
      </c>
    </row>
    <row r="45" spans="1:47" ht="31.5">
      <c r="A45" s="185" t="s">
        <v>20</v>
      </c>
      <c r="B45" s="8">
        <v>1</v>
      </c>
      <c r="C45" s="1" t="s">
        <v>123</v>
      </c>
      <c r="D45" s="4" t="s">
        <v>124</v>
      </c>
      <c r="E45" s="4" t="s">
        <v>20</v>
      </c>
      <c r="F45" s="4"/>
      <c r="G45" s="4"/>
      <c r="H45" s="5"/>
      <c r="I45" s="4"/>
      <c r="J45" s="4"/>
      <c r="K45" s="9">
        <f t="shared" ref="K45:K52" si="66">SUM(F45:J45)</f>
        <v>0</v>
      </c>
      <c r="L45" s="4"/>
      <c r="M45" s="4"/>
      <c r="N45" s="4"/>
      <c r="O45" s="4"/>
      <c r="P45" s="4"/>
      <c r="Q45" s="9">
        <f t="shared" ref="Q45:Q52" si="67">SUM(L45:P45)</f>
        <v>0</v>
      </c>
      <c r="R45" s="20"/>
      <c r="S45" s="20"/>
      <c r="T45" s="20"/>
      <c r="U45" s="20"/>
      <c r="V45" s="20"/>
      <c r="W45" s="9">
        <f t="shared" ref="W45:W52" si="68">SUM(R45:V45)</f>
        <v>0</v>
      </c>
      <c r="X45" s="20"/>
      <c r="Y45" s="25">
        <v>481150</v>
      </c>
      <c r="Z45" s="25">
        <f>202300+70000</f>
        <v>272300</v>
      </c>
      <c r="AA45" s="24">
        <v>478000</v>
      </c>
      <c r="AB45" s="20">
        <f>49000+98000+364000+112000</f>
        <v>623000</v>
      </c>
      <c r="AC45" s="21">
        <f t="shared" ref="AC45:AC52" si="69">SUM(X45:AB45)</f>
        <v>1854450</v>
      </c>
      <c r="AD45" s="25">
        <v>0</v>
      </c>
      <c r="AE45" s="20"/>
      <c r="AF45" s="21">
        <f t="shared" ref="AF45:AF52" si="70">SUM(AD45:AE45)</f>
        <v>0</v>
      </c>
      <c r="AG45" s="25"/>
      <c r="AH45" s="20"/>
      <c r="AI45" s="21">
        <f t="shared" ref="AI45:AI52" si="71">SUM(AG45:AH45)</f>
        <v>0</v>
      </c>
      <c r="AJ45" s="25"/>
      <c r="AK45" s="25"/>
      <c r="AL45" s="25"/>
      <c r="AM45" s="25"/>
      <c r="AN45" s="20"/>
      <c r="AO45" s="21">
        <f t="shared" ref="AO45:AO52" si="72">SUM(AJ45:AN45)</f>
        <v>0</v>
      </c>
      <c r="AP45" s="4">
        <f t="shared" ref="AP45:AR52" si="73">F45+L45+R45+X45+AJ45</f>
        <v>0</v>
      </c>
      <c r="AQ45" s="4">
        <f t="shared" si="73"/>
        <v>481150</v>
      </c>
      <c r="AR45" s="4">
        <f t="shared" si="73"/>
        <v>272300</v>
      </c>
      <c r="AS45" s="4">
        <f t="shared" ref="AS45:AT52" si="74">I45+O45+U45+AA45+AD45+AG45+AM45</f>
        <v>478000</v>
      </c>
      <c r="AT45" s="94">
        <f t="shared" si="74"/>
        <v>623000</v>
      </c>
      <c r="AU45" s="9">
        <f t="shared" ref="AU45:AU52" si="75">SUM(AP45:AT45)</f>
        <v>1854450</v>
      </c>
    </row>
    <row r="46" spans="1:47" ht="31.5">
      <c r="A46" s="186"/>
      <c r="B46" s="8">
        <v>2</v>
      </c>
      <c r="C46" s="1" t="s">
        <v>125</v>
      </c>
      <c r="D46" s="4" t="s">
        <v>126</v>
      </c>
      <c r="E46" s="4" t="s">
        <v>20</v>
      </c>
      <c r="F46" s="4">
        <v>155000</v>
      </c>
      <c r="G46" s="4">
        <v>712500</v>
      </c>
      <c r="H46" s="4">
        <f>60500+60500+200000</f>
        <v>321000</v>
      </c>
      <c r="I46" s="4">
        <f>160000+20000</f>
        <v>180000</v>
      </c>
      <c r="J46" s="4"/>
      <c r="K46" s="9">
        <f t="shared" si="66"/>
        <v>1368500</v>
      </c>
      <c r="L46" s="4"/>
      <c r="M46" s="4"/>
      <c r="N46" s="4"/>
      <c r="O46" s="4"/>
      <c r="P46" s="4"/>
      <c r="Q46" s="9">
        <f t="shared" si="67"/>
        <v>0</v>
      </c>
      <c r="R46" s="20"/>
      <c r="S46" s="20"/>
      <c r="T46" s="20"/>
      <c r="U46" s="20"/>
      <c r="V46" s="20"/>
      <c r="W46" s="9">
        <f t="shared" si="68"/>
        <v>0</v>
      </c>
      <c r="X46" s="20">
        <v>195000</v>
      </c>
      <c r="Y46" s="25">
        <v>608650</v>
      </c>
      <c r="Z46" s="25">
        <v>377050</v>
      </c>
      <c r="AA46" s="24">
        <v>40000</v>
      </c>
      <c r="AB46" s="20"/>
      <c r="AC46" s="21">
        <f t="shared" si="69"/>
        <v>1220700</v>
      </c>
      <c r="AD46" s="25">
        <v>770000</v>
      </c>
      <c r="AE46" s="20">
        <f>70000+210000+210000+210000+140000</f>
        <v>840000</v>
      </c>
      <c r="AF46" s="21">
        <f t="shared" si="70"/>
        <v>1610000</v>
      </c>
      <c r="AG46" s="25"/>
      <c r="AH46" s="20"/>
      <c r="AI46" s="21">
        <f t="shared" si="71"/>
        <v>0</v>
      </c>
      <c r="AJ46" s="25"/>
      <c r="AK46" s="25"/>
      <c r="AL46" s="25"/>
      <c r="AM46" s="25"/>
      <c r="AN46" s="20"/>
      <c r="AO46" s="21">
        <f t="shared" si="72"/>
        <v>0</v>
      </c>
      <c r="AP46" s="4">
        <f t="shared" si="73"/>
        <v>350000</v>
      </c>
      <c r="AQ46" s="4">
        <f t="shared" si="73"/>
        <v>1321150</v>
      </c>
      <c r="AR46" s="4">
        <f t="shared" si="73"/>
        <v>698050</v>
      </c>
      <c r="AS46" s="4">
        <f t="shared" si="74"/>
        <v>990000</v>
      </c>
      <c r="AT46" s="94">
        <f t="shared" si="74"/>
        <v>840000</v>
      </c>
      <c r="AU46" s="9">
        <f t="shared" si="75"/>
        <v>4199200</v>
      </c>
    </row>
    <row r="47" spans="1:47">
      <c r="A47" s="186"/>
      <c r="B47" s="8">
        <v>3</v>
      </c>
      <c r="C47" s="1" t="s">
        <v>127</v>
      </c>
      <c r="D47" s="4" t="s">
        <v>128</v>
      </c>
      <c r="E47" s="4" t="s">
        <v>20</v>
      </c>
      <c r="F47" s="4"/>
      <c r="G47" s="4">
        <v>155000</v>
      </c>
      <c r="H47" s="4">
        <v>311100</v>
      </c>
      <c r="I47" s="4"/>
      <c r="J47" s="4"/>
      <c r="K47" s="9">
        <f t="shared" si="66"/>
        <v>466100</v>
      </c>
      <c r="L47" s="4"/>
      <c r="M47" s="4"/>
      <c r="N47" s="4"/>
      <c r="O47" s="4"/>
      <c r="P47" s="4"/>
      <c r="Q47" s="9">
        <f t="shared" si="67"/>
        <v>0</v>
      </c>
      <c r="R47" s="20"/>
      <c r="S47" s="20"/>
      <c r="T47" s="20"/>
      <c r="U47" s="20"/>
      <c r="V47" s="20"/>
      <c r="W47" s="9">
        <f t="shared" si="68"/>
        <v>0</v>
      </c>
      <c r="X47" s="20"/>
      <c r="Y47" s="20"/>
      <c r="Z47" s="20"/>
      <c r="AA47" s="20"/>
      <c r="AB47" s="20"/>
      <c r="AC47" s="21">
        <f t="shared" si="69"/>
        <v>0</v>
      </c>
      <c r="AD47" s="25">
        <v>0</v>
      </c>
      <c r="AE47" s="20"/>
      <c r="AF47" s="21">
        <f t="shared" si="70"/>
        <v>0</v>
      </c>
      <c r="AG47" s="25"/>
      <c r="AH47" s="20"/>
      <c r="AI47" s="21">
        <f t="shared" si="71"/>
        <v>0</v>
      </c>
      <c r="AJ47" s="25"/>
      <c r="AK47" s="24">
        <v>100000</v>
      </c>
      <c r="AL47" s="25"/>
      <c r="AM47" s="25"/>
      <c r="AN47" s="20"/>
      <c r="AO47" s="21">
        <f t="shared" si="72"/>
        <v>100000</v>
      </c>
      <c r="AP47" s="4">
        <f t="shared" si="73"/>
        <v>0</v>
      </c>
      <c r="AQ47" s="4">
        <f t="shared" si="73"/>
        <v>255000</v>
      </c>
      <c r="AR47" s="4">
        <f t="shared" si="73"/>
        <v>311100</v>
      </c>
      <c r="AS47" s="4">
        <f t="shared" si="74"/>
        <v>0</v>
      </c>
      <c r="AT47" s="94">
        <f t="shared" si="74"/>
        <v>0</v>
      </c>
      <c r="AU47" s="9">
        <f t="shared" si="75"/>
        <v>566100</v>
      </c>
    </row>
    <row r="48" spans="1:47">
      <c r="A48" s="186"/>
      <c r="B48" s="8">
        <v>4</v>
      </c>
      <c r="C48" s="1" t="s">
        <v>129</v>
      </c>
      <c r="D48" s="4" t="s">
        <v>130</v>
      </c>
      <c r="E48" s="4" t="s">
        <v>20</v>
      </c>
      <c r="F48" s="4"/>
      <c r="G48" s="4">
        <v>155000</v>
      </c>
      <c r="H48" s="4"/>
      <c r="I48" s="4"/>
      <c r="J48" s="4"/>
      <c r="K48" s="9">
        <f t="shared" si="66"/>
        <v>155000</v>
      </c>
      <c r="L48" s="4"/>
      <c r="M48" s="4"/>
      <c r="N48" s="4"/>
      <c r="O48" s="4"/>
      <c r="P48" s="4"/>
      <c r="Q48" s="9">
        <f t="shared" si="67"/>
        <v>0</v>
      </c>
      <c r="R48" s="20"/>
      <c r="S48" s="20"/>
      <c r="T48" s="20"/>
      <c r="U48" s="20"/>
      <c r="V48" s="20"/>
      <c r="W48" s="9">
        <f t="shared" si="68"/>
        <v>0</v>
      </c>
      <c r="X48" s="20"/>
      <c r="Y48" s="20">
        <v>195000</v>
      </c>
      <c r="Z48" s="25">
        <v>73150</v>
      </c>
      <c r="AA48" s="24">
        <v>30000</v>
      </c>
      <c r="AB48" s="20"/>
      <c r="AC48" s="21">
        <f t="shared" si="69"/>
        <v>298150</v>
      </c>
      <c r="AD48" s="25">
        <v>0</v>
      </c>
      <c r="AE48" s="20"/>
      <c r="AF48" s="21">
        <f t="shared" si="70"/>
        <v>0</v>
      </c>
      <c r="AG48" s="25"/>
      <c r="AH48" s="20"/>
      <c r="AI48" s="21">
        <f t="shared" si="71"/>
        <v>0</v>
      </c>
      <c r="AJ48" s="25"/>
      <c r="AK48" s="25"/>
      <c r="AL48" s="25"/>
      <c r="AM48" s="25"/>
      <c r="AN48" s="20"/>
      <c r="AO48" s="21">
        <f t="shared" si="72"/>
        <v>0</v>
      </c>
      <c r="AP48" s="4">
        <f t="shared" si="73"/>
        <v>0</v>
      </c>
      <c r="AQ48" s="4">
        <f t="shared" si="73"/>
        <v>350000</v>
      </c>
      <c r="AR48" s="4">
        <f t="shared" si="73"/>
        <v>73150</v>
      </c>
      <c r="AS48" s="4">
        <f t="shared" si="74"/>
        <v>30000</v>
      </c>
      <c r="AT48" s="94">
        <f t="shared" si="74"/>
        <v>0</v>
      </c>
      <c r="AU48" s="9">
        <f t="shared" si="75"/>
        <v>453150</v>
      </c>
    </row>
    <row r="49" spans="1:47" ht="31.5">
      <c r="A49" s="186"/>
      <c r="B49" s="8">
        <v>5</v>
      </c>
      <c r="C49" s="1" t="s">
        <v>131</v>
      </c>
      <c r="D49" s="4" t="s">
        <v>132</v>
      </c>
      <c r="E49" s="4" t="s">
        <v>20</v>
      </c>
      <c r="F49" s="4">
        <v>155000</v>
      </c>
      <c r="G49" s="4">
        <v>427000</v>
      </c>
      <c r="H49" s="4">
        <f>71500+71500+231000</f>
        <v>374000</v>
      </c>
      <c r="I49" s="4"/>
      <c r="J49" s="4"/>
      <c r="K49" s="9">
        <f t="shared" si="66"/>
        <v>956000</v>
      </c>
      <c r="L49" s="4"/>
      <c r="M49" s="4"/>
      <c r="N49" s="4"/>
      <c r="O49" s="4"/>
      <c r="P49" s="4"/>
      <c r="Q49" s="9">
        <f t="shared" si="67"/>
        <v>0</v>
      </c>
      <c r="R49" s="20"/>
      <c r="S49" s="20"/>
      <c r="T49" s="20"/>
      <c r="U49" s="20"/>
      <c r="V49" s="20"/>
      <c r="W49" s="9">
        <f t="shared" si="68"/>
        <v>0</v>
      </c>
      <c r="X49" s="20"/>
      <c r="Y49" s="25">
        <v>585250</v>
      </c>
      <c r="Z49" s="25">
        <v>174600</v>
      </c>
      <c r="AA49" s="25"/>
      <c r="AB49" s="20"/>
      <c r="AC49" s="21">
        <f t="shared" si="69"/>
        <v>759850</v>
      </c>
      <c r="AD49" s="25">
        <v>0</v>
      </c>
      <c r="AE49" s="20"/>
      <c r="AF49" s="21">
        <f t="shared" si="70"/>
        <v>0</v>
      </c>
      <c r="AG49" s="25"/>
      <c r="AH49" s="20"/>
      <c r="AI49" s="21">
        <f t="shared" si="71"/>
        <v>0</v>
      </c>
      <c r="AJ49" s="25"/>
      <c r="AK49" s="25"/>
      <c r="AL49" s="25"/>
      <c r="AM49" s="25"/>
      <c r="AN49" s="20"/>
      <c r="AO49" s="21">
        <f t="shared" si="72"/>
        <v>0</v>
      </c>
      <c r="AP49" s="4">
        <f t="shared" si="73"/>
        <v>155000</v>
      </c>
      <c r="AQ49" s="4">
        <f t="shared" si="73"/>
        <v>1012250</v>
      </c>
      <c r="AR49" s="4">
        <f t="shared" si="73"/>
        <v>548600</v>
      </c>
      <c r="AS49" s="4">
        <f t="shared" si="74"/>
        <v>0</v>
      </c>
      <c r="AT49" s="94">
        <f t="shared" si="74"/>
        <v>0</v>
      </c>
      <c r="AU49" s="9">
        <f t="shared" si="75"/>
        <v>1715850</v>
      </c>
    </row>
    <row r="50" spans="1:47">
      <c r="A50" s="186"/>
      <c r="B50" s="8">
        <v>6</v>
      </c>
      <c r="C50" s="1" t="s">
        <v>52</v>
      </c>
      <c r="D50" s="4" t="s">
        <v>30</v>
      </c>
      <c r="E50" s="4" t="s">
        <v>20</v>
      </c>
      <c r="F50" s="4">
        <v>155000</v>
      </c>
      <c r="G50" s="4">
        <v>279000</v>
      </c>
      <c r="H50" s="4">
        <f>108000+36000</f>
        <v>144000</v>
      </c>
      <c r="I50" s="4">
        <v>218000</v>
      </c>
      <c r="J50" s="4">
        <f>15000+198000</f>
        <v>213000</v>
      </c>
      <c r="K50" s="9">
        <f t="shared" si="66"/>
        <v>1009000</v>
      </c>
      <c r="L50" s="4"/>
      <c r="M50" s="4"/>
      <c r="N50" s="4"/>
      <c r="O50" s="4"/>
      <c r="P50" s="4"/>
      <c r="Q50" s="9">
        <f t="shared" si="67"/>
        <v>0</v>
      </c>
      <c r="R50" s="20"/>
      <c r="S50" s="20"/>
      <c r="T50" s="20"/>
      <c r="U50" s="20"/>
      <c r="V50" s="20"/>
      <c r="W50" s="9">
        <f t="shared" si="68"/>
        <v>0</v>
      </c>
      <c r="X50" s="20"/>
      <c r="Y50" s="20"/>
      <c r="Z50" s="20"/>
      <c r="AA50" s="20"/>
      <c r="AB50" s="20"/>
      <c r="AC50" s="21">
        <f t="shared" si="69"/>
        <v>0</v>
      </c>
      <c r="AD50" s="25">
        <v>0</v>
      </c>
      <c r="AE50" s="20"/>
      <c r="AF50" s="21">
        <f t="shared" si="70"/>
        <v>0</v>
      </c>
      <c r="AG50" s="25"/>
      <c r="AH50" s="20"/>
      <c r="AI50" s="21">
        <f t="shared" si="71"/>
        <v>0</v>
      </c>
      <c r="AJ50" s="25"/>
      <c r="AK50" s="25"/>
      <c r="AL50" s="25"/>
      <c r="AM50" s="25"/>
      <c r="AN50" s="20"/>
      <c r="AO50" s="21">
        <f t="shared" si="72"/>
        <v>0</v>
      </c>
      <c r="AP50" s="4">
        <f t="shared" si="73"/>
        <v>155000</v>
      </c>
      <c r="AQ50" s="4">
        <f t="shared" si="73"/>
        <v>279000</v>
      </c>
      <c r="AR50" s="4">
        <f t="shared" si="73"/>
        <v>144000</v>
      </c>
      <c r="AS50" s="4">
        <f t="shared" si="74"/>
        <v>218000</v>
      </c>
      <c r="AT50" s="94">
        <f t="shared" si="74"/>
        <v>213000</v>
      </c>
      <c r="AU50" s="9">
        <f t="shared" si="75"/>
        <v>1009000</v>
      </c>
    </row>
    <row r="51" spans="1:47" ht="31.5">
      <c r="A51" s="186"/>
      <c r="B51" s="8">
        <v>7</v>
      </c>
      <c r="C51" s="1" t="s">
        <v>133</v>
      </c>
      <c r="D51" s="4" t="s">
        <v>134</v>
      </c>
      <c r="E51" s="4" t="s">
        <v>20</v>
      </c>
      <c r="F51" s="4">
        <v>155000</v>
      </c>
      <c r="G51" s="4">
        <v>823000</v>
      </c>
      <c r="H51" s="4">
        <f>82500+82500</f>
        <v>165000</v>
      </c>
      <c r="I51" s="4"/>
      <c r="J51" s="4"/>
      <c r="K51" s="9">
        <f t="shared" si="66"/>
        <v>1143000</v>
      </c>
      <c r="L51" s="4"/>
      <c r="M51" s="4"/>
      <c r="N51" s="4"/>
      <c r="O51" s="4"/>
      <c r="P51" s="4"/>
      <c r="Q51" s="9">
        <f t="shared" si="67"/>
        <v>0</v>
      </c>
      <c r="R51" s="20">
        <v>290000</v>
      </c>
      <c r="S51" s="22">
        <v>1267000</v>
      </c>
      <c r="T51" s="4">
        <v>448000</v>
      </c>
      <c r="U51" s="22"/>
      <c r="V51" s="22"/>
      <c r="W51" s="9">
        <f t="shared" si="68"/>
        <v>2005000</v>
      </c>
      <c r="X51" s="20">
        <v>195000</v>
      </c>
      <c r="Y51" s="25">
        <v>1031900</v>
      </c>
      <c r="Z51" s="25">
        <v>412250</v>
      </c>
      <c r="AA51" s="25"/>
      <c r="AB51" s="20"/>
      <c r="AC51" s="21">
        <f t="shared" si="69"/>
        <v>1639150</v>
      </c>
      <c r="AD51" s="25">
        <v>0</v>
      </c>
      <c r="AE51" s="20"/>
      <c r="AF51" s="21">
        <f t="shared" si="70"/>
        <v>0</v>
      </c>
      <c r="AG51" s="25"/>
      <c r="AH51" s="20"/>
      <c r="AI51" s="21">
        <f t="shared" si="71"/>
        <v>0</v>
      </c>
      <c r="AJ51" s="25"/>
      <c r="AK51" s="25"/>
      <c r="AL51" s="25"/>
      <c r="AM51" s="25"/>
      <c r="AN51" s="20"/>
      <c r="AO51" s="21">
        <f t="shared" si="72"/>
        <v>0</v>
      </c>
      <c r="AP51" s="4">
        <f t="shared" si="73"/>
        <v>640000</v>
      </c>
      <c r="AQ51" s="4">
        <f t="shared" si="73"/>
        <v>3121900</v>
      </c>
      <c r="AR51" s="4">
        <f t="shared" si="73"/>
        <v>1025250</v>
      </c>
      <c r="AS51" s="4">
        <f t="shared" si="74"/>
        <v>0</v>
      </c>
      <c r="AT51" s="94">
        <f t="shared" si="74"/>
        <v>0</v>
      </c>
      <c r="AU51" s="9">
        <f t="shared" si="75"/>
        <v>4787150</v>
      </c>
    </row>
    <row r="52" spans="1:47" ht="47.25">
      <c r="A52" s="187"/>
      <c r="B52" s="8">
        <v>8</v>
      </c>
      <c r="C52" s="1" t="s">
        <v>135</v>
      </c>
      <c r="D52" s="4" t="s">
        <v>124</v>
      </c>
      <c r="E52" s="4" t="s">
        <v>20</v>
      </c>
      <c r="F52" s="4"/>
      <c r="G52" s="4">
        <v>630500</v>
      </c>
      <c r="H52" s="4">
        <f>60500+60500+170500</f>
        <v>291500</v>
      </c>
      <c r="I52" s="4">
        <f>160000+20000</f>
        <v>180000</v>
      </c>
      <c r="J52" s="4"/>
      <c r="K52" s="9">
        <f t="shared" si="66"/>
        <v>1102000</v>
      </c>
      <c r="L52" s="4"/>
      <c r="M52" s="4"/>
      <c r="N52" s="4"/>
      <c r="O52" s="4"/>
      <c r="P52" s="4"/>
      <c r="Q52" s="9">
        <f t="shared" si="67"/>
        <v>0</v>
      </c>
      <c r="R52" s="20"/>
      <c r="S52" s="20"/>
      <c r="T52" s="20"/>
      <c r="U52" s="20"/>
      <c r="V52" s="20"/>
      <c r="W52" s="9">
        <f t="shared" si="68"/>
        <v>0</v>
      </c>
      <c r="X52" s="20">
        <v>195000</v>
      </c>
      <c r="Y52" s="25">
        <v>854300</v>
      </c>
      <c r="Z52" s="25">
        <v>375250</v>
      </c>
      <c r="AA52" s="25">
        <v>180000</v>
      </c>
      <c r="AB52" s="20"/>
      <c r="AC52" s="21">
        <f t="shared" si="69"/>
        <v>1604550</v>
      </c>
      <c r="AD52" s="25">
        <v>1155000</v>
      </c>
      <c r="AE52" s="20">
        <f>105000+315000+315000+315000+210000</f>
        <v>1260000</v>
      </c>
      <c r="AF52" s="21">
        <f t="shared" si="70"/>
        <v>2415000</v>
      </c>
      <c r="AG52" s="25"/>
      <c r="AH52" s="20"/>
      <c r="AI52" s="21">
        <f t="shared" si="71"/>
        <v>0</v>
      </c>
      <c r="AJ52" s="25"/>
      <c r="AK52" s="25"/>
      <c r="AL52" s="25">
        <v>100000</v>
      </c>
      <c r="AM52" s="25">
        <v>200000</v>
      </c>
      <c r="AN52" s="20"/>
      <c r="AO52" s="21">
        <f t="shared" si="72"/>
        <v>300000</v>
      </c>
      <c r="AP52" s="4">
        <f t="shared" si="73"/>
        <v>195000</v>
      </c>
      <c r="AQ52" s="4">
        <f t="shared" si="73"/>
        <v>1484800</v>
      </c>
      <c r="AR52" s="4">
        <f t="shared" si="73"/>
        <v>766750</v>
      </c>
      <c r="AS52" s="4">
        <f t="shared" si="74"/>
        <v>1715000</v>
      </c>
      <c r="AT52" s="94">
        <f t="shared" si="74"/>
        <v>1260000</v>
      </c>
      <c r="AU52" s="9">
        <f t="shared" si="75"/>
        <v>5421550</v>
      </c>
    </row>
    <row r="53" spans="1:47" s="38" customFormat="1">
      <c r="A53" s="34"/>
      <c r="B53" s="34"/>
      <c r="C53" s="35" t="s">
        <v>136</v>
      </c>
      <c r="D53" s="37"/>
      <c r="E53" s="37"/>
      <c r="F53" s="37">
        <f>SUM(F45:F52)</f>
        <v>620000</v>
      </c>
      <c r="G53" s="37">
        <f t="shared" ref="G53:AU53" si="76">SUM(G45:G52)</f>
        <v>3182000</v>
      </c>
      <c r="H53" s="37">
        <f t="shared" si="76"/>
        <v>1606600</v>
      </c>
      <c r="I53" s="37">
        <f t="shared" si="76"/>
        <v>578000</v>
      </c>
      <c r="J53" s="37">
        <f t="shared" si="76"/>
        <v>213000</v>
      </c>
      <c r="K53" s="37">
        <f t="shared" si="76"/>
        <v>6199600</v>
      </c>
      <c r="L53" s="37">
        <f t="shared" si="76"/>
        <v>0</v>
      </c>
      <c r="M53" s="37">
        <f t="shared" si="76"/>
        <v>0</v>
      </c>
      <c r="N53" s="37">
        <f t="shared" si="76"/>
        <v>0</v>
      </c>
      <c r="O53" s="37">
        <f t="shared" si="76"/>
        <v>0</v>
      </c>
      <c r="P53" s="37">
        <f t="shared" si="76"/>
        <v>0</v>
      </c>
      <c r="Q53" s="37">
        <f t="shared" si="76"/>
        <v>0</v>
      </c>
      <c r="R53" s="37">
        <f t="shared" si="76"/>
        <v>290000</v>
      </c>
      <c r="S53" s="37">
        <f t="shared" si="76"/>
        <v>1267000</v>
      </c>
      <c r="T53" s="37">
        <f t="shared" si="76"/>
        <v>448000</v>
      </c>
      <c r="U53" s="37">
        <f t="shared" si="76"/>
        <v>0</v>
      </c>
      <c r="V53" s="37">
        <f t="shared" si="76"/>
        <v>0</v>
      </c>
      <c r="W53" s="37">
        <f t="shared" si="76"/>
        <v>2005000</v>
      </c>
      <c r="X53" s="37">
        <f t="shared" si="76"/>
        <v>585000</v>
      </c>
      <c r="Y53" s="37">
        <f t="shared" si="76"/>
        <v>3756250</v>
      </c>
      <c r="Z53" s="37">
        <f t="shared" si="76"/>
        <v>1684600</v>
      </c>
      <c r="AA53" s="37">
        <f t="shared" si="76"/>
        <v>728000</v>
      </c>
      <c r="AB53" s="37">
        <f t="shared" si="76"/>
        <v>623000</v>
      </c>
      <c r="AC53" s="37">
        <f t="shared" si="76"/>
        <v>7376850</v>
      </c>
      <c r="AD53" s="37">
        <f t="shared" si="76"/>
        <v>1925000</v>
      </c>
      <c r="AE53" s="37">
        <f t="shared" si="76"/>
        <v>2100000</v>
      </c>
      <c r="AF53" s="37">
        <f t="shared" si="76"/>
        <v>4025000</v>
      </c>
      <c r="AG53" s="37">
        <f t="shared" si="76"/>
        <v>0</v>
      </c>
      <c r="AH53" s="37">
        <f t="shared" si="76"/>
        <v>0</v>
      </c>
      <c r="AI53" s="37">
        <f t="shared" si="76"/>
        <v>0</v>
      </c>
      <c r="AJ53" s="37">
        <f t="shared" si="76"/>
        <v>0</v>
      </c>
      <c r="AK53" s="37">
        <f t="shared" si="76"/>
        <v>100000</v>
      </c>
      <c r="AL53" s="37">
        <f t="shared" si="76"/>
        <v>100000</v>
      </c>
      <c r="AM53" s="37">
        <f t="shared" si="76"/>
        <v>200000</v>
      </c>
      <c r="AN53" s="37">
        <f t="shared" si="76"/>
        <v>0</v>
      </c>
      <c r="AO53" s="37">
        <f t="shared" si="76"/>
        <v>400000</v>
      </c>
      <c r="AP53" s="37">
        <f t="shared" si="76"/>
        <v>1495000</v>
      </c>
      <c r="AQ53" s="37">
        <f t="shared" si="76"/>
        <v>8305250</v>
      </c>
      <c r="AR53" s="37">
        <f t="shared" si="76"/>
        <v>3839200</v>
      </c>
      <c r="AS53" s="37">
        <f t="shared" si="76"/>
        <v>3431000</v>
      </c>
      <c r="AT53" s="37">
        <f t="shared" si="76"/>
        <v>2936000</v>
      </c>
      <c r="AU53" s="37">
        <f t="shared" si="76"/>
        <v>20006450</v>
      </c>
    </row>
    <row r="54" spans="1:47">
      <c r="A54" s="185" t="s">
        <v>19</v>
      </c>
      <c r="B54" s="8">
        <v>1</v>
      </c>
      <c r="C54" s="1" t="s">
        <v>137</v>
      </c>
      <c r="D54" s="5" t="s">
        <v>409</v>
      </c>
      <c r="E54" s="4" t="s">
        <v>19</v>
      </c>
      <c r="F54" s="4"/>
      <c r="G54" s="4"/>
      <c r="H54" s="5"/>
      <c r="I54" s="4"/>
      <c r="J54" s="4"/>
      <c r="K54" s="9">
        <f t="shared" ref="K54:K61" si="77">SUM(F54:J54)</f>
        <v>0</v>
      </c>
      <c r="L54" s="4"/>
      <c r="M54" s="4"/>
      <c r="N54" s="4"/>
      <c r="O54" s="4"/>
      <c r="P54" s="4"/>
      <c r="Q54" s="9">
        <f t="shared" ref="Q54:Q61" si="78">SUM(L54:P54)</f>
        <v>0</v>
      </c>
      <c r="R54" s="20"/>
      <c r="S54" s="20"/>
      <c r="T54" s="20"/>
      <c r="U54" s="20"/>
      <c r="V54" s="20"/>
      <c r="W54" s="9">
        <f t="shared" ref="W54:W61" si="79">SUM(R54:V54)</f>
        <v>0</v>
      </c>
      <c r="X54" s="20"/>
      <c r="Y54" s="25">
        <v>992250</v>
      </c>
      <c r="Z54" s="25">
        <f>546900+180000</f>
        <v>726900</v>
      </c>
      <c r="AA54" s="24">
        <v>760000</v>
      </c>
      <c r="AB54" s="20">
        <f>140000+210000+420000+70000</f>
        <v>840000</v>
      </c>
      <c r="AC54" s="21">
        <f t="shared" ref="AC54:AC61" si="80">SUM(X54:AB54)</f>
        <v>3319150</v>
      </c>
      <c r="AD54" s="25"/>
      <c r="AE54" s="20"/>
      <c r="AF54" s="21">
        <f t="shared" ref="AF54:AF61" si="81">SUM(AD54:AE54)</f>
        <v>0</v>
      </c>
      <c r="AG54" s="25"/>
      <c r="AH54" s="20"/>
      <c r="AI54" s="21">
        <f t="shared" ref="AI54:AI61" si="82">SUM(AG54:AH54)</f>
        <v>0</v>
      </c>
      <c r="AJ54" s="25"/>
      <c r="AK54" s="25">
        <v>100000</v>
      </c>
      <c r="AL54" s="25">
        <v>540000</v>
      </c>
      <c r="AM54" s="25"/>
      <c r="AN54" s="20"/>
      <c r="AO54" s="21">
        <f t="shared" ref="AO54:AO61" si="83">SUM(AJ54:AN54)</f>
        <v>640000</v>
      </c>
      <c r="AP54" s="4">
        <f t="shared" ref="AP54:AR61" si="84">F54+L54+R54+X54+AJ54</f>
        <v>0</v>
      </c>
      <c r="AQ54" s="4">
        <f t="shared" si="84"/>
        <v>1092250</v>
      </c>
      <c r="AR54" s="4">
        <f t="shared" si="84"/>
        <v>1266900</v>
      </c>
      <c r="AS54" s="4">
        <f t="shared" ref="AS54:AT61" si="85">I54+O54+U54+AA54+AD54+AG54+AM54</f>
        <v>760000</v>
      </c>
      <c r="AT54" s="94">
        <f t="shared" si="85"/>
        <v>840000</v>
      </c>
      <c r="AU54" s="9">
        <f t="shared" ref="AU54:AU61" si="86">SUM(AP54:AT54)</f>
        <v>3959150</v>
      </c>
    </row>
    <row r="55" spans="1:47">
      <c r="A55" s="186"/>
      <c r="B55" s="8">
        <v>2</v>
      </c>
      <c r="C55" s="1" t="s">
        <v>394</v>
      </c>
      <c r="D55" s="12" t="s">
        <v>395</v>
      </c>
      <c r="E55" s="4" t="s">
        <v>19</v>
      </c>
      <c r="F55" s="4"/>
      <c r="G55" s="4"/>
      <c r="H55" s="5"/>
      <c r="I55" s="4"/>
      <c r="J55" s="4"/>
      <c r="K55" s="9">
        <f t="shared" si="77"/>
        <v>0</v>
      </c>
      <c r="L55" s="4"/>
      <c r="M55" s="4"/>
      <c r="N55" s="4"/>
      <c r="O55" s="4"/>
      <c r="P55" s="4"/>
      <c r="Q55" s="9">
        <f t="shared" si="78"/>
        <v>0</v>
      </c>
      <c r="R55" s="20"/>
      <c r="S55" s="20"/>
      <c r="T55" s="20"/>
      <c r="U55" s="20"/>
      <c r="V55" s="20"/>
      <c r="W55" s="9">
        <f t="shared" si="79"/>
        <v>0</v>
      </c>
      <c r="X55" s="20"/>
      <c r="Y55" s="25"/>
      <c r="Z55" s="25"/>
      <c r="AA55" s="24"/>
      <c r="AB55" s="20"/>
      <c r="AC55" s="21">
        <f t="shared" si="80"/>
        <v>0</v>
      </c>
      <c r="AD55" s="25"/>
      <c r="AE55" s="20"/>
      <c r="AF55" s="21">
        <f t="shared" si="81"/>
        <v>0</v>
      </c>
      <c r="AG55" s="25"/>
      <c r="AH55" s="20"/>
      <c r="AI55" s="21">
        <f t="shared" si="82"/>
        <v>0</v>
      </c>
      <c r="AJ55" s="25"/>
      <c r="AK55" s="25">
        <v>100000</v>
      </c>
      <c r="AL55" s="25">
        <v>-100000</v>
      </c>
      <c r="AM55" s="25"/>
      <c r="AN55" s="20"/>
      <c r="AO55" s="21">
        <f t="shared" si="83"/>
        <v>0</v>
      </c>
      <c r="AP55" s="4">
        <f t="shared" si="84"/>
        <v>0</v>
      </c>
      <c r="AQ55" s="4">
        <f t="shared" si="84"/>
        <v>100000</v>
      </c>
      <c r="AR55" s="4">
        <f t="shared" si="84"/>
        <v>-100000</v>
      </c>
      <c r="AS55" s="4">
        <f t="shared" si="85"/>
        <v>0</v>
      </c>
      <c r="AT55" s="94">
        <f t="shared" si="85"/>
        <v>0</v>
      </c>
      <c r="AU55" s="9">
        <f t="shared" si="86"/>
        <v>0</v>
      </c>
    </row>
    <row r="56" spans="1:47">
      <c r="A56" s="186"/>
      <c r="B56" s="8">
        <v>3</v>
      </c>
      <c r="C56" s="1" t="s">
        <v>59</v>
      </c>
      <c r="D56" s="12" t="s">
        <v>27</v>
      </c>
      <c r="E56" s="4" t="s">
        <v>19</v>
      </c>
      <c r="F56" s="4"/>
      <c r="G56" s="4"/>
      <c r="H56" s="4"/>
      <c r="I56" s="4"/>
      <c r="J56" s="4"/>
      <c r="K56" s="9">
        <f t="shared" si="77"/>
        <v>0</v>
      </c>
      <c r="L56" s="4"/>
      <c r="M56" s="4"/>
      <c r="N56" s="4"/>
      <c r="O56" s="4"/>
      <c r="P56" s="4"/>
      <c r="Q56" s="9">
        <f t="shared" si="78"/>
        <v>0</v>
      </c>
      <c r="R56" s="20"/>
      <c r="S56" s="20"/>
      <c r="T56" s="20"/>
      <c r="U56" s="20"/>
      <c r="V56" s="20"/>
      <c r="W56" s="9">
        <f t="shared" si="79"/>
        <v>0</v>
      </c>
      <c r="X56" s="20"/>
      <c r="Y56" s="25">
        <v>195000</v>
      </c>
      <c r="Z56" s="20">
        <v>36000</v>
      </c>
      <c r="AA56" s="20">
        <v>30000</v>
      </c>
      <c r="AB56" s="20"/>
      <c r="AC56" s="21">
        <f t="shared" si="80"/>
        <v>261000</v>
      </c>
      <c r="AD56" s="25"/>
      <c r="AE56" s="20"/>
      <c r="AF56" s="21">
        <f t="shared" si="81"/>
        <v>0</v>
      </c>
      <c r="AG56" s="25"/>
      <c r="AH56" s="20"/>
      <c r="AI56" s="21">
        <f t="shared" si="82"/>
        <v>0</v>
      </c>
      <c r="AJ56" s="25"/>
      <c r="AK56" s="25">
        <v>100000</v>
      </c>
      <c r="AL56" s="25"/>
      <c r="AM56" s="25"/>
      <c r="AN56" s="20"/>
      <c r="AO56" s="21">
        <f t="shared" si="83"/>
        <v>100000</v>
      </c>
      <c r="AP56" s="4">
        <f t="shared" si="84"/>
        <v>0</v>
      </c>
      <c r="AQ56" s="4">
        <f t="shared" si="84"/>
        <v>295000</v>
      </c>
      <c r="AR56" s="4">
        <f t="shared" si="84"/>
        <v>36000</v>
      </c>
      <c r="AS56" s="4">
        <f t="shared" si="85"/>
        <v>30000</v>
      </c>
      <c r="AT56" s="94">
        <f t="shared" si="85"/>
        <v>0</v>
      </c>
      <c r="AU56" s="9">
        <f t="shared" si="86"/>
        <v>361000</v>
      </c>
    </row>
    <row r="57" spans="1:47">
      <c r="A57" s="186"/>
      <c r="B57" s="8">
        <v>4</v>
      </c>
      <c r="C57" s="1" t="s">
        <v>138</v>
      </c>
      <c r="D57" s="12" t="s">
        <v>139</v>
      </c>
      <c r="E57" s="4" t="s">
        <v>19</v>
      </c>
      <c r="F57" s="4">
        <v>155000</v>
      </c>
      <c r="G57" s="4"/>
      <c r="H57" s="4">
        <f>323000+565000</f>
        <v>888000</v>
      </c>
      <c r="I57" s="4"/>
      <c r="J57" s="4"/>
      <c r="K57" s="9">
        <f t="shared" si="77"/>
        <v>1043000</v>
      </c>
      <c r="L57" s="76">
        <v>290000</v>
      </c>
      <c r="M57" s="76">
        <v>700000</v>
      </c>
      <c r="N57" s="76">
        <v>1890000</v>
      </c>
      <c r="O57" s="76"/>
      <c r="P57" s="4"/>
      <c r="Q57" s="9">
        <f t="shared" si="78"/>
        <v>2880000</v>
      </c>
      <c r="R57" s="20">
        <v>290000</v>
      </c>
      <c r="S57" s="26">
        <v>336000</v>
      </c>
      <c r="T57" s="4">
        <v>2310000</v>
      </c>
      <c r="U57" s="22"/>
      <c r="V57" s="22"/>
      <c r="W57" s="9">
        <f t="shared" si="79"/>
        <v>2936000</v>
      </c>
      <c r="X57" s="20">
        <v>195000</v>
      </c>
      <c r="Y57" s="25">
        <v>1508350</v>
      </c>
      <c r="Z57" s="25">
        <v>436500</v>
      </c>
      <c r="AA57" s="24"/>
      <c r="AB57" s="20"/>
      <c r="AC57" s="21">
        <f t="shared" si="80"/>
        <v>2139850</v>
      </c>
      <c r="AD57" s="25"/>
      <c r="AE57" s="20"/>
      <c r="AF57" s="21">
        <f t="shared" si="81"/>
        <v>0</v>
      </c>
      <c r="AG57" s="25"/>
      <c r="AH57" s="20"/>
      <c r="AI57" s="21">
        <f t="shared" si="82"/>
        <v>0</v>
      </c>
      <c r="AJ57" s="25"/>
      <c r="AK57" s="24">
        <v>100000</v>
      </c>
      <c r="AL57" s="25"/>
      <c r="AM57" s="25"/>
      <c r="AN57" s="20"/>
      <c r="AO57" s="21">
        <f t="shared" si="83"/>
        <v>100000</v>
      </c>
      <c r="AP57" s="4">
        <f t="shared" si="84"/>
        <v>930000</v>
      </c>
      <c r="AQ57" s="4">
        <f t="shared" si="84"/>
        <v>2644350</v>
      </c>
      <c r="AR57" s="4">
        <f t="shared" si="84"/>
        <v>5524500</v>
      </c>
      <c r="AS57" s="4">
        <f t="shared" si="85"/>
        <v>0</v>
      </c>
      <c r="AT57" s="94">
        <f t="shared" si="85"/>
        <v>0</v>
      </c>
      <c r="AU57" s="9">
        <f t="shared" si="86"/>
        <v>9098850</v>
      </c>
    </row>
    <row r="58" spans="1:47">
      <c r="A58" s="186"/>
      <c r="B58" s="8">
        <v>5</v>
      </c>
      <c r="C58" s="1" t="s">
        <v>140</v>
      </c>
      <c r="D58" s="12" t="s">
        <v>141</v>
      </c>
      <c r="E58" s="4" t="s">
        <v>19</v>
      </c>
      <c r="F58" s="4"/>
      <c r="G58" s="4">
        <v>200000</v>
      </c>
      <c r="H58" s="4">
        <f>5500+11000</f>
        <v>16500</v>
      </c>
      <c r="I58" s="4"/>
      <c r="J58" s="4"/>
      <c r="K58" s="9">
        <f t="shared" si="77"/>
        <v>216500</v>
      </c>
      <c r="L58" s="4"/>
      <c r="M58" s="4"/>
      <c r="N58" s="4"/>
      <c r="O58" s="4"/>
      <c r="P58" s="4"/>
      <c r="Q58" s="9">
        <f t="shared" si="78"/>
        <v>0</v>
      </c>
      <c r="R58" s="20"/>
      <c r="S58" s="20"/>
      <c r="T58" s="4"/>
      <c r="U58" s="20"/>
      <c r="V58" s="20"/>
      <c r="W58" s="9">
        <f t="shared" si="79"/>
        <v>0</v>
      </c>
      <c r="X58" s="20"/>
      <c r="Y58" s="25">
        <v>410250</v>
      </c>
      <c r="Z58" s="25">
        <v>95900</v>
      </c>
      <c r="AA58" s="24">
        <v>76000</v>
      </c>
      <c r="AB58" s="20"/>
      <c r="AC58" s="21">
        <f t="shared" si="80"/>
        <v>582150</v>
      </c>
      <c r="AD58" s="25"/>
      <c r="AE58" s="20"/>
      <c r="AF58" s="21">
        <f t="shared" si="81"/>
        <v>0</v>
      </c>
      <c r="AG58" s="25"/>
      <c r="AH58" s="20"/>
      <c r="AI58" s="21">
        <f t="shared" si="82"/>
        <v>0</v>
      </c>
      <c r="AJ58" s="25"/>
      <c r="AK58" s="24">
        <v>100000</v>
      </c>
      <c r="AL58" s="25">
        <v>230000</v>
      </c>
      <c r="AM58" s="25"/>
      <c r="AN58" s="20"/>
      <c r="AO58" s="21">
        <f t="shared" si="83"/>
        <v>330000</v>
      </c>
      <c r="AP58" s="4">
        <f t="shared" si="84"/>
        <v>0</v>
      </c>
      <c r="AQ58" s="4">
        <f t="shared" si="84"/>
        <v>710250</v>
      </c>
      <c r="AR58" s="4">
        <f t="shared" si="84"/>
        <v>342400</v>
      </c>
      <c r="AS58" s="4">
        <f t="shared" si="85"/>
        <v>76000</v>
      </c>
      <c r="AT58" s="94">
        <f t="shared" si="85"/>
        <v>0</v>
      </c>
      <c r="AU58" s="9">
        <f t="shared" si="86"/>
        <v>1128650</v>
      </c>
    </row>
    <row r="59" spans="1:47">
      <c r="A59" s="186"/>
      <c r="B59" s="8">
        <v>6</v>
      </c>
      <c r="C59" s="1" t="s">
        <v>142</v>
      </c>
      <c r="D59" s="5" t="s">
        <v>410</v>
      </c>
      <c r="E59" s="4" t="s">
        <v>19</v>
      </c>
      <c r="F59" s="4"/>
      <c r="G59" s="4"/>
      <c r="H59" s="4"/>
      <c r="I59" s="4"/>
      <c r="J59" s="4"/>
      <c r="K59" s="9">
        <f t="shared" si="77"/>
        <v>0</v>
      </c>
      <c r="L59" s="4"/>
      <c r="M59" s="4"/>
      <c r="N59" s="4"/>
      <c r="O59" s="4"/>
      <c r="P59" s="4"/>
      <c r="Q59" s="9">
        <f t="shared" si="78"/>
        <v>0</v>
      </c>
      <c r="R59" s="20"/>
      <c r="S59" s="20"/>
      <c r="T59" s="4"/>
      <c r="U59" s="20"/>
      <c r="V59" s="20"/>
      <c r="W59" s="9">
        <f t="shared" si="79"/>
        <v>0</v>
      </c>
      <c r="X59" s="20"/>
      <c r="Y59" s="25">
        <v>592700</v>
      </c>
      <c r="Z59" s="25">
        <v>254000</v>
      </c>
      <c r="AA59" s="24">
        <v>1010000</v>
      </c>
      <c r="AB59" s="20">
        <f>70000+210000+210000+210000+140000</f>
        <v>840000</v>
      </c>
      <c r="AC59" s="21">
        <f t="shared" si="80"/>
        <v>2696700</v>
      </c>
      <c r="AD59" s="25"/>
      <c r="AE59" s="20"/>
      <c r="AF59" s="21">
        <f t="shared" si="81"/>
        <v>0</v>
      </c>
      <c r="AG59" s="25"/>
      <c r="AH59" s="20"/>
      <c r="AI59" s="21">
        <f t="shared" si="82"/>
        <v>0</v>
      </c>
      <c r="AJ59" s="25"/>
      <c r="AK59" s="24"/>
      <c r="AL59" s="25"/>
      <c r="AM59" s="25"/>
      <c r="AN59" s="20"/>
      <c r="AO59" s="21">
        <f t="shared" si="83"/>
        <v>0</v>
      </c>
      <c r="AP59" s="4">
        <f t="shared" si="84"/>
        <v>0</v>
      </c>
      <c r="AQ59" s="4">
        <f t="shared" si="84"/>
        <v>592700</v>
      </c>
      <c r="AR59" s="4">
        <f t="shared" si="84"/>
        <v>254000</v>
      </c>
      <c r="AS59" s="4">
        <f t="shared" si="85"/>
        <v>1010000</v>
      </c>
      <c r="AT59" s="94">
        <f t="shared" si="85"/>
        <v>840000</v>
      </c>
      <c r="AU59" s="9">
        <f t="shared" si="86"/>
        <v>2696700</v>
      </c>
    </row>
    <row r="60" spans="1:47">
      <c r="A60" s="186"/>
      <c r="B60" s="8">
        <v>7</v>
      </c>
      <c r="C60" s="1" t="s">
        <v>143</v>
      </c>
      <c r="D60" s="12" t="s">
        <v>144</v>
      </c>
      <c r="E60" s="4" t="s">
        <v>19</v>
      </c>
      <c r="F60" s="4"/>
      <c r="G60" s="4">
        <v>155000</v>
      </c>
      <c r="H60" s="4"/>
      <c r="I60" s="4">
        <v>705500</v>
      </c>
      <c r="J60" s="4">
        <f>73500+35000+101500+94500+94500+63000</f>
        <v>462000</v>
      </c>
      <c r="K60" s="9">
        <f t="shared" si="77"/>
        <v>1322500</v>
      </c>
      <c r="L60" s="4"/>
      <c r="M60" s="4"/>
      <c r="N60" s="4"/>
      <c r="O60" s="4"/>
      <c r="P60" s="4"/>
      <c r="Q60" s="9">
        <f t="shared" si="78"/>
        <v>0</v>
      </c>
      <c r="R60" s="20"/>
      <c r="S60" s="20"/>
      <c r="T60" s="4"/>
      <c r="U60" s="20"/>
      <c r="V60" s="20"/>
      <c r="W60" s="9">
        <f t="shared" si="79"/>
        <v>0</v>
      </c>
      <c r="X60" s="20"/>
      <c r="Y60" s="20"/>
      <c r="Z60" s="20"/>
      <c r="AA60" s="20"/>
      <c r="AB60" s="20"/>
      <c r="AC60" s="21">
        <f t="shared" si="80"/>
        <v>0</v>
      </c>
      <c r="AD60" s="25"/>
      <c r="AE60" s="20"/>
      <c r="AF60" s="21">
        <f t="shared" si="81"/>
        <v>0</v>
      </c>
      <c r="AG60" s="25"/>
      <c r="AH60" s="20"/>
      <c r="AI60" s="21">
        <f t="shared" si="82"/>
        <v>0</v>
      </c>
      <c r="AJ60" s="25"/>
      <c r="AK60" s="24"/>
      <c r="AL60" s="25">
        <v>348400</v>
      </c>
      <c r="AM60" s="25"/>
      <c r="AN60" s="20"/>
      <c r="AO60" s="21">
        <f t="shared" si="83"/>
        <v>348400</v>
      </c>
      <c r="AP60" s="4">
        <f t="shared" si="84"/>
        <v>0</v>
      </c>
      <c r="AQ60" s="4">
        <f t="shared" si="84"/>
        <v>155000</v>
      </c>
      <c r="AR60" s="4">
        <f t="shared" si="84"/>
        <v>348400</v>
      </c>
      <c r="AS60" s="4">
        <f t="shared" si="85"/>
        <v>705500</v>
      </c>
      <c r="AT60" s="94">
        <f t="shared" si="85"/>
        <v>462000</v>
      </c>
      <c r="AU60" s="9">
        <f t="shared" si="86"/>
        <v>1670900</v>
      </c>
    </row>
    <row r="61" spans="1:47" ht="47.25">
      <c r="A61" s="187"/>
      <c r="B61" s="8">
        <v>8</v>
      </c>
      <c r="C61" s="1" t="s">
        <v>145</v>
      </c>
      <c r="D61" s="12" t="s">
        <v>146</v>
      </c>
      <c r="E61" s="4" t="s">
        <v>19</v>
      </c>
      <c r="F61" s="4"/>
      <c r="G61" s="4"/>
      <c r="H61" s="4">
        <v>155000</v>
      </c>
      <c r="I61" s="4"/>
      <c r="J61" s="4"/>
      <c r="K61" s="9">
        <f t="shared" si="77"/>
        <v>155000</v>
      </c>
      <c r="L61" s="4"/>
      <c r="M61" s="4"/>
      <c r="N61" s="4"/>
      <c r="O61" s="4"/>
      <c r="P61" s="4"/>
      <c r="Q61" s="9">
        <f t="shared" si="78"/>
        <v>0</v>
      </c>
      <c r="R61" s="20"/>
      <c r="S61" s="20"/>
      <c r="T61" s="4">
        <v>290000</v>
      </c>
      <c r="U61" s="23"/>
      <c r="V61" s="23"/>
      <c r="W61" s="9">
        <f t="shared" si="79"/>
        <v>290000</v>
      </c>
      <c r="X61" s="20"/>
      <c r="Y61" s="25">
        <v>386400</v>
      </c>
      <c r="Z61" s="25">
        <v>67900</v>
      </c>
      <c r="AA61" s="25"/>
      <c r="AB61" s="20"/>
      <c r="AC61" s="21">
        <f t="shared" si="80"/>
        <v>454300</v>
      </c>
      <c r="AD61" s="25"/>
      <c r="AE61" s="20"/>
      <c r="AF61" s="21">
        <f t="shared" si="81"/>
        <v>0</v>
      </c>
      <c r="AG61" s="25"/>
      <c r="AH61" s="20"/>
      <c r="AI61" s="21">
        <f t="shared" si="82"/>
        <v>0</v>
      </c>
      <c r="AJ61" s="25"/>
      <c r="AK61" s="25"/>
      <c r="AL61" s="25"/>
      <c r="AM61" s="25"/>
      <c r="AN61" s="20"/>
      <c r="AO61" s="21">
        <f t="shared" si="83"/>
        <v>0</v>
      </c>
      <c r="AP61" s="4">
        <f t="shared" si="84"/>
        <v>0</v>
      </c>
      <c r="AQ61" s="4">
        <f t="shared" si="84"/>
        <v>386400</v>
      </c>
      <c r="AR61" s="4">
        <f t="shared" si="84"/>
        <v>512900</v>
      </c>
      <c r="AS61" s="4">
        <f t="shared" si="85"/>
        <v>0</v>
      </c>
      <c r="AT61" s="94">
        <f t="shared" si="85"/>
        <v>0</v>
      </c>
      <c r="AU61" s="9">
        <f t="shared" si="86"/>
        <v>899300</v>
      </c>
    </row>
    <row r="62" spans="1:47" s="38" customFormat="1">
      <c r="A62" s="34"/>
      <c r="B62" s="34"/>
      <c r="C62" s="35" t="s">
        <v>147</v>
      </c>
      <c r="D62" s="37"/>
      <c r="E62" s="37"/>
      <c r="F62" s="37">
        <f>SUM(F54:F61)</f>
        <v>155000</v>
      </c>
      <c r="G62" s="37">
        <f t="shared" ref="G62:AU62" si="87">SUM(G54:G61)</f>
        <v>355000</v>
      </c>
      <c r="H62" s="37">
        <f t="shared" si="87"/>
        <v>1059500</v>
      </c>
      <c r="I62" s="37">
        <f t="shared" si="87"/>
        <v>705500</v>
      </c>
      <c r="J62" s="37">
        <f t="shared" si="87"/>
        <v>462000</v>
      </c>
      <c r="K62" s="37">
        <f t="shared" si="87"/>
        <v>2737000</v>
      </c>
      <c r="L62" s="37">
        <f t="shared" si="87"/>
        <v>290000</v>
      </c>
      <c r="M62" s="37">
        <f t="shared" si="87"/>
        <v>700000</v>
      </c>
      <c r="N62" s="37">
        <f t="shared" si="87"/>
        <v>1890000</v>
      </c>
      <c r="O62" s="37">
        <f t="shared" si="87"/>
        <v>0</v>
      </c>
      <c r="P62" s="37">
        <f t="shared" si="87"/>
        <v>0</v>
      </c>
      <c r="Q62" s="37">
        <f t="shared" si="87"/>
        <v>2880000</v>
      </c>
      <c r="R62" s="37">
        <f t="shared" si="87"/>
        <v>290000</v>
      </c>
      <c r="S62" s="37">
        <f t="shared" si="87"/>
        <v>336000</v>
      </c>
      <c r="T62" s="37">
        <f t="shared" si="87"/>
        <v>2600000</v>
      </c>
      <c r="U62" s="37">
        <f t="shared" si="87"/>
        <v>0</v>
      </c>
      <c r="V62" s="37">
        <f t="shared" si="87"/>
        <v>0</v>
      </c>
      <c r="W62" s="37">
        <f t="shared" si="87"/>
        <v>3226000</v>
      </c>
      <c r="X62" s="37">
        <f t="shared" si="87"/>
        <v>195000</v>
      </c>
      <c r="Y62" s="37">
        <f t="shared" si="87"/>
        <v>4084950</v>
      </c>
      <c r="Z62" s="37">
        <f t="shared" si="87"/>
        <v>1617200</v>
      </c>
      <c r="AA62" s="37">
        <f t="shared" si="87"/>
        <v>1876000</v>
      </c>
      <c r="AB62" s="37">
        <f t="shared" si="87"/>
        <v>1680000</v>
      </c>
      <c r="AC62" s="37">
        <f t="shared" si="87"/>
        <v>9453150</v>
      </c>
      <c r="AD62" s="37">
        <f t="shared" si="87"/>
        <v>0</v>
      </c>
      <c r="AE62" s="37">
        <f t="shared" si="87"/>
        <v>0</v>
      </c>
      <c r="AF62" s="37">
        <f t="shared" si="87"/>
        <v>0</v>
      </c>
      <c r="AG62" s="37">
        <f t="shared" si="87"/>
        <v>0</v>
      </c>
      <c r="AH62" s="37">
        <f t="shared" si="87"/>
        <v>0</v>
      </c>
      <c r="AI62" s="37">
        <f t="shared" si="87"/>
        <v>0</v>
      </c>
      <c r="AJ62" s="37">
        <f t="shared" si="87"/>
        <v>0</v>
      </c>
      <c r="AK62" s="37">
        <f t="shared" si="87"/>
        <v>500000</v>
      </c>
      <c r="AL62" s="37">
        <f t="shared" si="87"/>
        <v>1018400</v>
      </c>
      <c r="AM62" s="37">
        <f t="shared" si="87"/>
        <v>0</v>
      </c>
      <c r="AN62" s="37">
        <f t="shared" si="87"/>
        <v>0</v>
      </c>
      <c r="AO62" s="37">
        <f t="shared" si="87"/>
        <v>1518400</v>
      </c>
      <c r="AP62" s="37">
        <f t="shared" si="87"/>
        <v>930000</v>
      </c>
      <c r="AQ62" s="37">
        <f t="shared" si="87"/>
        <v>5975950</v>
      </c>
      <c r="AR62" s="37">
        <f t="shared" si="87"/>
        <v>8185100</v>
      </c>
      <c r="AS62" s="37">
        <f t="shared" si="87"/>
        <v>2581500</v>
      </c>
      <c r="AT62" s="37">
        <f t="shared" si="87"/>
        <v>2142000</v>
      </c>
      <c r="AU62" s="37">
        <f t="shared" si="87"/>
        <v>19814550</v>
      </c>
    </row>
    <row r="63" spans="1:47">
      <c r="A63" s="185" t="s">
        <v>148</v>
      </c>
      <c r="B63" s="8">
        <v>1</v>
      </c>
      <c r="C63" s="1" t="s">
        <v>149</v>
      </c>
      <c r="D63" s="4" t="s">
        <v>150</v>
      </c>
      <c r="E63" s="4" t="s">
        <v>148</v>
      </c>
      <c r="F63" s="4"/>
      <c r="G63" s="4">
        <v>155000</v>
      </c>
      <c r="H63" s="4"/>
      <c r="I63" s="4"/>
      <c r="J63" s="4">
        <v>-155000</v>
      </c>
      <c r="K63" s="9">
        <f t="shared" ref="K63:K66" si="88">SUM(F63:J63)</f>
        <v>0</v>
      </c>
      <c r="L63" s="4"/>
      <c r="M63" s="4"/>
      <c r="N63" s="4"/>
      <c r="O63" s="4"/>
      <c r="P63" s="4"/>
      <c r="Q63" s="9">
        <f t="shared" ref="Q63:Q66" si="89">SUM(L63:P63)</f>
        <v>0</v>
      </c>
      <c r="R63" s="20"/>
      <c r="S63" s="20"/>
      <c r="T63" s="20"/>
      <c r="U63" s="20"/>
      <c r="V63" s="20"/>
      <c r="W63" s="9">
        <f t="shared" ref="W63:W66" si="90">SUM(R63:V63)</f>
        <v>0</v>
      </c>
      <c r="X63" s="20"/>
      <c r="Y63" s="20">
        <v>195000</v>
      </c>
      <c r="Z63" s="20"/>
      <c r="AA63" s="20"/>
      <c r="AB63" s="20">
        <v>-195000</v>
      </c>
      <c r="AC63" s="21">
        <f t="shared" ref="AC63:AC66" si="91">SUM(X63:AB63)</f>
        <v>0</v>
      </c>
      <c r="AD63" s="25">
        <v>0</v>
      </c>
      <c r="AE63" s="20"/>
      <c r="AF63" s="21">
        <f t="shared" ref="AF63:AF66" si="92">SUM(AD63:AE63)</f>
        <v>0</v>
      </c>
      <c r="AG63" s="25"/>
      <c r="AH63" s="20"/>
      <c r="AI63" s="21">
        <f t="shared" ref="AI63:AI66" si="93">SUM(AG63:AH63)</f>
        <v>0</v>
      </c>
      <c r="AJ63" s="25"/>
      <c r="AK63" s="25"/>
      <c r="AL63" s="25"/>
      <c r="AM63" s="25"/>
      <c r="AN63" s="20"/>
      <c r="AO63" s="21">
        <f t="shared" ref="AO63:AO66" si="94">SUM(AJ63:AN63)</f>
        <v>0</v>
      </c>
      <c r="AP63" s="4">
        <f t="shared" ref="AP63:AR66" si="95">F63+L63+R63+X63+AJ63</f>
        <v>0</v>
      </c>
      <c r="AQ63" s="4">
        <f t="shared" si="95"/>
        <v>350000</v>
      </c>
      <c r="AR63" s="4">
        <f t="shared" si="95"/>
        <v>0</v>
      </c>
      <c r="AS63" s="4">
        <f t="shared" ref="AS63:AT66" si="96">I63+O63+U63+AA63+AD63+AG63+AM63</f>
        <v>0</v>
      </c>
      <c r="AT63" s="94">
        <f t="shared" si="96"/>
        <v>-350000</v>
      </c>
      <c r="AU63" s="9">
        <f t="shared" ref="AU63:AU66" si="97">SUM(AP63:AT63)</f>
        <v>0</v>
      </c>
    </row>
    <row r="64" spans="1:47">
      <c r="A64" s="186"/>
      <c r="B64" s="8">
        <v>2</v>
      </c>
      <c r="C64" s="1" t="s">
        <v>151</v>
      </c>
      <c r="D64" s="4" t="s">
        <v>152</v>
      </c>
      <c r="E64" s="4" t="s">
        <v>153</v>
      </c>
      <c r="F64" s="4">
        <v>155000</v>
      </c>
      <c r="G64" s="4">
        <v>153000</v>
      </c>
      <c r="H64" s="4">
        <v>187500</v>
      </c>
      <c r="I64" s="4">
        <v>8000</v>
      </c>
      <c r="J64" s="4"/>
      <c r="K64" s="9">
        <f t="shared" si="88"/>
        <v>503500</v>
      </c>
      <c r="L64" s="4"/>
      <c r="M64" s="4"/>
      <c r="N64" s="4"/>
      <c r="O64" s="4"/>
      <c r="P64" s="4"/>
      <c r="Q64" s="9">
        <f t="shared" si="89"/>
        <v>0</v>
      </c>
      <c r="R64" s="20"/>
      <c r="S64" s="20"/>
      <c r="T64" s="20"/>
      <c r="U64" s="20"/>
      <c r="V64" s="20"/>
      <c r="W64" s="9">
        <f t="shared" si="90"/>
        <v>0</v>
      </c>
      <c r="X64" s="20">
        <v>195000</v>
      </c>
      <c r="Y64" s="25">
        <v>295650</v>
      </c>
      <c r="Z64" s="25">
        <v>223100</v>
      </c>
      <c r="AA64" s="24">
        <v>96000</v>
      </c>
      <c r="AB64" s="20"/>
      <c r="AC64" s="21">
        <f t="shared" si="91"/>
        <v>809750</v>
      </c>
      <c r="AD64" s="25">
        <v>380000</v>
      </c>
      <c r="AE64" s="20">
        <f>34000+102000+105000+105000+70000</f>
        <v>416000</v>
      </c>
      <c r="AF64" s="21">
        <f t="shared" si="92"/>
        <v>796000</v>
      </c>
      <c r="AG64" s="25"/>
      <c r="AH64" s="20"/>
      <c r="AI64" s="21">
        <f t="shared" si="93"/>
        <v>0</v>
      </c>
      <c r="AJ64" s="25"/>
      <c r="AK64" s="24">
        <v>100000</v>
      </c>
      <c r="AL64" s="25">
        <v>230000</v>
      </c>
      <c r="AM64" s="25"/>
      <c r="AN64" s="20"/>
      <c r="AO64" s="21">
        <f t="shared" si="94"/>
        <v>330000</v>
      </c>
      <c r="AP64" s="4">
        <f t="shared" si="95"/>
        <v>350000</v>
      </c>
      <c r="AQ64" s="4">
        <f t="shared" si="95"/>
        <v>548650</v>
      </c>
      <c r="AR64" s="4">
        <f t="shared" si="95"/>
        <v>640600</v>
      </c>
      <c r="AS64" s="4">
        <f t="shared" si="96"/>
        <v>484000</v>
      </c>
      <c r="AT64" s="94">
        <f t="shared" si="96"/>
        <v>416000</v>
      </c>
      <c r="AU64" s="9">
        <f t="shared" si="97"/>
        <v>2439250</v>
      </c>
    </row>
    <row r="65" spans="1:47" ht="31.5">
      <c r="A65" s="186"/>
      <c r="B65" s="8">
        <v>3</v>
      </c>
      <c r="C65" s="1" t="s">
        <v>154</v>
      </c>
      <c r="D65" s="4" t="s">
        <v>155</v>
      </c>
      <c r="E65" s="4" t="s">
        <v>153</v>
      </c>
      <c r="F65" s="4">
        <v>155000</v>
      </c>
      <c r="G65" s="4"/>
      <c r="H65" s="4">
        <v>22000</v>
      </c>
      <c r="I65" s="4">
        <f>128000+10000+14000</f>
        <v>152000</v>
      </c>
      <c r="J65" s="4"/>
      <c r="K65" s="9">
        <f t="shared" si="88"/>
        <v>329000</v>
      </c>
      <c r="L65" s="4"/>
      <c r="M65" s="4"/>
      <c r="N65" s="4"/>
      <c r="O65" s="4"/>
      <c r="P65" s="4"/>
      <c r="Q65" s="9">
        <f t="shared" si="89"/>
        <v>0</v>
      </c>
      <c r="R65" s="20"/>
      <c r="S65" s="20"/>
      <c r="T65" s="20"/>
      <c r="U65" s="20"/>
      <c r="V65" s="20"/>
      <c r="W65" s="9">
        <f t="shared" si="90"/>
        <v>0</v>
      </c>
      <c r="X65" s="20">
        <v>195000</v>
      </c>
      <c r="Y65" s="25">
        <v>111550</v>
      </c>
      <c r="Z65" s="25">
        <v>586850</v>
      </c>
      <c r="AA65" s="25">
        <v>180000</v>
      </c>
      <c r="AB65" s="20"/>
      <c r="AC65" s="21">
        <f t="shared" si="91"/>
        <v>1073400</v>
      </c>
      <c r="AD65" s="24">
        <v>577500</v>
      </c>
      <c r="AE65" s="20">
        <f>189000+185500+196000+199500+133000</f>
        <v>903000</v>
      </c>
      <c r="AF65" s="21">
        <f t="shared" si="92"/>
        <v>1480500</v>
      </c>
      <c r="AG65" s="25"/>
      <c r="AH65" s="20"/>
      <c r="AI65" s="21">
        <f t="shared" si="93"/>
        <v>0</v>
      </c>
      <c r="AJ65" s="25"/>
      <c r="AK65" s="25"/>
      <c r="AL65" s="25"/>
      <c r="AM65" s="25"/>
      <c r="AN65" s="20"/>
      <c r="AO65" s="21">
        <f t="shared" si="94"/>
        <v>0</v>
      </c>
      <c r="AP65" s="4">
        <f t="shared" si="95"/>
        <v>350000</v>
      </c>
      <c r="AQ65" s="4">
        <f t="shared" si="95"/>
        <v>111550</v>
      </c>
      <c r="AR65" s="4">
        <f t="shared" si="95"/>
        <v>608850</v>
      </c>
      <c r="AS65" s="4">
        <f t="shared" si="96"/>
        <v>909500</v>
      </c>
      <c r="AT65" s="94">
        <f t="shared" si="96"/>
        <v>903000</v>
      </c>
      <c r="AU65" s="9">
        <f t="shared" si="97"/>
        <v>2882900</v>
      </c>
    </row>
    <row r="66" spans="1:47" ht="31.5">
      <c r="A66" s="187"/>
      <c r="B66" s="8">
        <v>4</v>
      </c>
      <c r="C66" s="1" t="s">
        <v>156</v>
      </c>
      <c r="D66" s="5" t="s">
        <v>411</v>
      </c>
      <c r="E66" s="4" t="s">
        <v>153</v>
      </c>
      <c r="F66" s="4"/>
      <c r="G66" s="4"/>
      <c r="H66" s="4"/>
      <c r="I66" s="4"/>
      <c r="J66" s="4"/>
      <c r="K66" s="9">
        <f t="shared" si="88"/>
        <v>0</v>
      </c>
      <c r="L66" s="4"/>
      <c r="M66" s="4"/>
      <c r="N66" s="4"/>
      <c r="O66" s="4"/>
      <c r="P66" s="4"/>
      <c r="Q66" s="9">
        <f t="shared" si="89"/>
        <v>0</v>
      </c>
      <c r="R66" s="20"/>
      <c r="S66" s="20"/>
      <c r="T66" s="20"/>
      <c r="U66" s="20"/>
      <c r="V66" s="20"/>
      <c r="W66" s="9">
        <f t="shared" si="90"/>
        <v>0</v>
      </c>
      <c r="X66" s="20"/>
      <c r="Y66" s="24">
        <v>195000</v>
      </c>
      <c r="Z66" s="20">
        <v>-195000</v>
      </c>
      <c r="AA66" s="20">
        <v>74000</v>
      </c>
      <c r="AB66" s="20"/>
      <c r="AC66" s="21">
        <f t="shared" si="91"/>
        <v>74000</v>
      </c>
      <c r="AD66" s="25">
        <v>0</v>
      </c>
      <c r="AE66" s="20"/>
      <c r="AF66" s="21">
        <f t="shared" si="92"/>
        <v>0</v>
      </c>
      <c r="AG66" s="25"/>
      <c r="AH66" s="20"/>
      <c r="AI66" s="21">
        <f t="shared" si="93"/>
        <v>0</v>
      </c>
      <c r="AJ66" s="25"/>
      <c r="AK66" s="25"/>
      <c r="AL66" s="25"/>
      <c r="AM66" s="25"/>
      <c r="AN66" s="20"/>
      <c r="AO66" s="21">
        <f t="shared" si="94"/>
        <v>0</v>
      </c>
      <c r="AP66" s="4">
        <f t="shared" si="95"/>
        <v>0</v>
      </c>
      <c r="AQ66" s="4">
        <f t="shared" si="95"/>
        <v>195000</v>
      </c>
      <c r="AR66" s="4">
        <f t="shared" si="95"/>
        <v>-195000</v>
      </c>
      <c r="AS66" s="4">
        <f t="shared" si="96"/>
        <v>74000</v>
      </c>
      <c r="AT66" s="94">
        <f t="shared" si="96"/>
        <v>0</v>
      </c>
      <c r="AU66" s="9">
        <f t="shared" si="97"/>
        <v>74000</v>
      </c>
    </row>
    <row r="67" spans="1:47" s="38" customFormat="1">
      <c r="A67" s="34"/>
      <c r="B67" s="34"/>
      <c r="C67" s="35" t="s">
        <v>157</v>
      </c>
      <c r="D67" s="37"/>
      <c r="E67" s="37"/>
      <c r="F67" s="37">
        <f>SUM(F63:F66)</f>
        <v>310000</v>
      </c>
      <c r="G67" s="37">
        <f t="shared" ref="G67:AU67" si="98">SUM(G63:G66)</f>
        <v>308000</v>
      </c>
      <c r="H67" s="37">
        <f t="shared" si="98"/>
        <v>209500</v>
      </c>
      <c r="I67" s="37">
        <f t="shared" si="98"/>
        <v>160000</v>
      </c>
      <c r="J67" s="37">
        <f t="shared" si="98"/>
        <v>-155000</v>
      </c>
      <c r="K67" s="37">
        <f t="shared" si="98"/>
        <v>832500</v>
      </c>
      <c r="L67" s="37">
        <f t="shared" si="98"/>
        <v>0</v>
      </c>
      <c r="M67" s="37">
        <f t="shared" si="98"/>
        <v>0</v>
      </c>
      <c r="N67" s="37">
        <f t="shared" si="98"/>
        <v>0</v>
      </c>
      <c r="O67" s="37">
        <f t="shared" si="98"/>
        <v>0</v>
      </c>
      <c r="P67" s="37">
        <f t="shared" si="98"/>
        <v>0</v>
      </c>
      <c r="Q67" s="37">
        <f t="shared" si="98"/>
        <v>0</v>
      </c>
      <c r="R67" s="37">
        <f t="shared" si="98"/>
        <v>0</v>
      </c>
      <c r="S67" s="37">
        <f t="shared" si="98"/>
        <v>0</v>
      </c>
      <c r="T67" s="37">
        <f t="shared" si="98"/>
        <v>0</v>
      </c>
      <c r="U67" s="37">
        <f t="shared" si="98"/>
        <v>0</v>
      </c>
      <c r="V67" s="37">
        <f t="shared" si="98"/>
        <v>0</v>
      </c>
      <c r="W67" s="37">
        <f t="shared" si="98"/>
        <v>0</v>
      </c>
      <c r="X67" s="37">
        <f t="shared" si="98"/>
        <v>390000</v>
      </c>
      <c r="Y67" s="37">
        <f t="shared" si="98"/>
        <v>797200</v>
      </c>
      <c r="Z67" s="37">
        <f t="shared" si="98"/>
        <v>614950</v>
      </c>
      <c r="AA67" s="37">
        <f t="shared" si="98"/>
        <v>350000</v>
      </c>
      <c r="AB67" s="37">
        <f t="shared" si="98"/>
        <v>-195000</v>
      </c>
      <c r="AC67" s="37">
        <f t="shared" si="98"/>
        <v>1957150</v>
      </c>
      <c r="AD67" s="37">
        <f t="shared" si="98"/>
        <v>957500</v>
      </c>
      <c r="AE67" s="37">
        <f t="shared" si="98"/>
        <v>1319000</v>
      </c>
      <c r="AF67" s="37">
        <f t="shared" si="98"/>
        <v>2276500</v>
      </c>
      <c r="AG67" s="37">
        <f t="shared" si="98"/>
        <v>0</v>
      </c>
      <c r="AH67" s="37">
        <f t="shared" si="98"/>
        <v>0</v>
      </c>
      <c r="AI67" s="37">
        <f t="shared" si="98"/>
        <v>0</v>
      </c>
      <c r="AJ67" s="37">
        <f t="shared" si="98"/>
        <v>0</v>
      </c>
      <c r="AK67" s="37">
        <f t="shared" si="98"/>
        <v>100000</v>
      </c>
      <c r="AL67" s="37">
        <f t="shared" si="98"/>
        <v>230000</v>
      </c>
      <c r="AM67" s="37">
        <f t="shared" si="98"/>
        <v>0</v>
      </c>
      <c r="AN67" s="37">
        <f t="shared" si="98"/>
        <v>0</v>
      </c>
      <c r="AO67" s="37">
        <f t="shared" si="98"/>
        <v>330000</v>
      </c>
      <c r="AP67" s="37">
        <f t="shared" si="98"/>
        <v>700000</v>
      </c>
      <c r="AQ67" s="37">
        <f t="shared" si="98"/>
        <v>1205200</v>
      </c>
      <c r="AR67" s="37">
        <f t="shared" si="98"/>
        <v>1054450</v>
      </c>
      <c r="AS67" s="37">
        <f t="shared" si="98"/>
        <v>1467500</v>
      </c>
      <c r="AT67" s="37">
        <f t="shared" si="98"/>
        <v>969000</v>
      </c>
      <c r="AU67" s="37">
        <f t="shared" si="98"/>
        <v>5396150</v>
      </c>
    </row>
    <row r="68" spans="1:47">
      <c r="A68" s="104" t="s">
        <v>28</v>
      </c>
      <c r="B68" s="8">
        <v>1</v>
      </c>
      <c r="C68" s="1" t="s">
        <v>3</v>
      </c>
      <c r="D68" s="5" t="s">
        <v>412</v>
      </c>
      <c r="E68" s="4" t="s">
        <v>28</v>
      </c>
      <c r="F68" s="4"/>
      <c r="G68" s="4"/>
      <c r="H68" s="5"/>
      <c r="I68" s="4"/>
      <c r="J68" s="4"/>
      <c r="K68" s="9">
        <f>SUM(F68:J68)</f>
        <v>0</v>
      </c>
      <c r="L68" s="4"/>
      <c r="M68" s="4"/>
      <c r="N68" s="4"/>
      <c r="O68" s="4"/>
      <c r="P68" s="4"/>
      <c r="Q68" s="9">
        <f>SUM(L68:P68)</f>
        <v>0</v>
      </c>
      <c r="R68" s="20"/>
      <c r="S68" s="22">
        <v>290000</v>
      </c>
      <c r="T68" s="20"/>
      <c r="U68" s="20"/>
      <c r="V68" s="20"/>
      <c r="W68" s="9">
        <f>SUM(R68:V68)</f>
        <v>290000</v>
      </c>
      <c r="X68" s="20"/>
      <c r="Y68" s="24">
        <v>195000</v>
      </c>
      <c r="Z68" s="20"/>
      <c r="AA68" s="20"/>
      <c r="AB68" s="20"/>
      <c r="AC68" s="21">
        <f>SUM(X68:AB68)</f>
        <v>195000</v>
      </c>
      <c r="AD68" s="25"/>
      <c r="AE68" s="20"/>
      <c r="AF68" s="21">
        <f>SUM(AD68:AE68)</f>
        <v>0</v>
      </c>
      <c r="AG68" s="25"/>
      <c r="AH68" s="20"/>
      <c r="AI68" s="21">
        <f>SUM(AG68:AH68)</f>
        <v>0</v>
      </c>
      <c r="AJ68" s="25"/>
      <c r="AK68" s="25"/>
      <c r="AL68" s="25"/>
      <c r="AM68" s="25"/>
      <c r="AN68" s="20"/>
      <c r="AO68" s="21">
        <f>SUM(AJ68:AN68)</f>
        <v>0</v>
      </c>
      <c r="AP68" s="4">
        <f>F68+L68+R68+X68+AJ68</f>
        <v>0</v>
      </c>
      <c r="AQ68" s="4">
        <f>G68+M68+S68+Y68+AK68</f>
        <v>485000</v>
      </c>
      <c r="AR68" s="4">
        <f>H68+N68+T68+Z68+AL68</f>
        <v>0</v>
      </c>
      <c r="AS68" s="4">
        <f>I68+O68+U68+AA68+AD68+AG68+AM68</f>
        <v>0</v>
      </c>
      <c r="AT68" s="94">
        <f>J68+P68+V68+AB68+AE68+AH68+AN68</f>
        <v>0</v>
      </c>
      <c r="AU68" s="9">
        <f>SUM(AP68:AT68)</f>
        <v>485000</v>
      </c>
    </row>
    <row r="69" spans="1:47" s="38" customFormat="1">
      <c r="A69" s="34"/>
      <c r="B69" s="34"/>
      <c r="C69" s="35" t="s">
        <v>158</v>
      </c>
      <c r="D69" s="37"/>
      <c r="E69" s="37"/>
      <c r="F69" s="37">
        <f>SUM(F68)</f>
        <v>0</v>
      </c>
      <c r="G69" s="37">
        <f t="shared" ref="G69:AU69" si="99">SUM(G68)</f>
        <v>0</v>
      </c>
      <c r="H69" s="37">
        <f t="shared" si="99"/>
        <v>0</v>
      </c>
      <c r="I69" s="37">
        <f t="shared" si="99"/>
        <v>0</v>
      </c>
      <c r="J69" s="37">
        <f t="shared" si="99"/>
        <v>0</v>
      </c>
      <c r="K69" s="37">
        <f t="shared" si="99"/>
        <v>0</v>
      </c>
      <c r="L69" s="37">
        <f t="shared" si="99"/>
        <v>0</v>
      </c>
      <c r="M69" s="37">
        <f t="shared" si="99"/>
        <v>0</v>
      </c>
      <c r="N69" s="37">
        <f t="shared" si="99"/>
        <v>0</v>
      </c>
      <c r="O69" s="37">
        <f t="shared" si="99"/>
        <v>0</v>
      </c>
      <c r="P69" s="37">
        <f t="shared" si="99"/>
        <v>0</v>
      </c>
      <c r="Q69" s="37">
        <f t="shared" si="99"/>
        <v>0</v>
      </c>
      <c r="R69" s="37">
        <f t="shared" si="99"/>
        <v>0</v>
      </c>
      <c r="S69" s="37">
        <f t="shared" si="99"/>
        <v>290000</v>
      </c>
      <c r="T69" s="37">
        <f t="shared" si="99"/>
        <v>0</v>
      </c>
      <c r="U69" s="37">
        <f t="shared" si="99"/>
        <v>0</v>
      </c>
      <c r="V69" s="37">
        <f t="shared" si="99"/>
        <v>0</v>
      </c>
      <c r="W69" s="37">
        <f t="shared" si="99"/>
        <v>290000</v>
      </c>
      <c r="X69" s="37">
        <f t="shared" si="99"/>
        <v>0</v>
      </c>
      <c r="Y69" s="37">
        <f t="shared" si="99"/>
        <v>195000</v>
      </c>
      <c r="Z69" s="37">
        <f t="shared" si="99"/>
        <v>0</v>
      </c>
      <c r="AA69" s="37">
        <f t="shared" si="99"/>
        <v>0</v>
      </c>
      <c r="AB69" s="37">
        <f t="shared" si="99"/>
        <v>0</v>
      </c>
      <c r="AC69" s="37">
        <f t="shared" si="99"/>
        <v>195000</v>
      </c>
      <c r="AD69" s="37">
        <f t="shared" si="99"/>
        <v>0</v>
      </c>
      <c r="AE69" s="37">
        <f t="shared" si="99"/>
        <v>0</v>
      </c>
      <c r="AF69" s="37">
        <f t="shared" si="99"/>
        <v>0</v>
      </c>
      <c r="AG69" s="37">
        <f t="shared" si="99"/>
        <v>0</v>
      </c>
      <c r="AH69" s="37">
        <f t="shared" si="99"/>
        <v>0</v>
      </c>
      <c r="AI69" s="37">
        <f t="shared" si="99"/>
        <v>0</v>
      </c>
      <c r="AJ69" s="37">
        <f t="shared" si="99"/>
        <v>0</v>
      </c>
      <c r="AK69" s="37">
        <f t="shared" si="99"/>
        <v>0</v>
      </c>
      <c r="AL69" s="37">
        <f t="shared" si="99"/>
        <v>0</v>
      </c>
      <c r="AM69" s="37">
        <f t="shared" si="99"/>
        <v>0</v>
      </c>
      <c r="AN69" s="37">
        <f t="shared" si="99"/>
        <v>0</v>
      </c>
      <c r="AO69" s="37">
        <f t="shared" si="99"/>
        <v>0</v>
      </c>
      <c r="AP69" s="37">
        <f t="shared" si="99"/>
        <v>0</v>
      </c>
      <c r="AQ69" s="37">
        <f t="shared" si="99"/>
        <v>485000</v>
      </c>
      <c r="AR69" s="37">
        <f t="shared" si="99"/>
        <v>0</v>
      </c>
      <c r="AS69" s="37">
        <f t="shared" si="99"/>
        <v>0</v>
      </c>
      <c r="AT69" s="37">
        <f t="shared" si="99"/>
        <v>0</v>
      </c>
      <c r="AU69" s="37">
        <f t="shared" si="99"/>
        <v>485000</v>
      </c>
    </row>
    <row r="70" spans="1:47" ht="31.5">
      <c r="A70" s="185" t="s">
        <v>159</v>
      </c>
      <c r="B70" s="8">
        <v>1</v>
      </c>
      <c r="C70" s="1" t="s">
        <v>160</v>
      </c>
      <c r="D70" s="4" t="s">
        <v>161</v>
      </c>
      <c r="E70" s="4" t="s">
        <v>159</v>
      </c>
      <c r="F70" s="4"/>
      <c r="G70" s="4"/>
      <c r="H70" s="4">
        <v>155000</v>
      </c>
      <c r="I70" s="4"/>
      <c r="J70" s="4"/>
      <c r="K70" s="9">
        <f t="shared" ref="K70:K78" si="100">SUM(F70:J70)</f>
        <v>155000</v>
      </c>
      <c r="L70" s="4"/>
      <c r="M70" s="4"/>
      <c r="N70" s="4"/>
      <c r="O70" s="4"/>
      <c r="P70" s="4"/>
      <c r="Q70" s="9">
        <f t="shared" ref="Q70:Q78" si="101">SUM(L70:P70)</f>
        <v>0</v>
      </c>
      <c r="R70" s="20"/>
      <c r="S70" s="20"/>
      <c r="T70" s="20"/>
      <c r="U70" s="20"/>
      <c r="V70" s="20"/>
      <c r="W70" s="9">
        <f t="shared" ref="W70:W78" si="102">SUM(R70:V70)</f>
        <v>0</v>
      </c>
      <c r="X70" s="20"/>
      <c r="Y70" s="20"/>
      <c r="Z70" s="20"/>
      <c r="AA70" s="20"/>
      <c r="AB70" s="20"/>
      <c r="AC70" s="21">
        <f t="shared" ref="AC70:AC78" si="103">SUM(X70:AB70)</f>
        <v>0</v>
      </c>
      <c r="AD70" s="25"/>
      <c r="AE70" s="20"/>
      <c r="AF70" s="21">
        <f t="shared" ref="AF70:AF78" si="104">SUM(AD70:AE70)</f>
        <v>0</v>
      </c>
      <c r="AG70" s="25"/>
      <c r="AH70" s="20"/>
      <c r="AI70" s="21">
        <f t="shared" ref="AI70:AI78" si="105">SUM(AG70:AH70)</f>
        <v>0</v>
      </c>
      <c r="AJ70" s="25"/>
      <c r="AK70" s="25"/>
      <c r="AL70" s="25"/>
      <c r="AM70" s="25"/>
      <c r="AN70" s="20"/>
      <c r="AO70" s="21">
        <f t="shared" ref="AO70:AO78" si="106">SUM(AJ70:AN70)</f>
        <v>0</v>
      </c>
      <c r="AP70" s="4">
        <f t="shared" ref="AP70:AR78" si="107">F70+L70+R70+X70+AJ70</f>
        <v>0</v>
      </c>
      <c r="AQ70" s="4">
        <f t="shared" si="107"/>
        <v>0</v>
      </c>
      <c r="AR70" s="4">
        <f t="shared" si="107"/>
        <v>155000</v>
      </c>
      <c r="AS70" s="4">
        <f t="shared" ref="AS70:AT78" si="108">I70+O70+U70+AA70+AD70+AG70+AM70</f>
        <v>0</v>
      </c>
      <c r="AT70" s="94">
        <f t="shared" si="108"/>
        <v>0</v>
      </c>
      <c r="AU70" s="9">
        <f t="shared" ref="AU70:AU78" si="109">SUM(AP70:AT70)</f>
        <v>155000</v>
      </c>
    </row>
    <row r="71" spans="1:47">
      <c r="A71" s="186"/>
      <c r="B71" s="8">
        <v>2</v>
      </c>
      <c r="C71" s="1" t="s">
        <v>162</v>
      </c>
      <c r="D71" s="4" t="s">
        <v>163</v>
      </c>
      <c r="E71" s="4" t="s">
        <v>159</v>
      </c>
      <c r="F71" s="4"/>
      <c r="G71" s="4">
        <v>430000</v>
      </c>
      <c r="H71" s="4">
        <f>60500+60500+286000+100000</f>
        <v>507000</v>
      </c>
      <c r="I71" s="4">
        <v>136500</v>
      </c>
      <c r="J71" s="4"/>
      <c r="K71" s="9">
        <f t="shared" si="100"/>
        <v>1073500</v>
      </c>
      <c r="L71" s="4"/>
      <c r="M71" s="4"/>
      <c r="N71" s="4"/>
      <c r="O71" s="4"/>
      <c r="P71" s="4"/>
      <c r="Q71" s="9">
        <f t="shared" si="101"/>
        <v>0</v>
      </c>
      <c r="R71" s="20"/>
      <c r="S71" s="20"/>
      <c r="T71" s="20"/>
      <c r="U71" s="20"/>
      <c r="V71" s="20"/>
      <c r="W71" s="9">
        <f t="shared" si="102"/>
        <v>0</v>
      </c>
      <c r="X71" s="20"/>
      <c r="Y71" s="20"/>
      <c r="Z71" s="20"/>
      <c r="AA71" s="20"/>
      <c r="AB71" s="20"/>
      <c r="AC71" s="21">
        <f t="shared" si="103"/>
        <v>0</v>
      </c>
      <c r="AD71" s="25"/>
      <c r="AE71" s="20"/>
      <c r="AF71" s="21">
        <f t="shared" si="104"/>
        <v>0</v>
      </c>
      <c r="AG71" s="25"/>
      <c r="AH71" s="20"/>
      <c r="AI71" s="21">
        <f t="shared" si="105"/>
        <v>0</v>
      </c>
      <c r="AJ71" s="25"/>
      <c r="AK71" s="25"/>
      <c r="AL71" s="25"/>
      <c r="AM71" s="25"/>
      <c r="AN71" s="20"/>
      <c r="AO71" s="21">
        <f t="shared" si="106"/>
        <v>0</v>
      </c>
      <c r="AP71" s="4">
        <f t="shared" si="107"/>
        <v>0</v>
      </c>
      <c r="AQ71" s="4">
        <f t="shared" si="107"/>
        <v>430000</v>
      </c>
      <c r="AR71" s="4">
        <f t="shared" si="107"/>
        <v>507000</v>
      </c>
      <c r="AS71" s="4">
        <f t="shared" si="108"/>
        <v>136500</v>
      </c>
      <c r="AT71" s="94">
        <f t="shared" si="108"/>
        <v>0</v>
      </c>
      <c r="AU71" s="9">
        <f t="shared" si="109"/>
        <v>1073500</v>
      </c>
    </row>
    <row r="72" spans="1:47">
      <c r="A72" s="186"/>
      <c r="B72" s="8">
        <v>3</v>
      </c>
      <c r="C72" s="1" t="s">
        <v>164</v>
      </c>
      <c r="D72" s="4" t="s">
        <v>165</v>
      </c>
      <c r="E72" s="4" t="s">
        <v>159</v>
      </c>
      <c r="F72" s="4"/>
      <c r="G72" s="4">
        <v>942500</v>
      </c>
      <c r="H72" s="4">
        <v>87500</v>
      </c>
      <c r="I72" s="4"/>
      <c r="J72" s="4"/>
      <c r="K72" s="9">
        <f t="shared" si="100"/>
        <v>1030000</v>
      </c>
      <c r="L72" s="4"/>
      <c r="M72" s="4"/>
      <c r="N72" s="4"/>
      <c r="O72" s="4"/>
      <c r="P72" s="4"/>
      <c r="Q72" s="9">
        <f t="shared" si="101"/>
        <v>0</v>
      </c>
      <c r="R72" s="20"/>
      <c r="S72" s="22">
        <v>794000</v>
      </c>
      <c r="T72" s="20"/>
      <c r="U72" s="20"/>
      <c r="V72" s="20"/>
      <c r="W72" s="9">
        <f t="shared" si="102"/>
        <v>794000</v>
      </c>
      <c r="X72" s="20"/>
      <c r="Y72" s="20"/>
      <c r="Z72" s="25"/>
      <c r="AA72" s="25"/>
      <c r="AB72" s="20"/>
      <c r="AC72" s="21">
        <f t="shared" si="103"/>
        <v>0</v>
      </c>
      <c r="AD72" s="25"/>
      <c r="AE72" s="20"/>
      <c r="AF72" s="21">
        <f t="shared" si="104"/>
        <v>0</v>
      </c>
      <c r="AG72" s="25"/>
      <c r="AH72" s="20"/>
      <c r="AI72" s="21">
        <f t="shared" si="105"/>
        <v>0</v>
      </c>
      <c r="AJ72" s="25"/>
      <c r="AK72" s="25"/>
      <c r="AL72" s="25"/>
      <c r="AM72" s="25"/>
      <c r="AN72" s="20"/>
      <c r="AO72" s="21">
        <f t="shared" si="106"/>
        <v>0</v>
      </c>
      <c r="AP72" s="4">
        <f t="shared" si="107"/>
        <v>0</v>
      </c>
      <c r="AQ72" s="4">
        <f t="shared" si="107"/>
        <v>1736500</v>
      </c>
      <c r="AR72" s="4">
        <f t="shared" si="107"/>
        <v>87500</v>
      </c>
      <c r="AS72" s="4">
        <f t="shared" si="108"/>
        <v>0</v>
      </c>
      <c r="AT72" s="94">
        <f t="shared" si="108"/>
        <v>0</v>
      </c>
      <c r="AU72" s="9">
        <f t="shared" si="109"/>
        <v>1824000</v>
      </c>
    </row>
    <row r="73" spans="1:47">
      <c r="A73" s="186"/>
      <c r="B73" s="8">
        <v>4</v>
      </c>
      <c r="C73" s="1" t="s">
        <v>166</v>
      </c>
      <c r="D73" s="4" t="s">
        <v>167</v>
      </c>
      <c r="E73" s="4" t="s">
        <v>159</v>
      </c>
      <c r="F73" s="4"/>
      <c r="G73" s="4"/>
      <c r="H73" s="4">
        <f>155000+104500+93500+110000+20000</f>
        <v>483000</v>
      </c>
      <c r="I73" s="4">
        <v>884000</v>
      </c>
      <c r="J73" s="4">
        <f>70000+210000+210000+210000+140000</f>
        <v>840000</v>
      </c>
      <c r="K73" s="9">
        <f t="shared" si="100"/>
        <v>2207000</v>
      </c>
      <c r="L73" s="4"/>
      <c r="M73" s="4"/>
      <c r="N73" s="4"/>
      <c r="O73" s="4"/>
      <c r="P73" s="4"/>
      <c r="Q73" s="9">
        <f t="shared" si="101"/>
        <v>0</v>
      </c>
      <c r="R73" s="20"/>
      <c r="S73" s="20"/>
      <c r="T73" s="20"/>
      <c r="U73" s="20"/>
      <c r="V73" s="20"/>
      <c r="W73" s="9">
        <f t="shared" si="102"/>
        <v>0</v>
      </c>
      <c r="X73" s="20"/>
      <c r="Y73" s="20"/>
      <c r="Z73" s="20"/>
      <c r="AA73" s="20"/>
      <c r="AB73" s="20"/>
      <c r="AC73" s="21">
        <f t="shared" si="103"/>
        <v>0</v>
      </c>
      <c r="AD73" s="25"/>
      <c r="AE73" s="20"/>
      <c r="AF73" s="21">
        <f t="shared" si="104"/>
        <v>0</v>
      </c>
      <c r="AG73" s="25"/>
      <c r="AH73" s="20"/>
      <c r="AI73" s="21">
        <f t="shared" si="105"/>
        <v>0</v>
      </c>
      <c r="AJ73" s="25"/>
      <c r="AK73" s="25"/>
      <c r="AL73" s="25"/>
      <c r="AM73" s="25"/>
      <c r="AN73" s="20"/>
      <c r="AO73" s="21">
        <f t="shared" si="106"/>
        <v>0</v>
      </c>
      <c r="AP73" s="4">
        <f t="shared" si="107"/>
        <v>0</v>
      </c>
      <c r="AQ73" s="4">
        <f t="shared" si="107"/>
        <v>0</v>
      </c>
      <c r="AR73" s="4">
        <f t="shared" si="107"/>
        <v>483000</v>
      </c>
      <c r="AS73" s="4">
        <f t="shared" si="108"/>
        <v>884000</v>
      </c>
      <c r="AT73" s="94">
        <f t="shared" si="108"/>
        <v>840000</v>
      </c>
      <c r="AU73" s="9">
        <f t="shared" si="109"/>
        <v>2207000</v>
      </c>
    </row>
    <row r="74" spans="1:47">
      <c r="A74" s="186"/>
      <c r="B74" s="8">
        <v>5</v>
      </c>
      <c r="C74" s="1" t="s">
        <v>168</v>
      </c>
      <c r="D74" s="4" t="s">
        <v>169</v>
      </c>
      <c r="E74" s="4" t="s">
        <v>159</v>
      </c>
      <c r="F74" s="4"/>
      <c r="G74" s="4">
        <v>155000</v>
      </c>
      <c r="H74" s="4">
        <v>469000</v>
      </c>
      <c r="I74" s="4">
        <v>632000</v>
      </c>
      <c r="J74" s="4">
        <f>38500+126000+129500+112000+70000</f>
        <v>476000</v>
      </c>
      <c r="K74" s="9">
        <f t="shared" si="100"/>
        <v>1732000</v>
      </c>
      <c r="L74" s="4"/>
      <c r="M74" s="4"/>
      <c r="N74" s="4"/>
      <c r="O74" s="4"/>
      <c r="P74" s="4"/>
      <c r="Q74" s="9">
        <f t="shared" si="101"/>
        <v>0</v>
      </c>
      <c r="R74" s="20"/>
      <c r="S74" s="20"/>
      <c r="T74" s="20"/>
      <c r="U74" s="20"/>
      <c r="V74" s="20"/>
      <c r="W74" s="9">
        <f t="shared" si="102"/>
        <v>0</v>
      </c>
      <c r="X74" s="20"/>
      <c r="Y74" s="20"/>
      <c r="Z74" s="20"/>
      <c r="AA74" s="20"/>
      <c r="AB74" s="20"/>
      <c r="AC74" s="21">
        <f t="shared" si="103"/>
        <v>0</v>
      </c>
      <c r="AD74" s="25"/>
      <c r="AE74" s="20"/>
      <c r="AF74" s="21">
        <f t="shared" si="104"/>
        <v>0</v>
      </c>
      <c r="AG74" s="25"/>
      <c r="AH74" s="20"/>
      <c r="AI74" s="21">
        <f t="shared" si="105"/>
        <v>0</v>
      </c>
      <c r="AJ74" s="25"/>
      <c r="AK74" s="25"/>
      <c r="AL74" s="25"/>
      <c r="AM74" s="25"/>
      <c r="AN74" s="20"/>
      <c r="AO74" s="21">
        <f t="shared" si="106"/>
        <v>0</v>
      </c>
      <c r="AP74" s="4">
        <f t="shared" si="107"/>
        <v>0</v>
      </c>
      <c r="AQ74" s="4">
        <f t="shared" si="107"/>
        <v>155000</v>
      </c>
      <c r="AR74" s="4">
        <f t="shared" si="107"/>
        <v>469000</v>
      </c>
      <c r="AS74" s="4">
        <f t="shared" si="108"/>
        <v>632000</v>
      </c>
      <c r="AT74" s="94">
        <f t="shared" si="108"/>
        <v>476000</v>
      </c>
      <c r="AU74" s="9">
        <f t="shared" si="109"/>
        <v>1732000</v>
      </c>
    </row>
    <row r="75" spans="1:47">
      <c r="A75" s="186"/>
      <c r="B75" s="8">
        <v>6</v>
      </c>
      <c r="C75" s="1" t="s">
        <v>170</v>
      </c>
      <c r="D75" s="4" t="s">
        <v>171</v>
      </c>
      <c r="E75" s="4" t="s">
        <v>159</v>
      </c>
      <c r="F75" s="4"/>
      <c r="G75" s="4"/>
      <c r="H75" s="4"/>
      <c r="I75" s="4"/>
      <c r="J75" s="4"/>
      <c r="K75" s="9">
        <f t="shared" si="100"/>
        <v>0</v>
      </c>
      <c r="L75" s="4"/>
      <c r="M75" s="4"/>
      <c r="N75" s="4"/>
      <c r="O75" s="4"/>
      <c r="P75" s="4"/>
      <c r="Q75" s="9">
        <f t="shared" si="101"/>
        <v>0</v>
      </c>
      <c r="R75" s="20"/>
      <c r="S75" s="20"/>
      <c r="T75" s="20"/>
      <c r="U75" s="20"/>
      <c r="V75" s="20"/>
      <c r="W75" s="9">
        <f t="shared" si="102"/>
        <v>0</v>
      </c>
      <c r="X75" s="20"/>
      <c r="Y75" s="25">
        <v>232800</v>
      </c>
      <c r="Z75" s="25">
        <v>424050</v>
      </c>
      <c r="AA75" s="25">
        <v>229000</v>
      </c>
      <c r="AB75" s="20">
        <f>59500+31500+168000+126000+42000</f>
        <v>427000</v>
      </c>
      <c r="AC75" s="21">
        <f t="shared" si="103"/>
        <v>1312850</v>
      </c>
      <c r="AD75" s="25"/>
      <c r="AE75" s="20"/>
      <c r="AF75" s="21">
        <f t="shared" si="104"/>
        <v>0</v>
      </c>
      <c r="AG75" s="25"/>
      <c r="AH75" s="20"/>
      <c r="AI75" s="21">
        <f t="shared" si="105"/>
        <v>0</v>
      </c>
      <c r="AJ75" s="25"/>
      <c r="AK75" s="25"/>
      <c r="AL75" s="25"/>
      <c r="AM75" s="25"/>
      <c r="AN75" s="20"/>
      <c r="AO75" s="21">
        <f t="shared" si="106"/>
        <v>0</v>
      </c>
      <c r="AP75" s="4">
        <f t="shared" si="107"/>
        <v>0</v>
      </c>
      <c r="AQ75" s="4">
        <f t="shared" si="107"/>
        <v>232800</v>
      </c>
      <c r="AR75" s="4">
        <f t="shared" si="107"/>
        <v>424050</v>
      </c>
      <c r="AS75" s="4">
        <f t="shared" si="108"/>
        <v>229000</v>
      </c>
      <c r="AT75" s="94">
        <f t="shared" si="108"/>
        <v>427000</v>
      </c>
      <c r="AU75" s="9">
        <f t="shared" si="109"/>
        <v>1312850</v>
      </c>
    </row>
    <row r="76" spans="1:47">
      <c r="A76" s="186"/>
      <c r="B76" s="8">
        <v>7</v>
      </c>
      <c r="C76" s="1" t="s">
        <v>172</v>
      </c>
      <c r="D76" s="4" t="s">
        <v>165</v>
      </c>
      <c r="E76" s="4" t="s">
        <v>159</v>
      </c>
      <c r="F76" s="4"/>
      <c r="G76" s="4"/>
      <c r="H76" s="4">
        <v>155000</v>
      </c>
      <c r="I76" s="4">
        <v>-155000</v>
      </c>
      <c r="J76" s="4"/>
      <c r="K76" s="9">
        <f t="shared" si="100"/>
        <v>0</v>
      </c>
      <c r="L76" s="4"/>
      <c r="M76" s="4"/>
      <c r="N76" s="4"/>
      <c r="O76" s="4"/>
      <c r="P76" s="4"/>
      <c r="Q76" s="9">
        <f t="shared" si="101"/>
        <v>0</v>
      </c>
      <c r="R76" s="20"/>
      <c r="S76" s="20"/>
      <c r="T76" s="20"/>
      <c r="U76" s="20"/>
      <c r="V76" s="20"/>
      <c r="W76" s="9">
        <f t="shared" si="102"/>
        <v>0</v>
      </c>
      <c r="X76" s="20"/>
      <c r="Y76" s="20"/>
      <c r="Z76" s="20"/>
      <c r="AA76" s="20"/>
      <c r="AB76" s="20"/>
      <c r="AC76" s="21">
        <f t="shared" si="103"/>
        <v>0</v>
      </c>
      <c r="AD76" s="25"/>
      <c r="AE76" s="20"/>
      <c r="AF76" s="21">
        <f t="shared" si="104"/>
        <v>0</v>
      </c>
      <c r="AG76" s="25"/>
      <c r="AH76" s="20"/>
      <c r="AI76" s="21">
        <f t="shared" si="105"/>
        <v>0</v>
      </c>
      <c r="AJ76" s="25"/>
      <c r="AK76" s="25"/>
      <c r="AL76" s="25"/>
      <c r="AM76" s="25"/>
      <c r="AN76" s="20"/>
      <c r="AO76" s="21">
        <f t="shared" si="106"/>
        <v>0</v>
      </c>
      <c r="AP76" s="4">
        <f t="shared" si="107"/>
        <v>0</v>
      </c>
      <c r="AQ76" s="4">
        <f t="shared" si="107"/>
        <v>0</v>
      </c>
      <c r="AR76" s="4">
        <f t="shared" si="107"/>
        <v>155000</v>
      </c>
      <c r="AS76" s="4">
        <f t="shared" si="108"/>
        <v>-155000</v>
      </c>
      <c r="AT76" s="94">
        <f t="shared" si="108"/>
        <v>0</v>
      </c>
      <c r="AU76" s="9">
        <f t="shared" si="109"/>
        <v>0</v>
      </c>
    </row>
    <row r="77" spans="1:47" ht="31.5">
      <c r="A77" s="186"/>
      <c r="B77" s="8">
        <v>8</v>
      </c>
      <c r="C77" s="1" t="s">
        <v>173</v>
      </c>
      <c r="D77" s="4" t="s">
        <v>174</v>
      </c>
      <c r="E77" s="4" t="s">
        <v>159</v>
      </c>
      <c r="F77" s="4"/>
      <c r="G77" s="4"/>
      <c r="H77" s="4">
        <v>155000</v>
      </c>
      <c r="I77" s="4"/>
      <c r="J77" s="4"/>
      <c r="K77" s="9">
        <f t="shared" si="100"/>
        <v>155000</v>
      </c>
      <c r="L77" s="4"/>
      <c r="M77" s="4"/>
      <c r="N77" s="4"/>
      <c r="O77" s="4"/>
      <c r="P77" s="4"/>
      <c r="Q77" s="9">
        <f t="shared" si="101"/>
        <v>0</v>
      </c>
      <c r="R77" s="20"/>
      <c r="S77" s="20"/>
      <c r="T77" s="20"/>
      <c r="U77" s="20"/>
      <c r="V77" s="20"/>
      <c r="W77" s="9">
        <f t="shared" si="102"/>
        <v>0</v>
      </c>
      <c r="X77" s="20"/>
      <c r="Y77" s="20"/>
      <c r="Z77" s="20"/>
      <c r="AA77" s="20"/>
      <c r="AB77" s="20"/>
      <c r="AC77" s="21">
        <f t="shared" si="103"/>
        <v>0</v>
      </c>
      <c r="AD77" s="25"/>
      <c r="AE77" s="20"/>
      <c r="AF77" s="21">
        <f t="shared" si="104"/>
        <v>0</v>
      </c>
      <c r="AG77" s="25"/>
      <c r="AH77" s="20"/>
      <c r="AI77" s="21">
        <f t="shared" si="105"/>
        <v>0</v>
      </c>
      <c r="AJ77" s="25"/>
      <c r="AK77" s="25"/>
      <c r="AL77" s="25"/>
      <c r="AM77" s="25"/>
      <c r="AN77" s="20"/>
      <c r="AO77" s="21">
        <f t="shared" si="106"/>
        <v>0</v>
      </c>
      <c r="AP77" s="4">
        <f t="shared" si="107"/>
        <v>0</v>
      </c>
      <c r="AQ77" s="4">
        <f t="shared" si="107"/>
        <v>0</v>
      </c>
      <c r="AR77" s="4">
        <f t="shared" si="107"/>
        <v>155000</v>
      </c>
      <c r="AS77" s="4">
        <f t="shared" si="108"/>
        <v>0</v>
      </c>
      <c r="AT77" s="94">
        <f t="shared" si="108"/>
        <v>0</v>
      </c>
      <c r="AU77" s="9">
        <f t="shared" si="109"/>
        <v>155000</v>
      </c>
    </row>
    <row r="78" spans="1:47">
      <c r="A78" s="187"/>
      <c r="B78" s="8">
        <v>9</v>
      </c>
      <c r="C78" s="1" t="s">
        <v>175</v>
      </c>
      <c r="D78" s="4" t="s">
        <v>163</v>
      </c>
      <c r="E78" s="4" t="s">
        <v>159</v>
      </c>
      <c r="F78" s="4"/>
      <c r="G78" s="4"/>
      <c r="H78" s="4">
        <v>155000</v>
      </c>
      <c r="I78" s="4">
        <v>776500</v>
      </c>
      <c r="J78" s="4">
        <f>200000+273000+210000+140000</f>
        <v>823000</v>
      </c>
      <c r="K78" s="9">
        <f t="shared" si="100"/>
        <v>1754500</v>
      </c>
      <c r="L78" s="4"/>
      <c r="M78" s="4"/>
      <c r="N78" s="4"/>
      <c r="O78" s="4"/>
      <c r="P78" s="4"/>
      <c r="Q78" s="9">
        <f t="shared" si="101"/>
        <v>0</v>
      </c>
      <c r="R78" s="20"/>
      <c r="S78" s="20"/>
      <c r="T78" s="20"/>
      <c r="U78" s="20"/>
      <c r="V78" s="20"/>
      <c r="W78" s="9">
        <f t="shared" si="102"/>
        <v>0</v>
      </c>
      <c r="X78" s="20"/>
      <c r="Y78" s="20"/>
      <c r="Z78" s="20"/>
      <c r="AA78" s="20"/>
      <c r="AB78" s="20"/>
      <c r="AC78" s="21">
        <f t="shared" si="103"/>
        <v>0</v>
      </c>
      <c r="AD78" s="25"/>
      <c r="AE78" s="20"/>
      <c r="AF78" s="21">
        <f t="shared" si="104"/>
        <v>0</v>
      </c>
      <c r="AG78" s="25"/>
      <c r="AH78" s="20"/>
      <c r="AI78" s="21">
        <f t="shared" si="105"/>
        <v>0</v>
      </c>
      <c r="AJ78" s="25"/>
      <c r="AK78" s="25"/>
      <c r="AL78" s="25"/>
      <c r="AM78" s="25"/>
      <c r="AN78" s="20"/>
      <c r="AO78" s="21">
        <f t="shared" si="106"/>
        <v>0</v>
      </c>
      <c r="AP78" s="4">
        <f t="shared" si="107"/>
        <v>0</v>
      </c>
      <c r="AQ78" s="4">
        <f t="shared" si="107"/>
        <v>0</v>
      </c>
      <c r="AR78" s="4">
        <f t="shared" si="107"/>
        <v>155000</v>
      </c>
      <c r="AS78" s="4">
        <f t="shared" si="108"/>
        <v>776500</v>
      </c>
      <c r="AT78" s="94">
        <f t="shared" si="108"/>
        <v>823000</v>
      </c>
      <c r="AU78" s="9">
        <f t="shared" si="109"/>
        <v>1754500</v>
      </c>
    </row>
    <row r="79" spans="1:47" s="38" customFormat="1">
      <c r="A79" s="34"/>
      <c r="B79" s="34"/>
      <c r="C79" s="35" t="s">
        <v>176</v>
      </c>
      <c r="D79" s="37"/>
      <c r="E79" s="37"/>
      <c r="F79" s="37">
        <f>SUM(F70:F78)</f>
        <v>0</v>
      </c>
      <c r="G79" s="37">
        <f t="shared" ref="G79:AU79" si="110">SUM(G70:G78)</f>
        <v>1527500</v>
      </c>
      <c r="H79" s="37">
        <f t="shared" si="110"/>
        <v>2166500</v>
      </c>
      <c r="I79" s="37">
        <f t="shared" si="110"/>
        <v>2274000</v>
      </c>
      <c r="J79" s="37">
        <f t="shared" si="110"/>
        <v>2139000</v>
      </c>
      <c r="K79" s="37">
        <f t="shared" si="110"/>
        <v>8107000</v>
      </c>
      <c r="L79" s="37">
        <f t="shared" si="110"/>
        <v>0</v>
      </c>
      <c r="M79" s="37">
        <f t="shared" si="110"/>
        <v>0</v>
      </c>
      <c r="N79" s="37">
        <f t="shared" si="110"/>
        <v>0</v>
      </c>
      <c r="O79" s="37">
        <f t="shared" si="110"/>
        <v>0</v>
      </c>
      <c r="P79" s="37">
        <f t="shared" si="110"/>
        <v>0</v>
      </c>
      <c r="Q79" s="37">
        <f t="shared" si="110"/>
        <v>0</v>
      </c>
      <c r="R79" s="37">
        <f t="shared" si="110"/>
        <v>0</v>
      </c>
      <c r="S79" s="37">
        <f t="shared" si="110"/>
        <v>794000</v>
      </c>
      <c r="T79" s="37">
        <f t="shared" si="110"/>
        <v>0</v>
      </c>
      <c r="U79" s="37">
        <f t="shared" si="110"/>
        <v>0</v>
      </c>
      <c r="V79" s="37">
        <f t="shared" si="110"/>
        <v>0</v>
      </c>
      <c r="W79" s="37">
        <f t="shared" si="110"/>
        <v>794000</v>
      </c>
      <c r="X79" s="37">
        <f t="shared" si="110"/>
        <v>0</v>
      </c>
      <c r="Y79" s="37">
        <f t="shared" si="110"/>
        <v>232800</v>
      </c>
      <c r="Z79" s="37">
        <f t="shared" si="110"/>
        <v>424050</v>
      </c>
      <c r="AA79" s="37">
        <f t="shared" si="110"/>
        <v>229000</v>
      </c>
      <c r="AB79" s="37">
        <f t="shared" si="110"/>
        <v>427000</v>
      </c>
      <c r="AC79" s="37">
        <f t="shared" si="110"/>
        <v>1312850</v>
      </c>
      <c r="AD79" s="37">
        <f t="shared" si="110"/>
        <v>0</v>
      </c>
      <c r="AE79" s="37">
        <f t="shared" si="110"/>
        <v>0</v>
      </c>
      <c r="AF79" s="37">
        <f t="shared" si="110"/>
        <v>0</v>
      </c>
      <c r="AG79" s="37">
        <f t="shared" si="110"/>
        <v>0</v>
      </c>
      <c r="AH79" s="37">
        <f t="shared" si="110"/>
        <v>0</v>
      </c>
      <c r="AI79" s="37">
        <f t="shared" si="110"/>
        <v>0</v>
      </c>
      <c r="AJ79" s="37">
        <f t="shared" si="110"/>
        <v>0</v>
      </c>
      <c r="AK79" s="37">
        <f t="shared" si="110"/>
        <v>0</v>
      </c>
      <c r="AL79" s="37">
        <f t="shared" si="110"/>
        <v>0</v>
      </c>
      <c r="AM79" s="37">
        <f t="shared" si="110"/>
        <v>0</v>
      </c>
      <c r="AN79" s="37">
        <f t="shared" si="110"/>
        <v>0</v>
      </c>
      <c r="AO79" s="37">
        <f t="shared" si="110"/>
        <v>0</v>
      </c>
      <c r="AP79" s="37">
        <f t="shared" si="110"/>
        <v>0</v>
      </c>
      <c r="AQ79" s="37">
        <f t="shared" si="110"/>
        <v>2554300</v>
      </c>
      <c r="AR79" s="37">
        <f t="shared" si="110"/>
        <v>2590550</v>
      </c>
      <c r="AS79" s="37">
        <f t="shared" si="110"/>
        <v>2503000</v>
      </c>
      <c r="AT79" s="37">
        <f t="shared" si="110"/>
        <v>2566000</v>
      </c>
      <c r="AU79" s="37">
        <f t="shared" si="110"/>
        <v>10213850</v>
      </c>
    </row>
    <row r="80" spans="1:47" ht="31.5">
      <c r="A80" s="104" t="s">
        <v>34</v>
      </c>
      <c r="B80" s="8">
        <v>1</v>
      </c>
      <c r="C80" s="1" t="s">
        <v>60</v>
      </c>
      <c r="D80" s="4" t="s">
        <v>33</v>
      </c>
      <c r="E80" s="4" t="s">
        <v>34</v>
      </c>
      <c r="F80" s="4"/>
      <c r="G80" s="4">
        <v>155000</v>
      </c>
      <c r="H80" s="4">
        <f>180000-155000</f>
        <v>25000</v>
      </c>
      <c r="I80" s="4">
        <v>160000</v>
      </c>
      <c r="J80" s="4">
        <f>590000+49000+378000</f>
        <v>1017000</v>
      </c>
      <c r="K80" s="9">
        <f>SUM(F80:J80)</f>
        <v>1357000</v>
      </c>
      <c r="L80" s="4"/>
      <c r="M80" s="4"/>
      <c r="N80" s="4"/>
      <c r="O80" s="4"/>
      <c r="P80" s="4"/>
      <c r="Q80" s="9">
        <f>SUM(L80:P80)</f>
        <v>0</v>
      </c>
      <c r="R80" s="20"/>
      <c r="S80" s="20"/>
      <c r="T80" s="20"/>
      <c r="U80" s="20"/>
      <c r="V80" s="20"/>
      <c r="W80" s="9">
        <f>SUM(R80:V80)</f>
        <v>0</v>
      </c>
      <c r="X80" s="20"/>
      <c r="Y80" s="20"/>
      <c r="Z80" s="20"/>
      <c r="AA80" s="20"/>
      <c r="AB80" s="20"/>
      <c r="AC80" s="21">
        <f>SUM(X80:AB80)</f>
        <v>0</v>
      </c>
      <c r="AD80" s="25"/>
      <c r="AE80" s="20"/>
      <c r="AF80" s="21"/>
      <c r="AG80" s="25"/>
      <c r="AH80" s="20"/>
      <c r="AI80" s="21">
        <f>SUM(AG80:AH80)</f>
        <v>0</v>
      </c>
      <c r="AJ80" s="25"/>
      <c r="AK80" s="25"/>
      <c r="AL80" s="25"/>
      <c r="AM80" s="25"/>
      <c r="AN80" s="20"/>
      <c r="AO80" s="21">
        <f>SUM(AJ80:AN80)</f>
        <v>0</v>
      </c>
      <c r="AP80" s="4">
        <f>F80+L80+R80+X80+AJ80</f>
        <v>0</v>
      </c>
      <c r="AQ80" s="4">
        <f>G80+M80+S80+Y80+AK80</f>
        <v>155000</v>
      </c>
      <c r="AR80" s="4">
        <f>H80+N80+T80+Z80+AL80</f>
        <v>25000</v>
      </c>
      <c r="AS80" s="4">
        <f>I80+O80+U80+AA80+AD80+AG80+AM80</f>
        <v>160000</v>
      </c>
      <c r="AT80" s="94">
        <f>J80+P80+V80+AB80+AE80+AH80+AN80</f>
        <v>1017000</v>
      </c>
      <c r="AU80" s="9">
        <f>SUM(AP80:AT80)</f>
        <v>1357000</v>
      </c>
    </row>
    <row r="81" spans="1:47" s="38" customFormat="1">
      <c r="A81" s="34"/>
      <c r="B81" s="34"/>
      <c r="C81" s="35" t="s">
        <v>177</v>
      </c>
      <c r="D81" s="37"/>
      <c r="E81" s="37"/>
      <c r="F81" s="37">
        <f>SUM(F80)</f>
        <v>0</v>
      </c>
      <c r="G81" s="37">
        <f t="shared" ref="G81:AU81" si="111">SUM(G80)</f>
        <v>155000</v>
      </c>
      <c r="H81" s="37">
        <f t="shared" si="111"/>
        <v>25000</v>
      </c>
      <c r="I81" s="37">
        <f t="shared" si="111"/>
        <v>160000</v>
      </c>
      <c r="J81" s="37">
        <f t="shared" si="111"/>
        <v>1017000</v>
      </c>
      <c r="K81" s="37">
        <f t="shared" si="111"/>
        <v>1357000</v>
      </c>
      <c r="L81" s="37">
        <f t="shared" si="111"/>
        <v>0</v>
      </c>
      <c r="M81" s="37">
        <f t="shared" si="111"/>
        <v>0</v>
      </c>
      <c r="N81" s="37">
        <f t="shared" si="111"/>
        <v>0</v>
      </c>
      <c r="O81" s="37">
        <f t="shared" si="111"/>
        <v>0</v>
      </c>
      <c r="P81" s="37">
        <f t="shared" si="111"/>
        <v>0</v>
      </c>
      <c r="Q81" s="37">
        <f t="shared" si="111"/>
        <v>0</v>
      </c>
      <c r="R81" s="37">
        <f t="shared" si="111"/>
        <v>0</v>
      </c>
      <c r="S81" s="37">
        <f t="shared" si="111"/>
        <v>0</v>
      </c>
      <c r="T81" s="37">
        <f t="shared" si="111"/>
        <v>0</v>
      </c>
      <c r="U81" s="37">
        <f t="shared" si="111"/>
        <v>0</v>
      </c>
      <c r="V81" s="37">
        <f t="shared" si="111"/>
        <v>0</v>
      </c>
      <c r="W81" s="37">
        <f t="shared" si="111"/>
        <v>0</v>
      </c>
      <c r="X81" s="37">
        <f t="shared" si="111"/>
        <v>0</v>
      </c>
      <c r="Y81" s="37">
        <f t="shared" si="111"/>
        <v>0</v>
      </c>
      <c r="Z81" s="37">
        <f t="shared" si="111"/>
        <v>0</v>
      </c>
      <c r="AA81" s="37">
        <f t="shared" si="111"/>
        <v>0</v>
      </c>
      <c r="AB81" s="37">
        <f t="shared" si="111"/>
        <v>0</v>
      </c>
      <c r="AC81" s="37">
        <f t="shared" si="111"/>
        <v>0</v>
      </c>
      <c r="AD81" s="37">
        <f t="shared" si="111"/>
        <v>0</v>
      </c>
      <c r="AE81" s="37">
        <f t="shared" si="111"/>
        <v>0</v>
      </c>
      <c r="AF81" s="37">
        <f t="shared" si="111"/>
        <v>0</v>
      </c>
      <c r="AG81" s="37">
        <f t="shared" si="111"/>
        <v>0</v>
      </c>
      <c r="AH81" s="37">
        <f t="shared" si="111"/>
        <v>0</v>
      </c>
      <c r="AI81" s="37">
        <f t="shared" si="111"/>
        <v>0</v>
      </c>
      <c r="AJ81" s="37">
        <f t="shared" si="111"/>
        <v>0</v>
      </c>
      <c r="AK81" s="37">
        <f t="shared" si="111"/>
        <v>0</v>
      </c>
      <c r="AL81" s="37">
        <f t="shared" si="111"/>
        <v>0</v>
      </c>
      <c r="AM81" s="37">
        <f t="shared" si="111"/>
        <v>0</v>
      </c>
      <c r="AN81" s="37">
        <f t="shared" si="111"/>
        <v>0</v>
      </c>
      <c r="AO81" s="37">
        <f t="shared" si="111"/>
        <v>0</v>
      </c>
      <c r="AP81" s="37">
        <f t="shared" si="111"/>
        <v>0</v>
      </c>
      <c r="AQ81" s="37">
        <f t="shared" si="111"/>
        <v>155000</v>
      </c>
      <c r="AR81" s="37">
        <f t="shared" si="111"/>
        <v>25000</v>
      </c>
      <c r="AS81" s="37">
        <f t="shared" si="111"/>
        <v>160000</v>
      </c>
      <c r="AT81" s="37">
        <f t="shared" si="111"/>
        <v>1017000</v>
      </c>
      <c r="AU81" s="37">
        <f t="shared" si="111"/>
        <v>1357000</v>
      </c>
    </row>
    <row r="82" spans="1:47">
      <c r="A82" s="185" t="s">
        <v>17</v>
      </c>
      <c r="B82" s="8">
        <v>1</v>
      </c>
      <c r="C82" s="1" t="s">
        <v>178</v>
      </c>
      <c r="D82" s="4" t="s">
        <v>179</v>
      </c>
      <c r="E82" s="4" t="s">
        <v>17</v>
      </c>
      <c r="F82" s="4">
        <v>155000</v>
      </c>
      <c r="G82" s="4">
        <v>1164000</v>
      </c>
      <c r="H82" s="4">
        <f>110000+110000+330000+110000+80000</f>
        <v>740000</v>
      </c>
      <c r="I82" s="4">
        <f>20000+60000</f>
        <v>80000</v>
      </c>
      <c r="J82" s="4"/>
      <c r="K82" s="9">
        <f t="shared" ref="K82:K112" si="112">SUM(F82:J82)</f>
        <v>2139000</v>
      </c>
      <c r="L82" s="77">
        <v>290000</v>
      </c>
      <c r="M82" s="77">
        <v>2150000</v>
      </c>
      <c r="N82" s="77">
        <v>1650000</v>
      </c>
      <c r="O82" s="77">
        <v>200000</v>
      </c>
      <c r="P82" s="4"/>
      <c r="Q82" s="9">
        <f t="shared" ref="Q82:Q112" si="113">SUM(L82:P82)</f>
        <v>4290000</v>
      </c>
      <c r="R82" s="20"/>
      <c r="S82" s="20"/>
      <c r="T82" s="4">
        <v>590000</v>
      </c>
      <c r="U82" s="23"/>
      <c r="V82" s="23"/>
      <c r="W82" s="9">
        <f t="shared" ref="W82:W112" si="114">SUM(R82:V82)</f>
        <v>590000</v>
      </c>
      <c r="X82" s="20">
        <v>195000</v>
      </c>
      <c r="Y82" s="25">
        <v>1676350</v>
      </c>
      <c r="Z82" s="25">
        <f>792000+30000</f>
        <v>822000</v>
      </c>
      <c r="AA82" s="24">
        <v>30000</v>
      </c>
      <c r="AB82" s="20"/>
      <c r="AC82" s="21">
        <f t="shared" ref="AC82:AC112" si="115">SUM(X82:AB82)</f>
        <v>2723350</v>
      </c>
      <c r="AD82" s="25">
        <v>0</v>
      </c>
      <c r="AE82" s="20"/>
      <c r="AF82" s="21">
        <f t="shared" ref="AF82:AF112" si="116">SUM(AD82:AE82)</f>
        <v>0</v>
      </c>
      <c r="AG82" s="24">
        <v>900000</v>
      </c>
      <c r="AH82" s="20">
        <f>300000+300000+300000+300000+200000</f>
        <v>1400000</v>
      </c>
      <c r="AI82" s="21">
        <f t="shared" ref="AI82:AI112" si="117">SUM(AG82:AH82)</f>
        <v>2300000</v>
      </c>
      <c r="AJ82" s="25"/>
      <c r="AK82" s="24">
        <f>100000+248400</f>
        <v>348400</v>
      </c>
      <c r="AL82" s="25"/>
      <c r="AM82" s="25"/>
      <c r="AN82" s="20"/>
      <c r="AO82" s="21">
        <f t="shared" ref="AO82:AO112" si="118">SUM(AJ82:AN82)</f>
        <v>348400</v>
      </c>
      <c r="AP82" s="4">
        <f t="shared" ref="AP82:AR112" si="119">F82+L82+R82+X82+AJ82</f>
        <v>640000</v>
      </c>
      <c r="AQ82" s="4">
        <f t="shared" si="119"/>
        <v>5338750</v>
      </c>
      <c r="AR82" s="4">
        <f t="shared" si="119"/>
        <v>3802000</v>
      </c>
      <c r="AS82" s="4">
        <f t="shared" ref="AS82:AT112" si="120">I82+O82+U82+AA82+AD82+AG82+AM82</f>
        <v>1210000</v>
      </c>
      <c r="AT82" s="94">
        <f t="shared" si="120"/>
        <v>1400000</v>
      </c>
      <c r="AU82" s="9">
        <f t="shared" ref="AU82:AU112" si="121">SUM(AP82:AT82)</f>
        <v>12390750</v>
      </c>
    </row>
    <row r="83" spans="1:47">
      <c r="A83" s="186"/>
      <c r="B83" s="8">
        <v>2</v>
      </c>
      <c r="C83" s="1" t="s">
        <v>180</v>
      </c>
      <c r="D83" s="4" t="s">
        <v>181</v>
      </c>
      <c r="E83" s="4" t="s">
        <v>17</v>
      </c>
      <c r="F83" s="4"/>
      <c r="G83" s="4"/>
      <c r="H83" s="4">
        <v>155000</v>
      </c>
      <c r="I83" s="4">
        <f>156000+16000</f>
        <v>172000</v>
      </c>
      <c r="J83" s="4"/>
      <c r="K83" s="9">
        <f t="shared" si="112"/>
        <v>327000</v>
      </c>
      <c r="L83" s="77"/>
      <c r="M83" s="77"/>
      <c r="N83" s="77">
        <v>390000</v>
      </c>
      <c r="O83" s="77"/>
      <c r="P83" s="4"/>
      <c r="Q83" s="9">
        <f t="shared" si="113"/>
        <v>390000</v>
      </c>
      <c r="R83" s="20"/>
      <c r="S83" s="20"/>
      <c r="T83" s="4"/>
      <c r="U83" s="20"/>
      <c r="V83" s="20"/>
      <c r="W83" s="9">
        <f t="shared" si="114"/>
        <v>0</v>
      </c>
      <c r="X83" s="20"/>
      <c r="Y83" s="25">
        <v>195000</v>
      </c>
      <c r="Z83" s="25">
        <f>165550+208000</f>
        <v>373550</v>
      </c>
      <c r="AA83" s="24">
        <v>30000</v>
      </c>
      <c r="AB83" s="20"/>
      <c r="AC83" s="21">
        <f t="shared" si="115"/>
        <v>598550</v>
      </c>
      <c r="AD83" s="25">
        <v>945000</v>
      </c>
      <c r="AE83" s="20">
        <f>315000+315000+315000</f>
        <v>945000</v>
      </c>
      <c r="AF83" s="21">
        <f t="shared" si="116"/>
        <v>1890000</v>
      </c>
      <c r="AG83" s="25"/>
      <c r="AH83" s="20"/>
      <c r="AI83" s="21">
        <f t="shared" si="117"/>
        <v>0</v>
      </c>
      <c r="AJ83" s="25"/>
      <c r="AK83" s="25"/>
      <c r="AL83" s="25"/>
      <c r="AM83" s="25"/>
      <c r="AN83" s="20"/>
      <c r="AO83" s="21">
        <f t="shared" si="118"/>
        <v>0</v>
      </c>
      <c r="AP83" s="4">
        <f t="shared" si="119"/>
        <v>0</v>
      </c>
      <c r="AQ83" s="4">
        <f t="shared" si="119"/>
        <v>195000</v>
      </c>
      <c r="AR83" s="4">
        <f t="shared" si="119"/>
        <v>918550</v>
      </c>
      <c r="AS83" s="4">
        <f t="shared" si="120"/>
        <v>1147000</v>
      </c>
      <c r="AT83" s="94">
        <f t="shared" si="120"/>
        <v>945000</v>
      </c>
      <c r="AU83" s="9">
        <f t="shared" si="121"/>
        <v>3205550</v>
      </c>
    </row>
    <row r="84" spans="1:47">
      <c r="A84" s="186"/>
      <c r="B84" s="8">
        <v>3</v>
      </c>
      <c r="C84" s="1" t="s">
        <v>182</v>
      </c>
      <c r="D84" s="4" t="s">
        <v>183</v>
      </c>
      <c r="E84" s="4" t="s">
        <v>17</v>
      </c>
      <c r="F84" s="4"/>
      <c r="G84" s="4"/>
      <c r="H84" s="4"/>
      <c r="I84" s="4"/>
      <c r="J84" s="4"/>
      <c r="K84" s="9">
        <f t="shared" si="112"/>
        <v>0</v>
      </c>
      <c r="L84" s="77"/>
      <c r="M84" s="77"/>
      <c r="N84" s="77">
        <v>290000</v>
      </c>
      <c r="O84" s="77">
        <v>-290000</v>
      </c>
      <c r="P84" s="4"/>
      <c r="Q84" s="9">
        <f t="shared" si="113"/>
        <v>0</v>
      </c>
      <c r="R84" s="20"/>
      <c r="S84" s="20"/>
      <c r="T84" s="4"/>
      <c r="U84" s="20"/>
      <c r="V84" s="20"/>
      <c r="W84" s="9">
        <f t="shared" si="114"/>
        <v>0</v>
      </c>
      <c r="X84" s="20"/>
      <c r="Y84" s="25"/>
      <c r="Z84" s="25">
        <v>225000</v>
      </c>
      <c r="AA84" s="24">
        <v>963000</v>
      </c>
      <c r="AB84" s="20">
        <f>70000+630000+140000</f>
        <v>840000</v>
      </c>
      <c r="AC84" s="21">
        <f t="shared" si="115"/>
        <v>2028000</v>
      </c>
      <c r="AD84" s="25">
        <v>0</v>
      </c>
      <c r="AE84" s="20"/>
      <c r="AF84" s="21">
        <f t="shared" si="116"/>
        <v>0</v>
      </c>
      <c r="AG84" s="25"/>
      <c r="AH84" s="20"/>
      <c r="AI84" s="21">
        <f t="shared" si="117"/>
        <v>0</v>
      </c>
      <c r="AJ84" s="25"/>
      <c r="AK84" s="25"/>
      <c r="AL84" s="25"/>
      <c r="AM84" s="25"/>
      <c r="AN84" s="20"/>
      <c r="AO84" s="21">
        <f t="shared" si="118"/>
        <v>0</v>
      </c>
      <c r="AP84" s="4">
        <f t="shared" si="119"/>
        <v>0</v>
      </c>
      <c r="AQ84" s="4">
        <f t="shared" si="119"/>
        <v>0</v>
      </c>
      <c r="AR84" s="4">
        <f t="shared" si="119"/>
        <v>515000</v>
      </c>
      <c r="AS84" s="4">
        <f t="shared" si="120"/>
        <v>673000</v>
      </c>
      <c r="AT84" s="94">
        <f t="shared" si="120"/>
        <v>840000</v>
      </c>
      <c r="AU84" s="9">
        <f t="shared" si="121"/>
        <v>2028000</v>
      </c>
    </row>
    <row r="85" spans="1:47">
      <c r="A85" s="186"/>
      <c r="B85" s="8">
        <v>4</v>
      </c>
      <c r="C85" s="1" t="s">
        <v>184</v>
      </c>
      <c r="D85" s="4" t="s">
        <v>185</v>
      </c>
      <c r="E85" s="4" t="s">
        <v>17</v>
      </c>
      <c r="F85" s="4"/>
      <c r="G85" s="4">
        <v>323000</v>
      </c>
      <c r="H85" s="4">
        <f>93500+55000+253000+71500+55000+20000+60000</f>
        <v>608000</v>
      </c>
      <c r="I85" s="4">
        <v>649000</v>
      </c>
      <c r="J85" s="4">
        <f>59500+147000+154000+157500</f>
        <v>518000</v>
      </c>
      <c r="K85" s="9">
        <f t="shared" si="112"/>
        <v>2098000</v>
      </c>
      <c r="L85" s="4"/>
      <c r="M85" s="4"/>
      <c r="N85" s="4"/>
      <c r="O85" s="4"/>
      <c r="P85" s="4"/>
      <c r="Q85" s="9">
        <f t="shared" si="113"/>
        <v>0</v>
      </c>
      <c r="R85" s="20"/>
      <c r="S85" s="20"/>
      <c r="T85" s="4"/>
      <c r="U85" s="20"/>
      <c r="V85" s="20"/>
      <c r="W85" s="9">
        <f t="shared" si="114"/>
        <v>0</v>
      </c>
      <c r="X85" s="20"/>
      <c r="Y85" s="20"/>
      <c r="Z85" s="20"/>
      <c r="AA85" s="20"/>
      <c r="AB85" s="20"/>
      <c r="AC85" s="21">
        <f t="shared" si="115"/>
        <v>0</v>
      </c>
      <c r="AD85" s="25">
        <v>0</v>
      </c>
      <c r="AE85" s="20"/>
      <c r="AF85" s="21">
        <f t="shared" si="116"/>
        <v>0</v>
      </c>
      <c r="AG85" s="25"/>
      <c r="AH85" s="20"/>
      <c r="AI85" s="21">
        <f t="shared" si="117"/>
        <v>0</v>
      </c>
      <c r="AJ85" s="25"/>
      <c r="AK85" s="25"/>
      <c r="AL85" s="25"/>
      <c r="AM85" s="25"/>
      <c r="AN85" s="20"/>
      <c r="AO85" s="21">
        <f t="shared" si="118"/>
        <v>0</v>
      </c>
      <c r="AP85" s="4">
        <f t="shared" si="119"/>
        <v>0</v>
      </c>
      <c r="AQ85" s="4">
        <f t="shared" si="119"/>
        <v>323000</v>
      </c>
      <c r="AR85" s="4">
        <f t="shared" si="119"/>
        <v>608000</v>
      </c>
      <c r="AS85" s="4">
        <f t="shared" si="120"/>
        <v>649000</v>
      </c>
      <c r="AT85" s="94">
        <f t="shared" si="120"/>
        <v>518000</v>
      </c>
      <c r="AU85" s="9">
        <f t="shared" si="121"/>
        <v>2098000</v>
      </c>
    </row>
    <row r="86" spans="1:47">
      <c r="A86" s="186"/>
      <c r="B86" s="8">
        <v>5</v>
      </c>
      <c r="C86" s="42" t="s">
        <v>186</v>
      </c>
      <c r="D86" s="43" t="s">
        <v>187</v>
      </c>
      <c r="E86" s="4" t="s">
        <v>17</v>
      </c>
      <c r="F86" s="4"/>
      <c r="G86" s="4"/>
      <c r="H86" s="4"/>
      <c r="I86" s="4"/>
      <c r="J86" s="4"/>
      <c r="K86" s="9">
        <f t="shared" si="112"/>
        <v>0</v>
      </c>
      <c r="L86" s="4"/>
      <c r="M86" s="4"/>
      <c r="N86" s="4"/>
      <c r="O86" s="4"/>
      <c r="P86" s="4"/>
      <c r="Q86" s="9">
        <f t="shared" si="113"/>
        <v>0</v>
      </c>
      <c r="R86" s="20"/>
      <c r="S86" s="20"/>
      <c r="T86" s="4">
        <v>290000</v>
      </c>
      <c r="U86" s="20"/>
      <c r="V86" s="20"/>
      <c r="W86" s="9">
        <f t="shared" si="114"/>
        <v>290000</v>
      </c>
      <c r="X86" s="20"/>
      <c r="Y86" s="20"/>
      <c r="Z86" s="20"/>
      <c r="AA86" s="20"/>
      <c r="AB86" s="20"/>
      <c r="AC86" s="21">
        <f t="shared" si="115"/>
        <v>0</v>
      </c>
      <c r="AD86" s="25">
        <v>0</v>
      </c>
      <c r="AE86" s="20"/>
      <c r="AF86" s="21">
        <f t="shared" si="116"/>
        <v>0</v>
      </c>
      <c r="AG86" s="25"/>
      <c r="AH86" s="20"/>
      <c r="AI86" s="21">
        <f t="shared" si="117"/>
        <v>0</v>
      </c>
      <c r="AJ86" s="25"/>
      <c r="AK86" s="25"/>
      <c r="AL86" s="25"/>
      <c r="AM86" s="25"/>
      <c r="AN86" s="20"/>
      <c r="AO86" s="21">
        <f t="shared" si="118"/>
        <v>0</v>
      </c>
      <c r="AP86" s="4">
        <f t="shared" si="119"/>
        <v>0</v>
      </c>
      <c r="AQ86" s="4">
        <f t="shared" si="119"/>
        <v>0</v>
      </c>
      <c r="AR86" s="4">
        <f t="shared" si="119"/>
        <v>290000</v>
      </c>
      <c r="AS86" s="4">
        <f t="shared" si="120"/>
        <v>0</v>
      </c>
      <c r="AT86" s="94">
        <f t="shared" si="120"/>
        <v>0</v>
      </c>
      <c r="AU86" s="9">
        <f t="shared" si="121"/>
        <v>290000</v>
      </c>
    </row>
    <row r="87" spans="1:47">
      <c r="A87" s="186"/>
      <c r="B87" s="8">
        <v>6</v>
      </c>
      <c r="C87" s="1" t="s">
        <v>188</v>
      </c>
      <c r="D87" s="4" t="s">
        <v>413</v>
      </c>
      <c r="E87" s="4" t="s">
        <v>17</v>
      </c>
      <c r="F87" s="4"/>
      <c r="G87" s="4"/>
      <c r="H87" s="4"/>
      <c r="I87" s="4"/>
      <c r="J87" s="4"/>
      <c r="K87" s="9">
        <f t="shared" si="112"/>
        <v>0</v>
      </c>
      <c r="L87" s="76"/>
      <c r="M87" s="76">
        <v>290000</v>
      </c>
      <c r="N87" s="76">
        <v>1620000</v>
      </c>
      <c r="O87" s="76"/>
      <c r="P87" s="4"/>
      <c r="Q87" s="9">
        <f t="shared" si="113"/>
        <v>1910000</v>
      </c>
      <c r="R87" s="20"/>
      <c r="S87" s="20"/>
      <c r="T87" s="20"/>
      <c r="U87" s="20"/>
      <c r="V87" s="20"/>
      <c r="W87" s="9">
        <f t="shared" si="114"/>
        <v>0</v>
      </c>
      <c r="X87" s="20"/>
      <c r="Y87" s="25">
        <v>616950</v>
      </c>
      <c r="Z87" s="25">
        <v>708100</v>
      </c>
      <c r="AA87" s="24">
        <v>898000</v>
      </c>
      <c r="AB87" s="20">
        <f>140000+210000+210000+210000+140000</f>
        <v>910000</v>
      </c>
      <c r="AC87" s="21">
        <f t="shared" si="115"/>
        <v>3133050</v>
      </c>
      <c r="AD87" s="25">
        <v>0</v>
      </c>
      <c r="AE87" s="20"/>
      <c r="AF87" s="21">
        <f t="shared" si="116"/>
        <v>0</v>
      </c>
      <c r="AG87" s="25"/>
      <c r="AH87" s="20"/>
      <c r="AI87" s="21">
        <f t="shared" si="117"/>
        <v>0</v>
      </c>
      <c r="AJ87" s="25"/>
      <c r="AK87" s="25"/>
      <c r="AL87" s="25"/>
      <c r="AM87" s="25"/>
      <c r="AN87" s="20"/>
      <c r="AO87" s="21">
        <f t="shared" si="118"/>
        <v>0</v>
      </c>
      <c r="AP87" s="4">
        <f t="shared" si="119"/>
        <v>0</v>
      </c>
      <c r="AQ87" s="4">
        <f t="shared" si="119"/>
        <v>906950</v>
      </c>
      <c r="AR87" s="4">
        <f t="shared" si="119"/>
        <v>2328100</v>
      </c>
      <c r="AS87" s="4">
        <f t="shared" si="120"/>
        <v>898000</v>
      </c>
      <c r="AT87" s="94">
        <f t="shared" si="120"/>
        <v>910000</v>
      </c>
      <c r="AU87" s="9">
        <f t="shared" si="121"/>
        <v>5043050</v>
      </c>
    </row>
    <row r="88" spans="1:47" ht="47.25">
      <c r="A88" s="186"/>
      <c r="B88" s="8">
        <v>7</v>
      </c>
      <c r="C88" s="1" t="s">
        <v>189</v>
      </c>
      <c r="D88" s="4" t="s">
        <v>190</v>
      </c>
      <c r="E88" s="4" t="s">
        <v>17</v>
      </c>
      <c r="F88" s="4"/>
      <c r="G88" s="4">
        <v>287500</v>
      </c>
      <c r="H88" s="4">
        <f>137000+74000+352000</f>
        <v>563000</v>
      </c>
      <c r="I88" s="4"/>
      <c r="J88" s="4"/>
      <c r="K88" s="9">
        <f t="shared" si="112"/>
        <v>850500</v>
      </c>
      <c r="L88" s="76"/>
      <c r="M88" s="76">
        <v>410000</v>
      </c>
      <c r="N88" s="76">
        <v>940000</v>
      </c>
      <c r="O88" s="76">
        <v>400000</v>
      </c>
      <c r="P88" s="4"/>
      <c r="Q88" s="9">
        <f t="shared" si="113"/>
        <v>1750000</v>
      </c>
      <c r="R88" s="20"/>
      <c r="S88" s="20"/>
      <c r="T88" s="20"/>
      <c r="U88" s="20"/>
      <c r="V88" s="20"/>
      <c r="W88" s="9">
        <f t="shared" si="114"/>
        <v>0</v>
      </c>
      <c r="X88" s="20"/>
      <c r="Y88" s="20"/>
      <c r="Z88" s="25">
        <v>350200</v>
      </c>
      <c r="AA88" s="24">
        <v>1040000</v>
      </c>
      <c r="AB88" s="20">
        <f>70000+210000+210000+210000+140000</f>
        <v>840000</v>
      </c>
      <c r="AC88" s="21">
        <f t="shared" si="115"/>
        <v>2230200</v>
      </c>
      <c r="AD88" s="25">
        <v>0</v>
      </c>
      <c r="AE88" s="20"/>
      <c r="AF88" s="21">
        <f t="shared" si="116"/>
        <v>0</v>
      </c>
      <c r="AG88" s="25"/>
      <c r="AH88" s="20"/>
      <c r="AI88" s="21">
        <f t="shared" si="117"/>
        <v>0</v>
      </c>
      <c r="AJ88" s="25"/>
      <c r="AK88" s="25"/>
      <c r="AL88" s="25"/>
      <c r="AM88" s="25"/>
      <c r="AN88" s="20"/>
      <c r="AO88" s="21">
        <f t="shared" si="118"/>
        <v>0</v>
      </c>
      <c r="AP88" s="4">
        <f t="shared" si="119"/>
        <v>0</v>
      </c>
      <c r="AQ88" s="4">
        <f t="shared" si="119"/>
        <v>697500</v>
      </c>
      <c r="AR88" s="4">
        <f t="shared" si="119"/>
        <v>1853200</v>
      </c>
      <c r="AS88" s="4">
        <f t="shared" si="120"/>
        <v>1440000</v>
      </c>
      <c r="AT88" s="94">
        <f t="shared" si="120"/>
        <v>840000</v>
      </c>
      <c r="AU88" s="9">
        <f t="shared" si="121"/>
        <v>4830700</v>
      </c>
    </row>
    <row r="89" spans="1:47" ht="31.5">
      <c r="A89" s="186"/>
      <c r="B89" s="8">
        <v>8</v>
      </c>
      <c r="C89" s="1" t="s">
        <v>191</v>
      </c>
      <c r="D89" s="4" t="s">
        <v>185</v>
      </c>
      <c r="E89" s="4" t="s">
        <v>17</v>
      </c>
      <c r="F89" s="4">
        <v>155000</v>
      </c>
      <c r="G89" s="4">
        <v>490500</v>
      </c>
      <c r="H89" s="4">
        <f>93500+99000+396000+99000</f>
        <v>687500</v>
      </c>
      <c r="I89" s="4">
        <f>60000+20000+20000</f>
        <v>100000</v>
      </c>
      <c r="J89" s="4"/>
      <c r="K89" s="9">
        <f t="shared" si="112"/>
        <v>1433000</v>
      </c>
      <c r="L89" s="4"/>
      <c r="M89" s="4"/>
      <c r="N89" s="4"/>
      <c r="O89" s="4"/>
      <c r="P89" s="4"/>
      <c r="Q89" s="9">
        <f t="shared" si="113"/>
        <v>0</v>
      </c>
      <c r="R89" s="20"/>
      <c r="S89" s="20"/>
      <c r="T89" s="20"/>
      <c r="U89" s="20"/>
      <c r="V89" s="20"/>
      <c r="W89" s="9">
        <f t="shared" si="114"/>
        <v>0</v>
      </c>
      <c r="X89" s="20">
        <v>195000</v>
      </c>
      <c r="Y89" s="25">
        <v>662850</v>
      </c>
      <c r="Z89" s="25">
        <v>522700</v>
      </c>
      <c r="AA89" s="24">
        <v>144000</v>
      </c>
      <c r="AB89" s="20"/>
      <c r="AC89" s="21">
        <f t="shared" si="115"/>
        <v>1524550</v>
      </c>
      <c r="AD89" s="25">
        <v>781000</v>
      </c>
      <c r="AE89" s="20">
        <f>71000+212000+185500+175500+128500</f>
        <v>772500</v>
      </c>
      <c r="AF89" s="21">
        <f t="shared" si="116"/>
        <v>1553500</v>
      </c>
      <c r="AG89" s="25"/>
      <c r="AH89" s="20"/>
      <c r="AI89" s="21">
        <f t="shared" si="117"/>
        <v>0</v>
      </c>
      <c r="AJ89" s="25"/>
      <c r="AK89" s="25"/>
      <c r="AL89" s="25"/>
      <c r="AM89" s="25"/>
      <c r="AN89" s="20"/>
      <c r="AO89" s="21">
        <f t="shared" si="118"/>
        <v>0</v>
      </c>
      <c r="AP89" s="4">
        <f t="shared" si="119"/>
        <v>350000</v>
      </c>
      <c r="AQ89" s="4">
        <f t="shared" si="119"/>
        <v>1153350</v>
      </c>
      <c r="AR89" s="4">
        <f t="shared" si="119"/>
        <v>1210200</v>
      </c>
      <c r="AS89" s="4">
        <f t="shared" si="120"/>
        <v>1025000</v>
      </c>
      <c r="AT89" s="94">
        <f t="shared" si="120"/>
        <v>772500</v>
      </c>
      <c r="AU89" s="9">
        <f t="shared" si="121"/>
        <v>4511050</v>
      </c>
    </row>
    <row r="90" spans="1:47">
      <c r="A90" s="186"/>
      <c r="B90" s="8">
        <v>9</v>
      </c>
      <c r="C90" s="1" t="s">
        <v>192</v>
      </c>
      <c r="D90" s="4" t="s">
        <v>193</v>
      </c>
      <c r="E90" s="4" t="s">
        <v>17</v>
      </c>
      <c r="F90" s="4"/>
      <c r="G90" s="4">
        <v>804000</v>
      </c>
      <c r="H90" s="4">
        <f>99000+99000+297000</f>
        <v>495000</v>
      </c>
      <c r="I90" s="4">
        <f>20000+160000</f>
        <v>180000</v>
      </c>
      <c r="J90" s="4"/>
      <c r="K90" s="9">
        <f t="shared" si="112"/>
        <v>1479000</v>
      </c>
      <c r="L90" s="76"/>
      <c r="M90" s="76">
        <v>1050000</v>
      </c>
      <c r="N90" s="76">
        <v>760000</v>
      </c>
      <c r="O90" s="76">
        <v>1025000</v>
      </c>
      <c r="P90" s="4">
        <f>225000+225000+225000+225000+150000</f>
        <v>1050000</v>
      </c>
      <c r="Q90" s="9">
        <f t="shared" si="113"/>
        <v>3885000</v>
      </c>
      <c r="R90" s="20"/>
      <c r="S90" s="20"/>
      <c r="T90" s="20"/>
      <c r="U90" s="20"/>
      <c r="V90" s="20"/>
      <c r="W90" s="9">
        <f t="shared" si="114"/>
        <v>0</v>
      </c>
      <c r="X90" s="20"/>
      <c r="Y90" s="25">
        <v>1339600</v>
      </c>
      <c r="Z90" s="25">
        <v>582000</v>
      </c>
      <c r="AA90" s="24">
        <v>270000</v>
      </c>
      <c r="AB90" s="20"/>
      <c r="AC90" s="21">
        <f t="shared" si="115"/>
        <v>2191600</v>
      </c>
      <c r="AD90" s="25">
        <v>0</v>
      </c>
      <c r="AE90" s="20"/>
      <c r="AF90" s="21">
        <f t="shared" si="116"/>
        <v>0</v>
      </c>
      <c r="AG90" s="25"/>
      <c r="AH90" s="20"/>
      <c r="AI90" s="21">
        <f t="shared" si="117"/>
        <v>0</v>
      </c>
      <c r="AJ90" s="25"/>
      <c r="AK90" s="25"/>
      <c r="AL90" s="25">
        <v>366800</v>
      </c>
      <c r="AM90" s="25"/>
      <c r="AN90" s="20"/>
      <c r="AO90" s="21">
        <f t="shared" si="118"/>
        <v>366800</v>
      </c>
      <c r="AP90" s="4">
        <f t="shared" si="119"/>
        <v>0</v>
      </c>
      <c r="AQ90" s="4">
        <f t="shared" si="119"/>
        <v>3193600</v>
      </c>
      <c r="AR90" s="4">
        <f t="shared" si="119"/>
        <v>2203800</v>
      </c>
      <c r="AS90" s="4">
        <f t="shared" si="120"/>
        <v>1475000</v>
      </c>
      <c r="AT90" s="94">
        <f t="shared" si="120"/>
        <v>1050000</v>
      </c>
      <c r="AU90" s="9">
        <f t="shared" si="121"/>
        <v>7922400</v>
      </c>
    </row>
    <row r="91" spans="1:47" ht="31.5">
      <c r="A91" s="186"/>
      <c r="B91" s="8">
        <v>10</v>
      </c>
      <c r="C91" s="1" t="s">
        <v>194</v>
      </c>
      <c r="D91" s="4" t="s">
        <v>187</v>
      </c>
      <c r="E91" s="4" t="s">
        <v>17</v>
      </c>
      <c r="F91" s="4"/>
      <c r="G91" s="4">
        <v>155000</v>
      </c>
      <c r="H91" s="4">
        <v>151000</v>
      </c>
      <c r="I91" s="4"/>
      <c r="J91" s="4"/>
      <c r="K91" s="9">
        <f t="shared" si="112"/>
        <v>306000</v>
      </c>
      <c r="L91" s="4"/>
      <c r="M91" s="4"/>
      <c r="N91" s="4"/>
      <c r="O91" s="4"/>
      <c r="P91" s="4"/>
      <c r="Q91" s="9">
        <f t="shared" si="113"/>
        <v>0</v>
      </c>
      <c r="R91" s="20"/>
      <c r="S91" s="20"/>
      <c r="T91" s="20"/>
      <c r="U91" s="20"/>
      <c r="V91" s="20"/>
      <c r="W91" s="9">
        <f t="shared" si="114"/>
        <v>0</v>
      </c>
      <c r="X91" s="20"/>
      <c r="Y91" s="20"/>
      <c r="Z91" s="20"/>
      <c r="AA91" s="20"/>
      <c r="AB91" s="20"/>
      <c r="AC91" s="21">
        <f t="shared" si="115"/>
        <v>0</v>
      </c>
      <c r="AD91" s="25">
        <v>0</v>
      </c>
      <c r="AE91" s="20"/>
      <c r="AF91" s="21">
        <f t="shared" si="116"/>
        <v>0</v>
      </c>
      <c r="AG91" s="25"/>
      <c r="AH91" s="20"/>
      <c r="AI91" s="21">
        <f t="shared" si="117"/>
        <v>0</v>
      </c>
      <c r="AJ91" s="25"/>
      <c r="AK91" s="25"/>
      <c r="AL91" s="25"/>
      <c r="AM91" s="25"/>
      <c r="AN91" s="20"/>
      <c r="AO91" s="21">
        <f t="shared" si="118"/>
        <v>0</v>
      </c>
      <c r="AP91" s="4">
        <f t="shared" si="119"/>
        <v>0</v>
      </c>
      <c r="AQ91" s="4">
        <f t="shared" si="119"/>
        <v>155000</v>
      </c>
      <c r="AR91" s="4">
        <f t="shared" si="119"/>
        <v>151000</v>
      </c>
      <c r="AS91" s="4">
        <f t="shared" si="120"/>
        <v>0</v>
      </c>
      <c r="AT91" s="94">
        <f t="shared" si="120"/>
        <v>0</v>
      </c>
      <c r="AU91" s="9">
        <f t="shared" si="121"/>
        <v>306000</v>
      </c>
    </row>
    <row r="92" spans="1:47">
      <c r="A92" s="186"/>
      <c r="B92" s="8">
        <v>11</v>
      </c>
      <c r="C92" s="1" t="s">
        <v>195</v>
      </c>
      <c r="D92" s="4" t="s">
        <v>196</v>
      </c>
      <c r="E92" s="4" t="s">
        <v>17</v>
      </c>
      <c r="F92" s="4"/>
      <c r="G92" s="4">
        <v>155000</v>
      </c>
      <c r="H92" s="4">
        <v>154000</v>
      </c>
      <c r="I92" s="4"/>
      <c r="J92" s="4"/>
      <c r="K92" s="9">
        <f t="shared" si="112"/>
        <v>309000</v>
      </c>
      <c r="L92" s="76"/>
      <c r="M92" s="76">
        <v>790000</v>
      </c>
      <c r="N92" s="76">
        <v>1260000</v>
      </c>
      <c r="O92" s="76">
        <v>975000</v>
      </c>
      <c r="P92" s="4">
        <f>215000+225000+225000+225000+150000</f>
        <v>1040000</v>
      </c>
      <c r="Q92" s="9">
        <f t="shared" si="113"/>
        <v>4065000</v>
      </c>
      <c r="R92" s="20"/>
      <c r="S92" s="20"/>
      <c r="T92" s="20"/>
      <c r="U92" s="20"/>
      <c r="V92" s="20"/>
      <c r="W92" s="9">
        <f t="shared" si="114"/>
        <v>0</v>
      </c>
      <c r="X92" s="20"/>
      <c r="Y92" s="25">
        <v>447200</v>
      </c>
      <c r="Z92" s="25">
        <v>504400</v>
      </c>
      <c r="AA92" s="24">
        <v>270000</v>
      </c>
      <c r="AB92" s="20"/>
      <c r="AC92" s="21">
        <f t="shared" si="115"/>
        <v>1221600</v>
      </c>
      <c r="AD92" s="25">
        <v>0</v>
      </c>
      <c r="AE92" s="20"/>
      <c r="AF92" s="21">
        <f t="shared" si="116"/>
        <v>0</v>
      </c>
      <c r="AG92" s="25"/>
      <c r="AH92" s="20"/>
      <c r="AI92" s="21">
        <f t="shared" si="117"/>
        <v>0</v>
      </c>
      <c r="AJ92" s="25"/>
      <c r="AK92" s="25"/>
      <c r="AL92" s="25"/>
      <c r="AM92" s="25"/>
      <c r="AN92" s="20"/>
      <c r="AO92" s="21">
        <f t="shared" si="118"/>
        <v>0</v>
      </c>
      <c r="AP92" s="4">
        <f t="shared" si="119"/>
        <v>0</v>
      </c>
      <c r="AQ92" s="4">
        <f t="shared" si="119"/>
        <v>1392200</v>
      </c>
      <c r="AR92" s="4">
        <f t="shared" si="119"/>
        <v>1918400</v>
      </c>
      <c r="AS92" s="4">
        <f t="shared" si="120"/>
        <v>1245000</v>
      </c>
      <c r="AT92" s="94">
        <f t="shared" si="120"/>
        <v>1040000</v>
      </c>
      <c r="AU92" s="9">
        <f t="shared" si="121"/>
        <v>5595600</v>
      </c>
    </row>
    <row r="93" spans="1:47">
      <c r="A93" s="186"/>
      <c r="B93" s="8">
        <v>12</v>
      </c>
      <c r="C93" s="1" t="s">
        <v>197</v>
      </c>
      <c r="D93" s="4" t="s">
        <v>187</v>
      </c>
      <c r="E93" s="4" t="s">
        <v>17</v>
      </c>
      <c r="F93" s="4"/>
      <c r="G93" s="4">
        <v>512500</v>
      </c>
      <c r="H93" s="4">
        <f>104500+110000+110000</f>
        <v>324500</v>
      </c>
      <c r="I93" s="4">
        <v>200000</v>
      </c>
      <c r="J93" s="4"/>
      <c r="K93" s="9">
        <f t="shared" si="112"/>
        <v>1037000</v>
      </c>
      <c r="L93" s="76"/>
      <c r="M93" s="76">
        <v>1300000</v>
      </c>
      <c r="N93" s="76">
        <v>1480000</v>
      </c>
      <c r="O93" s="76">
        <v>250000</v>
      </c>
      <c r="P93" s="4"/>
      <c r="Q93" s="9">
        <f t="shared" si="113"/>
        <v>3030000</v>
      </c>
      <c r="R93" s="20"/>
      <c r="S93" s="20">
        <v>290000</v>
      </c>
      <c r="T93" s="20"/>
      <c r="U93" s="22">
        <v>1072000</v>
      </c>
      <c r="V93" s="22"/>
      <c r="W93" s="9">
        <f t="shared" si="114"/>
        <v>1362000</v>
      </c>
      <c r="X93" s="20"/>
      <c r="Y93" s="25">
        <v>943600</v>
      </c>
      <c r="Z93" s="20">
        <v>780850</v>
      </c>
      <c r="AA93" s="20">
        <v>150000</v>
      </c>
      <c r="AB93" s="20"/>
      <c r="AC93" s="21">
        <f t="shared" si="115"/>
        <v>1874450</v>
      </c>
      <c r="AD93" s="25">
        <v>0</v>
      </c>
      <c r="AE93" s="20"/>
      <c r="AF93" s="21">
        <f t="shared" si="116"/>
        <v>0</v>
      </c>
      <c r="AG93" s="24">
        <v>900000</v>
      </c>
      <c r="AH93" s="20">
        <f>300000+300000+300000+300000+200000</f>
        <v>1400000</v>
      </c>
      <c r="AI93" s="21">
        <f t="shared" si="117"/>
        <v>2300000</v>
      </c>
      <c r="AJ93" s="25"/>
      <c r="AK93" s="25">
        <v>100000</v>
      </c>
      <c r="AL93" s="25">
        <v>276000</v>
      </c>
      <c r="AM93" s="25"/>
      <c r="AN93" s="20"/>
      <c r="AO93" s="21">
        <f t="shared" si="118"/>
        <v>376000</v>
      </c>
      <c r="AP93" s="4">
        <f t="shared" si="119"/>
        <v>0</v>
      </c>
      <c r="AQ93" s="4">
        <f t="shared" si="119"/>
        <v>3146100</v>
      </c>
      <c r="AR93" s="4">
        <f t="shared" si="119"/>
        <v>2861350</v>
      </c>
      <c r="AS93" s="4">
        <f t="shared" si="120"/>
        <v>2572000</v>
      </c>
      <c r="AT93" s="94">
        <f t="shared" si="120"/>
        <v>1400000</v>
      </c>
      <c r="AU93" s="9">
        <f t="shared" si="121"/>
        <v>9979450</v>
      </c>
    </row>
    <row r="94" spans="1:47">
      <c r="A94" s="186"/>
      <c r="B94" s="8">
        <v>13</v>
      </c>
      <c r="C94" s="1" t="s">
        <v>198</v>
      </c>
      <c r="D94" s="4" t="s">
        <v>193</v>
      </c>
      <c r="E94" s="4" t="s">
        <v>17</v>
      </c>
      <c r="F94" s="4"/>
      <c r="G94" s="4"/>
      <c r="H94" s="4"/>
      <c r="I94" s="4"/>
      <c r="J94" s="4"/>
      <c r="K94" s="9">
        <f t="shared" si="112"/>
        <v>0</v>
      </c>
      <c r="L94" s="76"/>
      <c r="M94" s="76">
        <v>1210000</v>
      </c>
      <c r="N94" s="76">
        <v>1000000</v>
      </c>
      <c r="O94" s="76">
        <v>1075000</v>
      </c>
      <c r="P94" s="4">
        <f>225000+225000+225000+225000</f>
        <v>900000</v>
      </c>
      <c r="Q94" s="9">
        <f t="shared" si="113"/>
        <v>4185000</v>
      </c>
      <c r="R94" s="20"/>
      <c r="S94" s="20"/>
      <c r="T94" s="20"/>
      <c r="U94" s="20"/>
      <c r="V94" s="20"/>
      <c r="W94" s="9">
        <f t="shared" si="114"/>
        <v>0</v>
      </c>
      <c r="X94" s="20"/>
      <c r="Y94" s="25">
        <v>801250</v>
      </c>
      <c r="Z94" s="25">
        <v>582000</v>
      </c>
      <c r="AA94" s="24">
        <v>270000</v>
      </c>
      <c r="AB94" s="20"/>
      <c r="AC94" s="21">
        <f t="shared" si="115"/>
        <v>1653250</v>
      </c>
      <c r="AD94" s="25">
        <v>0</v>
      </c>
      <c r="AE94" s="20"/>
      <c r="AF94" s="21">
        <f t="shared" si="116"/>
        <v>0</v>
      </c>
      <c r="AG94" s="25"/>
      <c r="AH94" s="20"/>
      <c r="AI94" s="21">
        <f t="shared" si="117"/>
        <v>0</v>
      </c>
      <c r="AJ94" s="25"/>
      <c r="AK94" s="25"/>
      <c r="AL94" s="25"/>
      <c r="AM94" s="25"/>
      <c r="AN94" s="20"/>
      <c r="AO94" s="21">
        <f t="shared" si="118"/>
        <v>0</v>
      </c>
      <c r="AP94" s="4">
        <f t="shared" si="119"/>
        <v>0</v>
      </c>
      <c r="AQ94" s="4">
        <f t="shared" si="119"/>
        <v>2011250</v>
      </c>
      <c r="AR94" s="4">
        <f t="shared" si="119"/>
        <v>1582000</v>
      </c>
      <c r="AS94" s="4">
        <f t="shared" si="120"/>
        <v>1345000</v>
      </c>
      <c r="AT94" s="94">
        <f t="shared" si="120"/>
        <v>900000</v>
      </c>
      <c r="AU94" s="9">
        <f t="shared" si="121"/>
        <v>5838250</v>
      </c>
    </row>
    <row r="95" spans="1:47" ht="31.5">
      <c r="A95" s="186"/>
      <c r="B95" s="8">
        <v>14</v>
      </c>
      <c r="C95" s="1" t="s">
        <v>199</v>
      </c>
      <c r="D95" s="4" t="s">
        <v>185</v>
      </c>
      <c r="E95" s="4" t="s">
        <v>17</v>
      </c>
      <c r="F95" s="4"/>
      <c r="G95" s="4"/>
      <c r="H95" s="4"/>
      <c r="I95" s="4"/>
      <c r="J95" s="4"/>
      <c r="K95" s="9">
        <f t="shared" si="112"/>
        <v>0</v>
      </c>
      <c r="L95" s="4"/>
      <c r="M95" s="4"/>
      <c r="N95" s="4"/>
      <c r="O95" s="4"/>
      <c r="P95" s="4"/>
      <c r="Q95" s="9">
        <f t="shared" si="113"/>
        <v>0</v>
      </c>
      <c r="R95" s="20"/>
      <c r="S95" s="20"/>
      <c r="T95" s="20"/>
      <c r="U95" s="20"/>
      <c r="V95" s="20"/>
      <c r="W95" s="9">
        <f t="shared" si="114"/>
        <v>0</v>
      </c>
      <c r="X95" s="20"/>
      <c r="Y95" s="25"/>
      <c r="Z95" s="25">
        <v>680900</v>
      </c>
      <c r="AA95" s="24">
        <v>150000</v>
      </c>
      <c r="AB95" s="20"/>
      <c r="AC95" s="21">
        <f t="shared" si="115"/>
        <v>830900</v>
      </c>
      <c r="AD95" s="25">
        <v>0</v>
      </c>
      <c r="AE95" s="20"/>
      <c r="AF95" s="21">
        <f t="shared" si="116"/>
        <v>0</v>
      </c>
      <c r="AG95" s="25"/>
      <c r="AH95" s="20"/>
      <c r="AI95" s="21">
        <f t="shared" si="117"/>
        <v>0</v>
      </c>
      <c r="AJ95" s="25"/>
      <c r="AK95" s="25"/>
      <c r="AL95" s="25"/>
      <c r="AM95" s="25"/>
      <c r="AN95" s="20"/>
      <c r="AO95" s="21">
        <f t="shared" si="118"/>
        <v>0</v>
      </c>
      <c r="AP95" s="4">
        <f t="shared" si="119"/>
        <v>0</v>
      </c>
      <c r="AQ95" s="4">
        <f t="shared" si="119"/>
        <v>0</v>
      </c>
      <c r="AR95" s="4">
        <f t="shared" si="119"/>
        <v>680900</v>
      </c>
      <c r="AS95" s="4">
        <f t="shared" si="120"/>
        <v>150000</v>
      </c>
      <c r="AT95" s="94">
        <f t="shared" si="120"/>
        <v>0</v>
      </c>
      <c r="AU95" s="9">
        <f t="shared" si="121"/>
        <v>830900</v>
      </c>
    </row>
    <row r="96" spans="1:47">
      <c r="A96" s="186"/>
      <c r="B96" s="8">
        <v>15</v>
      </c>
      <c r="C96" s="1" t="s">
        <v>200</v>
      </c>
      <c r="D96" s="4" t="s">
        <v>201</v>
      </c>
      <c r="E96" s="4" t="s">
        <v>17</v>
      </c>
      <c r="F96" s="4"/>
      <c r="G96" s="4"/>
      <c r="H96" s="4">
        <f>155000+72000</f>
        <v>227000</v>
      </c>
      <c r="I96" s="4">
        <f>58000+42000</f>
        <v>100000</v>
      </c>
      <c r="J96" s="4"/>
      <c r="K96" s="9">
        <f t="shared" si="112"/>
        <v>327000</v>
      </c>
      <c r="L96" s="4"/>
      <c r="M96" s="4"/>
      <c r="N96" s="4"/>
      <c r="O96" s="4"/>
      <c r="P96" s="4"/>
      <c r="Q96" s="9">
        <f t="shared" si="113"/>
        <v>0</v>
      </c>
      <c r="R96" s="20"/>
      <c r="S96" s="20"/>
      <c r="T96" s="20"/>
      <c r="U96" s="20"/>
      <c r="V96" s="20"/>
      <c r="W96" s="9">
        <f t="shared" si="114"/>
        <v>0</v>
      </c>
      <c r="X96" s="20"/>
      <c r="Y96" s="20"/>
      <c r="Z96" s="25">
        <v>310500</v>
      </c>
      <c r="AA96" s="24"/>
      <c r="AB96" s="20"/>
      <c r="AC96" s="21">
        <f t="shared" si="115"/>
        <v>310500</v>
      </c>
      <c r="AD96" s="25">
        <v>720000</v>
      </c>
      <c r="AE96" s="20">
        <f>90000+360000+270000+180000</f>
        <v>900000</v>
      </c>
      <c r="AF96" s="21">
        <f t="shared" si="116"/>
        <v>1620000</v>
      </c>
      <c r="AG96" s="25"/>
      <c r="AH96" s="20"/>
      <c r="AI96" s="21">
        <f t="shared" si="117"/>
        <v>0</v>
      </c>
      <c r="AJ96" s="25"/>
      <c r="AK96" s="25"/>
      <c r="AL96" s="25"/>
      <c r="AM96" s="25"/>
      <c r="AN96" s="20"/>
      <c r="AO96" s="21">
        <f t="shared" si="118"/>
        <v>0</v>
      </c>
      <c r="AP96" s="4">
        <f t="shared" si="119"/>
        <v>0</v>
      </c>
      <c r="AQ96" s="4">
        <f t="shared" si="119"/>
        <v>0</v>
      </c>
      <c r="AR96" s="4">
        <f t="shared" si="119"/>
        <v>537500</v>
      </c>
      <c r="AS96" s="4">
        <f t="shared" si="120"/>
        <v>820000</v>
      </c>
      <c r="AT96" s="94">
        <f t="shared" si="120"/>
        <v>900000</v>
      </c>
      <c r="AU96" s="9">
        <f t="shared" si="121"/>
        <v>2257500</v>
      </c>
    </row>
    <row r="97" spans="1:47">
      <c r="A97" s="186"/>
      <c r="B97" s="8">
        <v>16</v>
      </c>
      <c r="C97" s="1" t="s">
        <v>202</v>
      </c>
      <c r="D97" s="4" t="s">
        <v>203</v>
      </c>
      <c r="E97" s="4" t="s">
        <v>17</v>
      </c>
      <c r="F97" s="4">
        <v>155000</v>
      </c>
      <c r="G97" s="4">
        <v>699500</v>
      </c>
      <c r="H97" s="4">
        <f>198000+324500</f>
        <v>522500</v>
      </c>
      <c r="I97" s="4">
        <v>180000</v>
      </c>
      <c r="J97" s="4"/>
      <c r="K97" s="9">
        <f t="shared" si="112"/>
        <v>1557000</v>
      </c>
      <c r="L97" s="76"/>
      <c r="M97" s="76"/>
      <c r="N97" s="76">
        <v>290000</v>
      </c>
      <c r="O97" s="76">
        <v>395000</v>
      </c>
      <c r="P97" s="4"/>
      <c r="Q97" s="9">
        <f t="shared" si="113"/>
        <v>685000</v>
      </c>
      <c r="R97" s="20"/>
      <c r="S97" s="20"/>
      <c r="T97" s="20"/>
      <c r="U97" s="20"/>
      <c r="V97" s="20"/>
      <c r="W97" s="9">
        <f t="shared" si="114"/>
        <v>0</v>
      </c>
      <c r="X97" s="20"/>
      <c r="Y97" s="25">
        <v>1407050</v>
      </c>
      <c r="Z97" s="25">
        <v>582000</v>
      </c>
      <c r="AA97" s="24">
        <v>270000</v>
      </c>
      <c r="AB97" s="20"/>
      <c r="AC97" s="21">
        <f t="shared" si="115"/>
        <v>2259050</v>
      </c>
      <c r="AD97" s="25">
        <v>945000</v>
      </c>
      <c r="AE97" s="20">
        <f>315000+315000+315000+315000+210000</f>
        <v>1470000</v>
      </c>
      <c r="AF97" s="21">
        <f t="shared" si="116"/>
        <v>2415000</v>
      </c>
      <c r="AG97" s="25"/>
      <c r="AH97" s="20"/>
      <c r="AI97" s="21">
        <f t="shared" si="117"/>
        <v>0</v>
      </c>
      <c r="AJ97" s="25"/>
      <c r="AK97" s="24">
        <v>100000</v>
      </c>
      <c r="AL97" s="25"/>
      <c r="AM97" s="25">
        <v>208000</v>
      </c>
      <c r="AN97" s="20"/>
      <c r="AO97" s="21">
        <f t="shared" si="118"/>
        <v>308000</v>
      </c>
      <c r="AP97" s="4">
        <f t="shared" si="119"/>
        <v>155000</v>
      </c>
      <c r="AQ97" s="4">
        <f t="shared" si="119"/>
        <v>2206550</v>
      </c>
      <c r="AR97" s="4">
        <f t="shared" si="119"/>
        <v>1394500</v>
      </c>
      <c r="AS97" s="4">
        <f t="shared" si="120"/>
        <v>1998000</v>
      </c>
      <c r="AT97" s="94">
        <f t="shared" si="120"/>
        <v>1470000</v>
      </c>
      <c r="AU97" s="9">
        <f t="shared" si="121"/>
        <v>7224050</v>
      </c>
    </row>
    <row r="98" spans="1:47">
      <c r="A98" s="186"/>
      <c r="B98" s="8">
        <v>17</v>
      </c>
      <c r="C98" s="1" t="s">
        <v>204</v>
      </c>
      <c r="D98" s="4" t="s">
        <v>205</v>
      </c>
      <c r="E98" s="4" t="s">
        <v>17</v>
      </c>
      <c r="F98" s="4"/>
      <c r="G98" s="4"/>
      <c r="H98" s="4">
        <v>155000</v>
      </c>
      <c r="I98" s="4"/>
      <c r="J98" s="4"/>
      <c r="K98" s="9">
        <f t="shared" si="112"/>
        <v>155000</v>
      </c>
      <c r="L98" s="76"/>
      <c r="M98" s="76"/>
      <c r="N98" s="76">
        <v>290000</v>
      </c>
      <c r="O98" s="76"/>
      <c r="P98" s="4"/>
      <c r="Q98" s="9">
        <f t="shared" si="113"/>
        <v>290000</v>
      </c>
      <c r="R98" s="20"/>
      <c r="S98" s="20"/>
      <c r="T98" s="20"/>
      <c r="U98" s="20"/>
      <c r="V98" s="20"/>
      <c r="W98" s="9">
        <f t="shared" si="114"/>
        <v>0</v>
      </c>
      <c r="X98" s="20"/>
      <c r="Y98" s="20">
        <v>195000</v>
      </c>
      <c r="Z98" s="25">
        <v>237650</v>
      </c>
      <c r="AA98" s="24"/>
      <c r="AB98" s="20"/>
      <c r="AC98" s="21">
        <f t="shared" si="115"/>
        <v>432650</v>
      </c>
      <c r="AD98" s="25">
        <v>0</v>
      </c>
      <c r="AE98" s="20"/>
      <c r="AF98" s="21">
        <f t="shared" si="116"/>
        <v>0</v>
      </c>
      <c r="AG98" s="25"/>
      <c r="AH98" s="20"/>
      <c r="AI98" s="21">
        <f t="shared" si="117"/>
        <v>0</v>
      </c>
      <c r="AJ98" s="25"/>
      <c r="AK98" s="24"/>
      <c r="AL98" s="25"/>
      <c r="AM98" s="25"/>
      <c r="AN98" s="20"/>
      <c r="AO98" s="21">
        <f t="shared" si="118"/>
        <v>0</v>
      </c>
      <c r="AP98" s="4">
        <f t="shared" si="119"/>
        <v>0</v>
      </c>
      <c r="AQ98" s="4">
        <f t="shared" si="119"/>
        <v>195000</v>
      </c>
      <c r="AR98" s="4">
        <f t="shared" si="119"/>
        <v>682650</v>
      </c>
      <c r="AS98" s="4">
        <f t="shared" si="120"/>
        <v>0</v>
      </c>
      <c r="AT98" s="94">
        <f t="shared" si="120"/>
        <v>0</v>
      </c>
      <c r="AU98" s="9">
        <f t="shared" si="121"/>
        <v>877650</v>
      </c>
    </row>
    <row r="99" spans="1:47">
      <c r="A99" s="186"/>
      <c r="B99" s="8">
        <v>18</v>
      </c>
      <c r="C99" s="1" t="s">
        <v>5</v>
      </c>
      <c r="D99" s="4" t="s">
        <v>36</v>
      </c>
      <c r="E99" s="4" t="s">
        <v>17</v>
      </c>
      <c r="F99" s="4">
        <v>155000</v>
      </c>
      <c r="G99" s="4">
        <v>925328</v>
      </c>
      <c r="H99" s="4">
        <f>104500+104500+330000+220000+110000</f>
        <v>869000</v>
      </c>
      <c r="I99" s="4">
        <f>100000+20000</f>
        <v>120000</v>
      </c>
      <c r="J99" s="4"/>
      <c r="K99" s="9">
        <f t="shared" si="112"/>
        <v>2069328</v>
      </c>
      <c r="L99" s="4"/>
      <c r="M99" s="4"/>
      <c r="N99" s="4"/>
      <c r="O99" s="4"/>
      <c r="P99" s="4"/>
      <c r="Q99" s="9">
        <f t="shared" si="113"/>
        <v>0</v>
      </c>
      <c r="R99" s="20"/>
      <c r="S99" s="20"/>
      <c r="T99" s="20"/>
      <c r="U99" s="20"/>
      <c r="V99" s="20"/>
      <c r="W99" s="9">
        <f t="shared" si="114"/>
        <v>0</v>
      </c>
      <c r="X99" s="20">
        <v>195000</v>
      </c>
      <c r="Y99" s="25">
        <v>1595650</v>
      </c>
      <c r="Z99" s="25">
        <v>1129700</v>
      </c>
      <c r="AA99" s="24">
        <v>30000</v>
      </c>
      <c r="AB99" s="20"/>
      <c r="AC99" s="21">
        <f t="shared" si="115"/>
        <v>2950350</v>
      </c>
      <c r="AD99" s="25">
        <v>1155000</v>
      </c>
      <c r="AE99" s="20">
        <f>(105000+315000+262500)-140000+262500+175000</f>
        <v>980000</v>
      </c>
      <c r="AF99" s="21">
        <f t="shared" si="116"/>
        <v>2135000</v>
      </c>
      <c r="AG99" s="25"/>
      <c r="AH99" s="20"/>
      <c r="AI99" s="21">
        <f t="shared" si="117"/>
        <v>0</v>
      </c>
      <c r="AJ99" s="25"/>
      <c r="AK99" s="24">
        <v>100000</v>
      </c>
      <c r="AL99" s="25">
        <f>276000+540000</f>
        <v>816000</v>
      </c>
      <c r="AM99" s="25"/>
      <c r="AN99" s="20"/>
      <c r="AO99" s="21">
        <f t="shared" si="118"/>
        <v>916000</v>
      </c>
      <c r="AP99" s="4">
        <f t="shared" si="119"/>
        <v>350000</v>
      </c>
      <c r="AQ99" s="4">
        <f t="shared" si="119"/>
        <v>2620978</v>
      </c>
      <c r="AR99" s="4">
        <f t="shared" si="119"/>
        <v>2814700</v>
      </c>
      <c r="AS99" s="4">
        <f t="shared" si="120"/>
        <v>1305000</v>
      </c>
      <c r="AT99" s="94">
        <f t="shared" si="120"/>
        <v>980000</v>
      </c>
      <c r="AU99" s="9">
        <f t="shared" si="121"/>
        <v>8070678</v>
      </c>
    </row>
    <row r="100" spans="1:47" ht="31.5">
      <c r="A100" s="186"/>
      <c r="B100" s="8">
        <v>19</v>
      </c>
      <c r="C100" s="1" t="s">
        <v>206</v>
      </c>
      <c r="D100" s="4" t="s">
        <v>193</v>
      </c>
      <c r="E100" s="4" t="s">
        <v>17</v>
      </c>
      <c r="F100" s="4"/>
      <c r="G100" s="4">
        <v>821267</v>
      </c>
      <c r="H100" s="4">
        <f>99000+99000+297000</f>
        <v>495000</v>
      </c>
      <c r="I100" s="4">
        <f>160000+20000</f>
        <v>180000</v>
      </c>
      <c r="J100" s="4"/>
      <c r="K100" s="9">
        <f t="shared" si="112"/>
        <v>1496267</v>
      </c>
      <c r="L100" s="76"/>
      <c r="M100" s="76">
        <v>1870000</v>
      </c>
      <c r="N100" s="76">
        <v>1200000</v>
      </c>
      <c r="O100" s="76">
        <v>350000</v>
      </c>
      <c r="P100" s="4"/>
      <c r="Q100" s="9">
        <f t="shared" si="113"/>
        <v>3420000</v>
      </c>
      <c r="R100" s="20"/>
      <c r="S100" s="26">
        <v>920000</v>
      </c>
      <c r="T100" s="4">
        <v>434000</v>
      </c>
      <c r="U100" s="22">
        <v>424000</v>
      </c>
      <c r="V100" s="22"/>
      <c r="W100" s="9">
        <f t="shared" si="114"/>
        <v>1778000</v>
      </c>
      <c r="X100" s="20"/>
      <c r="Y100" s="25">
        <v>1203800</v>
      </c>
      <c r="Z100" s="25">
        <v>446200</v>
      </c>
      <c r="AA100" s="24">
        <v>270000</v>
      </c>
      <c r="AB100" s="20"/>
      <c r="AC100" s="21">
        <f t="shared" si="115"/>
        <v>1920000</v>
      </c>
      <c r="AD100" s="25">
        <v>0</v>
      </c>
      <c r="AE100" s="20"/>
      <c r="AF100" s="21">
        <f t="shared" si="116"/>
        <v>0</v>
      </c>
      <c r="AG100" s="24">
        <v>900000</v>
      </c>
      <c r="AH100" s="20">
        <f>300000+300000+300000+300000+200000</f>
        <v>1400000</v>
      </c>
      <c r="AI100" s="21">
        <f t="shared" si="117"/>
        <v>2300000</v>
      </c>
      <c r="AJ100" s="25"/>
      <c r="AK100" s="25"/>
      <c r="AL100" s="25"/>
      <c r="AM100" s="25"/>
      <c r="AN100" s="20"/>
      <c r="AO100" s="21">
        <f t="shared" si="118"/>
        <v>0</v>
      </c>
      <c r="AP100" s="4">
        <f t="shared" si="119"/>
        <v>0</v>
      </c>
      <c r="AQ100" s="4">
        <f t="shared" si="119"/>
        <v>4815067</v>
      </c>
      <c r="AR100" s="4">
        <f t="shared" si="119"/>
        <v>2575200</v>
      </c>
      <c r="AS100" s="4">
        <f t="shared" si="120"/>
        <v>2124000</v>
      </c>
      <c r="AT100" s="94">
        <f t="shared" si="120"/>
        <v>1400000</v>
      </c>
      <c r="AU100" s="9">
        <f t="shared" si="121"/>
        <v>10914267</v>
      </c>
    </row>
    <row r="101" spans="1:47" ht="31.5">
      <c r="A101" s="186"/>
      <c r="B101" s="8">
        <v>20</v>
      </c>
      <c r="C101" s="1" t="s">
        <v>207</v>
      </c>
      <c r="D101" s="5" t="s">
        <v>36</v>
      </c>
      <c r="E101" s="4" t="s">
        <v>17</v>
      </c>
      <c r="F101" s="4"/>
      <c r="G101" s="4"/>
      <c r="H101" s="4"/>
      <c r="I101" s="4"/>
      <c r="J101" s="4"/>
      <c r="K101" s="9">
        <f t="shared" si="112"/>
        <v>0</v>
      </c>
      <c r="L101" s="4"/>
      <c r="M101" s="4"/>
      <c r="N101" s="4"/>
      <c r="O101" s="4"/>
      <c r="P101" s="4"/>
      <c r="Q101" s="9">
        <f t="shared" si="113"/>
        <v>0</v>
      </c>
      <c r="R101" s="20"/>
      <c r="S101" s="20"/>
      <c r="T101" s="4"/>
      <c r="U101" s="20"/>
      <c r="V101" s="20"/>
      <c r="W101" s="9">
        <f t="shared" si="114"/>
        <v>0</v>
      </c>
      <c r="X101" s="20"/>
      <c r="Y101" s="25">
        <v>279700</v>
      </c>
      <c r="Z101" s="25">
        <v>140400</v>
      </c>
      <c r="AA101" s="24">
        <v>470000</v>
      </c>
      <c r="AB101" s="20">
        <f>72000+36000+111000+108000+72000</f>
        <v>399000</v>
      </c>
      <c r="AC101" s="21">
        <f t="shared" si="115"/>
        <v>1289100</v>
      </c>
      <c r="AD101" s="25">
        <v>0</v>
      </c>
      <c r="AE101" s="20"/>
      <c r="AF101" s="21">
        <f t="shared" si="116"/>
        <v>0</v>
      </c>
      <c r="AG101" s="25"/>
      <c r="AH101" s="20"/>
      <c r="AI101" s="21">
        <f t="shared" si="117"/>
        <v>0</v>
      </c>
      <c r="AJ101" s="25"/>
      <c r="AK101" s="25"/>
      <c r="AL101" s="25"/>
      <c r="AM101" s="25"/>
      <c r="AN101" s="20"/>
      <c r="AO101" s="21">
        <f t="shared" si="118"/>
        <v>0</v>
      </c>
      <c r="AP101" s="4">
        <f t="shared" si="119"/>
        <v>0</v>
      </c>
      <c r="AQ101" s="4">
        <f t="shared" si="119"/>
        <v>279700</v>
      </c>
      <c r="AR101" s="4">
        <f t="shared" si="119"/>
        <v>140400</v>
      </c>
      <c r="AS101" s="4">
        <f t="shared" si="120"/>
        <v>470000</v>
      </c>
      <c r="AT101" s="94">
        <f t="shared" si="120"/>
        <v>399000</v>
      </c>
      <c r="AU101" s="9">
        <f t="shared" si="121"/>
        <v>1289100</v>
      </c>
    </row>
    <row r="102" spans="1:47">
      <c r="A102" s="186"/>
      <c r="B102" s="8">
        <v>21</v>
      </c>
      <c r="C102" s="44" t="s">
        <v>208</v>
      </c>
      <c r="D102" s="45" t="s">
        <v>209</v>
      </c>
      <c r="E102" s="4" t="s">
        <v>17</v>
      </c>
      <c r="F102" s="4"/>
      <c r="G102" s="4"/>
      <c r="H102" s="4"/>
      <c r="I102" s="4"/>
      <c r="J102" s="4"/>
      <c r="K102" s="9">
        <f t="shared" si="112"/>
        <v>0</v>
      </c>
      <c r="L102" s="76"/>
      <c r="M102" s="76"/>
      <c r="N102" s="76">
        <v>530000</v>
      </c>
      <c r="O102" s="76">
        <v>975000</v>
      </c>
      <c r="P102" s="4">
        <f>225000+225000+225000+225000+150000</f>
        <v>1050000</v>
      </c>
      <c r="Q102" s="9">
        <f t="shared" si="113"/>
        <v>2555000</v>
      </c>
      <c r="R102" s="20"/>
      <c r="S102" s="20"/>
      <c r="T102" s="4"/>
      <c r="U102" s="20"/>
      <c r="V102" s="20"/>
      <c r="W102" s="9">
        <f t="shared" si="114"/>
        <v>0</v>
      </c>
      <c r="X102" s="20"/>
      <c r="Y102" s="25"/>
      <c r="Z102" s="25"/>
      <c r="AA102" s="25"/>
      <c r="AB102" s="20"/>
      <c r="AC102" s="21">
        <f t="shared" si="115"/>
        <v>0</v>
      </c>
      <c r="AD102" s="25">
        <v>0</v>
      </c>
      <c r="AE102" s="20"/>
      <c r="AF102" s="21">
        <f t="shared" si="116"/>
        <v>0</v>
      </c>
      <c r="AG102" s="25"/>
      <c r="AH102" s="20"/>
      <c r="AI102" s="21">
        <f t="shared" si="117"/>
        <v>0</v>
      </c>
      <c r="AJ102" s="25"/>
      <c r="AK102" s="25"/>
      <c r="AL102" s="25"/>
      <c r="AM102" s="25"/>
      <c r="AN102" s="20"/>
      <c r="AO102" s="21">
        <f t="shared" si="118"/>
        <v>0</v>
      </c>
      <c r="AP102" s="4">
        <f t="shared" si="119"/>
        <v>0</v>
      </c>
      <c r="AQ102" s="4">
        <f t="shared" si="119"/>
        <v>0</v>
      </c>
      <c r="AR102" s="4">
        <f t="shared" si="119"/>
        <v>530000</v>
      </c>
      <c r="AS102" s="4">
        <f t="shared" si="120"/>
        <v>975000</v>
      </c>
      <c r="AT102" s="94">
        <f t="shared" si="120"/>
        <v>1050000</v>
      </c>
      <c r="AU102" s="9">
        <f t="shared" si="121"/>
        <v>2555000</v>
      </c>
    </row>
    <row r="103" spans="1:47" ht="31.5">
      <c r="A103" s="186"/>
      <c r="B103" s="8">
        <v>22</v>
      </c>
      <c r="C103" s="1" t="s">
        <v>210</v>
      </c>
      <c r="D103" s="4" t="s">
        <v>211</v>
      </c>
      <c r="E103" s="4" t="s">
        <v>17</v>
      </c>
      <c r="F103" s="4">
        <v>155000</v>
      </c>
      <c r="G103" s="4">
        <v>501565</v>
      </c>
      <c r="H103" s="4">
        <f>544500+110000</f>
        <v>654500</v>
      </c>
      <c r="I103" s="4">
        <f>220000+20000</f>
        <v>240000</v>
      </c>
      <c r="J103" s="4"/>
      <c r="K103" s="9">
        <f t="shared" si="112"/>
        <v>1551065</v>
      </c>
      <c r="L103" s="76"/>
      <c r="M103" s="76">
        <v>290000</v>
      </c>
      <c r="N103" s="76">
        <v>870000</v>
      </c>
      <c r="O103" s="76">
        <v>250000</v>
      </c>
      <c r="P103" s="4"/>
      <c r="Q103" s="9">
        <f t="shared" si="113"/>
        <v>1410000</v>
      </c>
      <c r="R103" s="20"/>
      <c r="S103" s="20"/>
      <c r="T103" s="4"/>
      <c r="U103" s="20"/>
      <c r="V103" s="20"/>
      <c r="W103" s="9">
        <f t="shared" si="114"/>
        <v>0</v>
      </c>
      <c r="X103" s="20"/>
      <c r="Y103" s="25">
        <v>1475506</v>
      </c>
      <c r="Z103" s="25">
        <v>557750</v>
      </c>
      <c r="AA103" s="25">
        <v>270000</v>
      </c>
      <c r="AB103" s="20"/>
      <c r="AC103" s="21">
        <f t="shared" si="115"/>
        <v>2303256</v>
      </c>
      <c r="AD103" s="25">
        <v>1155000</v>
      </c>
      <c r="AE103" s="20">
        <f>105000+304500+203000+399000+10500+210000</f>
        <v>1232000</v>
      </c>
      <c r="AF103" s="21">
        <f t="shared" si="116"/>
        <v>2387000</v>
      </c>
      <c r="AG103" s="25"/>
      <c r="AH103" s="20"/>
      <c r="AI103" s="21">
        <f t="shared" si="117"/>
        <v>0</v>
      </c>
      <c r="AJ103" s="25"/>
      <c r="AK103" s="25">
        <v>100000</v>
      </c>
      <c r="AL103" s="25">
        <v>276000</v>
      </c>
      <c r="AM103" s="25"/>
      <c r="AN103" s="20"/>
      <c r="AO103" s="21">
        <f t="shared" si="118"/>
        <v>376000</v>
      </c>
      <c r="AP103" s="4">
        <f t="shared" si="119"/>
        <v>155000</v>
      </c>
      <c r="AQ103" s="4">
        <f t="shared" si="119"/>
        <v>2367071</v>
      </c>
      <c r="AR103" s="4">
        <f t="shared" si="119"/>
        <v>2358250</v>
      </c>
      <c r="AS103" s="4">
        <f t="shared" si="120"/>
        <v>1915000</v>
      </c>
      <c r="AT103" s="94">
        <f t="shared" si="120"/>
        <v>1232000</v>
      </c>
      <c r="AU103" s="9">
        <f t="shared" si="121"/>
        <v>8027321</v>
      </c>
    </row>
    <row r="104" spans="1:47" ht="31.5">
      <c r="A104" s="186"/>
      <c r="B104" s="8">
        <v>23</v>
      </c>
      <c r="C104" s="1" t="s">
        <v>212</v>
      </c>
      <c r="D104" s="4" t="s">
        <v>213</v>
      </c>
      <c r="E104" s="4" t="s">
        <v>17</v>
      </c>
      <c r="F104" s="4"/>
      <c r="G104" s="4"/>
      <c r="H104" s="4">
        <v>155000</v>
      </c>
      <c r="I104" s="4"/>
      <c r="J104" s="4"/>
      <c r="K104" s="9">
        <f t="shared" si="112"/>
        <v>155000</v>
      </c>
      <c r="L104" s="76"/>
      <c r="M104" s="76">
        <v>890000</v>
      </c>
      <c r="N104" s="76">
        <v>580000</v>
      </c>
      <c r="O104" s="76"/>
      <c r="P104" s="4"/>
      <c r="Q104" s="9">
        <f t="shared" si="113"/>
        <v>1470000</v>
      </c>
      <c r="R104" s="20"/>
      <c r="S104" s="20"/>
      <c r="T104" s="4"/>
      <c r="U104" s="20"/>
      <c r="V104" s="20"/>
      <c r="W104" s="9">
        <f t="shared" si="114"/>
        <v>0</v>
      </c>
      <c r="X104" s="20"/>
      <c r="Y104" s="25">
        <v>413250</v>
      </c>
      <c r="Z104" s="25">
        <v>548050</v>
      </c>
      <c r="AA104" s="25"/>
      <c r="AB104" s="20"/>
      <c r="AC104" s="21">
        <f t="shared" si="115"/>
        <v>961300</v>
      </c>
      <c r="AD104" s="25">
        <v>0</v>
      </c>
      <c r="AE104" s="20"/>
      <c r="AF104" s="21">
        <f t="shared" si="116"/>
        <v>0</v>
      </c>
      <c r="AG104" s="25"/>
      <c r="AH104" s="20"/>
      <c r="AI104" s="21">
        <f t="shared" si="117"/>
        <v>0</v>
      </c>
      <c r="AJ104" s="25"/>
      <c r="AK104" s="25"/>
      <c r="AL104" s="25"/>
      <c r="AM104" s="25"/>
      <c r="AN104" s="20"/>
      <c r="AO104" s="21">
        <f t="shared" si="118"/>
        <v>0</v>
      </c>
      <c r="AP104" s="4">
        <f t="shared" si="119"/>
        <v>0</v>
      </c>
      <c r="AQ104" s="4">
        <f t="shared" si="119"/>
        <v>1303250</v>
      </c>
      <c r="AR104" s="4">
        <f t="shared" si="119"/>
        <v>1283050</v>
      </c>
      <c r="AS104" s="4">
        <f t="shared" si="120"/>
        <v>0</v>
      </c>
      <c r="AT104" s="94">
        <f t="shared" si="120"/>
        <v>0</v>
      </c>
      <c r="AU104" s="9">
        <f t="shared" si="121"/>
        <v>2586300</v>
      </c>
    </row>
    <row r="105" spans="1:47" ht="31.5">
      <c r="A105" s="186"/>
      <c r="B105" s="8">
        <v>24</v>
      </c>
      <c r="C105" s="1" t="s">
        <v>214</v>
      </c>
      <c r="D105" s="4" t="s">
        <v>187</v>
      </c>
      <c r="E105" s="4" t="s">
        <v>17</v>
      </c>
      <c r="F105" s="4"/>
      <c r="G105" s="4">
        <v>155000</v>
      </c>
      <c r="H105" s="4">
        <f>52983+660000</f>
        <v>712983</v>
      </c>
      <c r="I105" s="4"/>
      <c r="J105" s="4"/>
      <c r="K105" s="9">
        <f t="shared" si="112"/>
        <v>867983</v>
      </c>
      <c r="L105" s="76"/>
      <c r="M105" s="76">
        <v>1420000</v>
      </c>
      <c r="N105" s="76">
        <v>200000</v>
      </c>
      <c r="O105" s="76"/>
      <c r="P105" s="4"/>
      <c r="Q105" s="9">
        <f t="shared" si="113"/>
        <v>1620000</v>
      </c>
      <c r="R105" s="20"/>
      <c r="S105" s="26">
        <v>1228000</v>
      </c>
      <c r="T105" s="4">
        <v>182000</v>
      </c>
      <c r="U105" s="23">
        <v>720000</v>
      </c>
      <c r="V105" s="23"/>
      <c r="W105" s="9">
        <f t="shared" si="114"/>
        <v>2130000</v>
      </c>
      <c r="X105" s="20"/>
      <c r="Y105" s="25">
        <v>592700</v>
      </c>
      <c r="Z105" s="25">
        <v>530500</v>
      </c>
      <c r="AA105" s="25">
        <v>900000</v>
      </c>
      <c r="AB105" s="20">
        <f>210000+210000+210000+350000</f>
        <v>980000</v>
      </c>
      <c r="AC105" s="21">
        <f t="shared" si="115"/>
        <v>3003200</v>
      </c>
      <c r="AD105" s="25">
        <v>0</v>
      </c>
      <c r="AE105" s="20"/>
      <c r="AF105" s="21">
        <f t="shared" si="116"/>
        <v>0</v>
      </c>
      <c r="AG105" s="25"/>
      <c r="AH105" s="20"/>
      <c r="AI105" s="21">
        <f t="shared" si="117"/>
        <v>0</v>
      </c>
      <c r="AJ105" s="25"/>
      <c r="AK105" s="25">
        <v>100000</v>
      </c>
      <c r="AL105" s="25">
        <v>276000</v>
      </c>
      <c r="AM105" s="25"/>
      <c r="AN105" s="20"/>
      <c r="AO105" s="21">
        <f t="shared" si="118"/>
        <v>376000</v>
      </c>
      <c r="AP105" s="4">
        <f t="shared" si="119"/>
        <v>0</v>
      </c>
      <c r="AQ105" s="4">
        <f t="shared" si="119"/>
        <v>3495700</v>
      </c>
      <c r="AR105" s="4">
        <f t="shared" si="119"/>
        <v>1901483</v>
      </c>
      <c r="AS105" s="4">
        <f t="shared" si="120"/>
        <v>1620000</v>
      </c>
      <c r="AT105" s="94">
        <f t="shared" si="120"/>
        <v>980000</v>
      </c>
      <c r="AU105" s="9">
        <f t="shared" si="121"/>
        <v>7997183</v>
      </c>
    </row>
    <row r="106" spans="1:47">
      <c r="A106" s="186"/>
      <c r="B106" s="8">
        <v>25</v>
      </c>
      <c r="C106" s="1" t="s">
        <v>215</v>
      </c>
      <c r="D106" s="4" t="s">
        <v>209</v>
      </c>
      <c r="E106" s="4" t="s">
        <v>17</v>
      </c>
      <c r="F106" s="4"/>
      <c r="G106" s="4"/>
      <c r="H106" s="4"/>
      <c r="I106" s="4"/>
      <c r="J106" s="4"/>
      <c r="K106" s="9">
        <f t="shared" si="112"/>
        <v>0</v>
      </c>
      <c r="L106" s="4"/>
      <c r="M106" s="4"/>
      <c r="N106" s="4"/>
      <c r="O106" s="4"/>
      <c r="P106" s="4"/>
      <c r="Q106" s="9">
        <f t="shared" si="113"/>
        <v>0</v>
      </c>
      <c r="R106" s="20"/>
      <c r="S106" s="26">
        <v>864000</v>
      </c>
      <c r="T106" s="4">
        <v>1078000</v>
      </c>
      <c r="U106" s="22">
        <v>1045000</v>
      </c>
      <c r="V106" s="22">
        <f>150000+225000+225000+225000+150000</f>
        <v>975000</v>
      </c>
      <c r="W106" s="9">
        <f t="shared" si="114"/>
        <v>3962000</v>
      </c>
      <c r="X106" s="20"/>
      <c r="Y106" s="25"/>
      <c r="Z106" s="25">
        <v>453700</v>
      </c>
      <c r="AA106" s="25">
        <v>180000</v>
      </c>
      <c r="AB106" s="20"/>
      <c r="AC106" s="21">
        <f t="shared" si="115"/>
        <v>633700</v>
      </c>
      <c r="AD106" s="25">
        <v>0</v>
      </c>
      <c r="AE106" s="20"/>
      <c r="AF106" s="21">
        <f t="shared" si="116"/>
        <v>0</v>
      </c>
      <c r="AG106" s="25"/>
      <c r="AH106" s="20"/>
      <c r="AI106" s="21">
        <f t="shared" si="117"/>
        <v>0</v>
      </c>
      <c r="AJ106" s="25"/>
      <c r="AK106" s="25"/>
      <c r="AL106" s="25"/>
      <c r="AM106" s="25"/>
      <c r="AN106" s="20"/>
      <c r="AO106" s="21">
        <f t="shared" si="118"/>
        <v>0</v>
      </c>
      <c r="AP106" s="4">
        <f t="shared" si="119"/>
        <v>0</v>
      </c>
      <c r="AQ106" s="4">
        <f t="shared" si="119"/>
        <v>864000</v>
      </c>
      <c r="AR106" s="4">
        <f t="shared" si="119"/>
        <v>1531700</v>
      </c>
      <c r="AS106" s="4">
        <f t="shared" si="120"/>
        <v>1225000</v>
      </c>
      <c r="AT106" s="94">
        <f t="shared" si="120"/>
        <v>975000</v>
      </c>
      <c r="AU106" s="9">
        <f t="shared" si="121"/>
        <v>4595700</v>
      </c>
    </row>
    <row r="107" spans="1:47" ht="47.25">
      <c r="A107" s="186"/>
      <c r="B107" s="8">
        <v>26</v>
      </c>
      <c r="C107" s="1" t="s">
        <v>217</v>
      </c>
      <c r="D107" s="4" t="s">
        <v>211</v>
      </c>
      <c r="E107" s="4" t="s">
        <v>17</v>
      </c>
      <c r="F107" s="4"/>
      <c r="G107" s="4"/>
      <c r="H107" s="4">
        <f>155000+52903</f>
        <v>207903</v>
      </c>
      <c r="I107" s="4">
        <v>270000</v>
      </c>
      <c r="J107" s="4">
        <f>101500+86500+151500+31000+62000</f>
        <v>432500</v>
      </c>
      <c r="K107" s="9">
        <f t="shared" si="112"/>
        <v>910403</v>
      </c>
      <c r="L107" s="4"/>
      <c r="M107" s="4"/>
      <c r="N107" s="4"/>
      <c r="O107" s="4"/>
      <c r="P107" s="4"/>
      <c r="Q107" s="9">
        <f t="shared" si="113"/>
        <v>0</v>
      </c>
      <c r="R107" s="20"/>
      <c r="S107" s="20"/>
      <c r="T107" s="20"/>
      <c r="U107" s="20"/>
      <c r="V107" s="20"/>
      <c r="W107" s="9">
        <f t="shared" si="114"/>
        <v>0</v>
      </c>
      <c r="X107" s="20"/>
      <c r="Y107" s="20"/>
      <c r="Z107" s="20"/>
      <c r="AA107" s="20"/>
      <c r="AB107" s="20"/>
      <c r="AC107" s="21">
        <f t="shared" si="115"/>
        <v>0</v>
      </c>
      <c r="AD107" s="25">
        <v>0</v>
      </c>
      <c r="AE107" s="20"/>
      <c r="AF107" s="21">
        <f t="shared" si="116"/>
        <v>0</v>
      </c>
      <c r="AG107" s="25"/>
      <c r="AH107" s="20"/>
      <c r="AI107" s="21">
        <f t="shared" si="117"/>
        <v>0</v>
      </c>
      <c r="AJ107" s="25"/>
      <c r="AK107" s="25"/>
      <c r="AL107" s="25"/>
      <c r="AM107" s="25"/>
      <c r="AN107" s="20"/>
      <c r="AO107" s="21">
        <f t="shared" si="118"/>
        <v>0</v>
      </c>
      <c r="AP107" s="4">
        <f t="shared" si="119"/>
        <v>0</v>
      </c>
      <c r="AQ107" s="4">
        <f t="shared" si="119"/>
        <v>0</v>
      </c>
      <c r="AR107" s="4">
        <f t="shared" si="119"/>
        <v>207903</v>
      </c>
      <c r="AS107" s="4">
        <f t="shared" si="120"/>
        <v>270000</v>
      </c>
      <c r="AT107" s="94">
        <f t="shared" si="120"/>
        <v>432500</v>
      </c>
      <c r="AU107" s="9">
        <f t="shared" si="121"/>
        <v>910403</v>
      </c>
    </row>
    <row r="108" spans="1:47">
      <c r="A108" s="186"/>
      <c r="B108" s="8">
        <v>27</v>
      </c>
      <c r="C108" s="1" t="s">
        <v>218</v>
      </c>
      <c r="D108" s="4" t="s">
        <v>193</v>
      </c>
      <c r="E108" s="4" t="s">
        <v>17</v>
      </c>
      <c r="F108" s="4"/>
      <c r="G108" s="4"/>
      <c r="H108" s="4"/>
      <c r="I108" s="4"/>
      <c r="J108" s="4"/>
      <c r="K108" s="9">
        <f t="shared" si="112"/>
        <v>0</v>
      </c>
      <c r="L108" s="4"/>
      <c r="M108" s="4"/>
      <c r="N108" s="4"/>
      <c r="O108" s="4"/>
      <c r="P108" s="4"/>
      <c r="Q108" s="9">
        <f t="shared" si="113"/>
        <v>0</v>
      </c>
      <c r="R108" s="20"/>
      <c r="S108" s="20"/>
      <c r="T108" s="20"/>
      <c r="U108" s="20"/>
      <c r="V108" s="20"/>
      <c r="W108" s="9">
        <f t="shared" si="114"/>
        <v>0</v>
      </c>
      <c r="X108" s="20"/>
      <c r="Y108" s="25">
        <v>340500</v>
      </c>
      <c r="Z108" s="25">
        <v>455900</v>
      </c>
      <c r="AA108" s="25">
        <v>-230000</v>
      </c>
      <c r="AB108" s="20"/>
      <c r="AC108" s="21">
        <f t="shared" si="115"/>
        <v>566400</v>
      </c>
      <c r="AD108" s="25">
        <v>0</v>
      </c>
      <c r="AE108" s="20"/>
      <c r="AF108" s="21">
        <f t="shared" si="116"/>
        <v>0</v>
      </c>
      <c r="AG108" s="25"/>
      <c r="AH108" s="20"/>
      <c r="AI108" s="21">
        <f t="shared" si="117"/>
        <v>0</v>
      </c>
      <c r="AJ108" s="25"/>
      <c r="AK108" s="25"/>
      <c r="AL108" s="25"/>
      <c r="AM108" s="25"/>
      <c r="AN108" s="20"/>
      <c r="AO108" s="21">
        <f t="shared" si="118"/>
        <v>0</v>
      </c>
      <c r="AP108" s="4">
        <f t="shared" si="119"/>
        <v>0</v>
      </c>
      <c r="AQ108" s="4">
        <f t="shared" si="119"/>
        <v>340500</v>
      </c>
      <c r="AR108" s="4">
        <f t="shared" si="119"/>
        <v>455900</v>
      </c>
      <c r="AS108" s="4">
        <f t="shared" si="120"/>
        <v>-230000</v>
      </c>
      <c r="AT108" s="94">
        <f t="shared" si="120"/>
        <v>0</v>
      </c>
      <c r="AU108" s="9">
        <f t="shared" si="121"/>
        <v>566400</v>
      </c>
    </row>
    <row r="109" spans="1:47">
      <c r="A109" s="186"/>
      <c r="B109" s="8">
        <v>28</v>
      </c>
      <c r="C109" s="1" t="s">
        <v>219</v>
      </c>
      <c r="D109" s="4" t="s">
        <v>185</v>
      </c>
      <c r="E109" s="4" t="s">
        <v>17</v>
      </c>
      <c r="F109" s="4"/>
      <c r="G109" s="4">
        <v>155000</v>
      </c>
      <c r="H109" s="4">
        <v>108928</v>
      </c>
      <c r="I109" s="4"/>
      <c r="J109" s="4"/>
      <c r="K109" s="9">
        <f t="shared" si="112"/>
        <v>263928</v>
      </c>
      <c r="L109" s="76"/>
      <c r="M109" s="76">
        <v>450000</v>
      </c>
      <c r="N109" s="76">
        <v>720000</v>
      </c>
      <c r="O109" s="76"/>
      <c r="P109" s="4"/>
      <c r="Q109" s="9">
        <f t="shared" si="113"/>
        <v>1170000</v>
      </c>
      <c r="R109" s="20"/>
      <c r="S109" s="20"/>
      <c r="T109" s="20"/>
      <c r="U109" s="20"/>
      <c r="V109" s="20"/>
      <c r="W109" s="9">
        <f t="shared" si="114"/>
        <v>0</v>
      </c>
      <c r="X109" s="20"/>
      <c r="Y109" s="25">
        <v>519950</v>
      </c>
      <c r="Z109" s="25">
        <v>349200</v>
      </c>
      <c r="AA109" s="25"/>
      <c r="AB109" s="20"/>
      <c r="AC109" s="21">
        <f t="shared" si="115"/>
        <v>869150</v>
      </c>
      <c r="AD109" s="25">
        <v>0</v>
      </c>
      <c r="AE109" s="20"/>
      <c r="AF109" s="21">
        <f t="shared" si="116"/>
        <v>0</v>
      </c>
      <c r="AG109" s="25"/>
      <c r="AH109" s="20"/>
      <c r="AI109" s="21">
        <f t="shared" si="117"/>
        <v>0</v>
      </c>
      <c r="AJ109" s="25"/>
      <c r="AK109" s="25"/>
      <c r="AL109" s="25"/>
      <c r="AM109" s="25"/>
      <c r="AN109" s="20"/>
      <c r="AO109" s="21">
        <f t="shared" si="118"/>
        <v>0</v>
      </c>
      <c r="AP109" s="4">
        <f t="shared" si="119"/>
        <v>0</v>
      </c>
      <c r="AQ109" s="4">
        <f t="shared" si="119"/>
        <v>1124950</v>
      </c>
      <c r="AR109" s="4">
        <f t="shared" si="119"/>
        <v>1178128</v>
      </c>
      <c r="AS109" s="4">
        <f t="shared" si="120"/>
        <v>0</v>
      </c>
      <c r="AT109" s="94">
        <f t="shared" si="120"/>
        <v>0</v>
      </c>
      <c r="AU109" s="9">
        <f t="shared" si="121"/>
        <v>2303078</v>
      </c>
    </row>
    <row r="110" spans="1:47">
      <c r="A110" s="186"/>
      <c r="B110" s="8">
        <v>29</v>
      </c>
      <c r="C110" s="1" t="s">
        <v>428</v>
      </c>
      <c r="D110" s="4" t="s">
        <v>187</v>
      </c>
      <c r="E110" s="4" t="s">
        <v>17</v>
      </c>
      <c r="F110" s="4"/>
      <c r="G110" s="4"/>
      <c r="H110" s="4">
        <v>155000</v>
      </c>
      <c r="I110" s="4">
        <f>60000+120000</f>
        <v>180000</v>
      </c>
      <c r="J110" s="4"/>
      <c r="K110" s="9">
        <f t="shared" si="112"/>
        <v>335000</v>
      </c>
      <c r="L110" s="4"/>
      <c r="M110" s="4"/>
      <c r="N110" s="4"/>
      <c r="O110" s="4"/>
      <c r="P110" s="4"/>
      <c r="Q110" s="9">
        <f t="shared" si="113"/>
        <v>0</v>
      </c>
      <c r="R110" s="20"/>
      <c r="S110" s="20"/>
      <c r="T110" s="20"/>
      <c r="U110" s="20"/>
      <c r="V110" s="20"/>
      <c r="W110" s="9">
        <f t="shared" si="114"/>
        <v>0</v>
      </c>
      <c r="X110" s="20"/>
      <c r="Y110" s="20">
        <v>195000</v>
      </c>
      <c r="Z110" s="25">
        <v>446200</v>
      </c>
      <c r="AA110" s="25">
        <v>240000</v>
      </c>
      <c r="AB110" s="20"/>
      <c r="AC110" s="21">
        <f t="shared" si="115"/>
        <v>881200</v>
      </c>
      <c r="AD110" s="25">
        <v>945000</v>
      </c>
      <c r="AE110" s="20">
        <f>630000+315000+525000</f>
        <v>1470000</v>
      </c>
      <c r="AF110" s="21">
        <f t="shared" si="116"/>
        <v>2415000</v>
      </c>
      <c r="AG110" s="25"/>
      <c r="AH110" s="20"/>
      <c r="AI110" s="21">
        <f t="shared" si="117"/>
        <v>0</v>
      </c>
      <c r="AJ110" s="25"/>
      <c r="AK110" s="25"/>
      <c r="AL110" s="25"/>
      <c r="AM110" s="25"/>
      <c r="AN110" s="20"/>
      <c r="AO110" s="21">
        <f t="shared" si="118"/>
        <v>0</v>
      </c>
      <c r="AP110" s="4">
        <f t="shared" si="119"/>
        <v>0</v>
      </c>
      <c r="AQ110" s="4">
        <f t="shared" si="119"/>
        <v>195000</v>
      </c>
      <c r="AR110" s="4">
        <f t="shared" si="119"/>
        <v>601200</v>
      </c>
      <c r="AS110" s="4">
        <f t="shared" si="120"/>
        <v>1365000</v>
      </c>
      <c r="AT110" s="94">
        <f t="shared" si="120"/>
        <v>1470000</v>
      </c>
      <c r="AU110" s="9">
        <f t="shared" si="121"/>
        <v>3631200</v>
      </c>
    </row>
    <row r="111" spans="1:47">
      <c r="A111" s="186"/>
      <c r="B111" s="8">
        <v>30</v>
      </c>
      <c r="C111" s="1" t="s">
        <v>221</v>
      </c>
      <c r="D111" s="4" t="s">
        <v>222</v>
      </c>
      <c r="E111" s="4" t="s">
        <v>17</v>
      </c>
      <c r="F111" s="4"/>
      <c r="G111" s="4"/>
      <c r="H111" s="4">
        <v>155000</v>
      </c>
      <c r="I111" s="4">
        <f>40000+96000</f>
        <v>136000</v>
      </c>
      <c r="J111" s="4"/>
      <c r="K111" s="9">
        <f t="shared" si="112"/>
        <v>291000</v>
      </c>
      <c r="L111" s="4"/>
      <c r="M111" s="4"/>
      <c r="N111" s="4"/>
      <c r="O111" s="4"/>
      <c r="P111" s="4"/>
      <c r="Q111" s="9">
        <f t="shared" si="113"/>
        <v>0</v>
      </c>
      <c r="R111" s="20"/>
      <c r="S111" s="20"/>
      <c r="T111" s="20"/>
      <c r="U111" s="20"/>
      <c r="V111" s="20"/>
      <c r="W111" s="9">
        <f t="shared" si="114"/>
        <v>0</v>
      </c>
      <c r="X111" s="20"/>
      <c r="Y111" s="20"/>
      <c r="Z111" s="25">
        <v>195000</v>
      </c>
      <c r="AA111" s="25">
        <v>182000</v>
      </c>
      <c r="AB111" s="20"/>
      <c r="AC111" s="21">
        <f t="shared" si="115"/>
        <v>377000</v>
      </c>
      <c r="AD111" s="25">
        <v>945000</v>
      </c>
      <c r="AE111" s="20">
        <f>315000+234500+280000+283500+196000</f>
        <v>1309000</v>
      </c>
      <c r="AF111" s="21">
        <f t="shared" si="116"/>
        <v>2254000</v>
      </c>
      <c r="AG111" s="25"/>
      <c r="AH111" s="20"/>
      <c r="AI111" s="21">
        <f t="shared" si="117"/>
        <v>0</v>
      </c>
      <c r="AJ111" s="25"/>
      <c r="AK111" s="25"/>
      <c r="AL111" s="25"/>
      <c r="AM111" s="25"/>
      <c r="AN111" s="20"/>
      <c r="AO111" s="21">
        <f t="shared" si="118"/>
        <v>0</v>
      </c>
      <c r="AP111" s="4">
        <f t="shared" si="119"/>
        <v>0</v>
      </c>
      <c r="AQ111" s="4">
        <f t="shared" si="119"/>
        <v>0</v>
      </c>
      <c r="AR111" s="4">
        <f t="shared" si="119"/>
        <v>350000</v>
      </c>
      <c r="AS111" s="4">
        <f t="shared" si="120"/>
        <v>1263000</v>
      </c>
      <c r="AT111" s="94">
        <f t="shared" si="120"/>
        <v>1309000</v>
      </c>
      <c r="AU111" s="9">
        <f t="shared" si="121"/>
        <v>2922000</v>
      </c>
    </row>
    <row r="112" spans="1:47" ht="31.5">
      <c r="A112" s="187"/>
      <c r="B112" s="8">
        <v>31</v>
      </c>
      <c r="C112" s="1" t="s">
        <v>223</v>
      </c>
      <c r="D112" s="4" t="s">
        <v>224</v>
      </c>
      <c r="E112" s="4" t="s">
        <v>17</v>
      </c>
      <c r="F112" s="4"/>
      <c r="G112" s="4"/>
      <c r="H112" s="4">
        <v>155000</v>
      </c>
      <c r="I112" s="4"/>
      <c r="J112" s="4"/>
      <c r="K112" s="9">
        <f t="shared" si="112"/>
        <v>155000</v>
      </c>
      <c r="L112" s="4"/>
      <c r="M112" s="4"/>
      <c r="N112" s="4"/>
      <c r="O112" s="4"/>
      <c r="P112" s="4"/>
      <c r="Q112" s="9">
        <f t="shared" si="113"/>
        <v>0</v>
      </c>
      <c r="R112" s="20"/>
      <c r="S112" s="20"/>
      <c r="T112" s="4">
        <v>290000</v>
      </c>
      <c r="U112" s="20"/>
      <c r="V112" s="20"/>
      <c r="W112" s="9">
        <f t="shared" si="114"/>
        <v>290000</v>
      </c>
      <c r="X112" s="20"/>
      <c r="Y112" s="20"/>
      <c r="Z112" s="25">
        <v>195000</v>
      </c>
      <c r="AA112" s="25"/>
      <c r="AB112" s="20"/>
      <c r="AC112" s="21">
        <f t="shared" si="115"/>
        <v>195000</v>
      </c>
      <c r="AD112" s="25">
        <v>0</v>
      </c>
      <c r="AE112" s="20"/>
      <c r="AF112" s="21">
        <f t="shared" si="116"/>
        <v>0</v>
      </c>
      <c r="AG112" s="25"/>
      <c r="AH112" s="20"/>
      <c r="AI112" s="21">
        <f t="shared" si="117"/>
        <v>0</v>
      </c>
      <c r="AJ112" s="25"/>
      <c r="AK112" s="25"/>
      <c r="AL112" s="25"/>
      <c r="AM112" s="25"/>
      <c r="AN112" s="20"/>
      <c r="AO112" s="21">
        <f t="shared" si="118"/>
        <v>0</v>
      </c>
      <c r="AP112" s="4">
        <f t="shared" si="119"/>
        <v>0</v>
      </c>
      <c r="AQ112" s="4">
        <f t="shared" si="119"/>
        <v>0</v>
      </c>
      <c r="AR112" s="4">
        <f t="shared" si="119"/>
        <v>640000</v>
      </c>
      <c r="AS112" s="4">
        <f t="shared" si="120"/>
        <v>0</v>
      </c>
      <c r="AT112" s="94">
        <f t="shared" si="120"/>
        <v>0</v>
      </c>
      <c r="AU112" s="9">
        <f t="shared" si="121"/>
        <v>640000</v>
      </c>
    </row>
    <row r="113" spans="1:47" s="38" customFormat="1">
      <c r="A113" s="34"/>
      <c r="B113" s="34"/>
      <c r="C113" s="35" t="s">
        <v>225</v>
      </c>
      <c r="D113" s="37"/>
      <c r="E113" s="37"/>
      <c r="F113" s="37">
        <f>SUM(F82:F112)</f>
        <v>775000</v>
      </c>
      <c r="G113" s="37">
        <f t="shared" ref="G113:AU113" si="122">SUM(G82:G112)</f>
        <v>7149160</v>
      </c>
      <c r="H113" s="37">
        <f t="shared" si="122"/>
        <v>8450814</v>
      </c>
      <c r="I113" s="37">
        <f t="shared" si="122"/>
        <v>2787000</v>
      </c>
      <c r="J113" s="37">
        <f t="shared" si="122"/>
        <v>950500</v>
      </c>
      <c r="K113" s="37">
        <f t="shared" si="122"/>
        <v>20112474</v>
      </c>
      <c r="L113" s="37">
        <f t="shared" si="122"/>
        <v>290000</v>
      </c>
      <c r="M113" s="37">
        <f t="shared" si="122"/>
        <v>12120000</v>
      </c>
      <c r="N113" s="37">
        <f t="shared" si="122"/>
        <v>14070000</v>
      </c>
      <c r="O113" s="37">
        <f t="shared" si="122"/>
        <v>5605000</v>
      </c>
      <c r="P113" s="37">
        <f t="shared" si="122"/>
        <v>4040000</v>
      </c>
      <c r="Q113" s="37">
        <f t="shared" si="122"/>
        <v>36125000</v>
      </c>
      <c r="R113" s="37">
        <f t="shared" si="122"/>
        <v>0</v>
      </c>
      <c r="S113" s="37">
        <f t="shared" si="122"/>
        <v>3302000</v>
      </c>
      <c r="T113" s="37">
        <f t="shared" si="122"/>
        <v>2864000</v>
      </c>
      <c r="U113" s="37">
        <f t="shared" si="122"/>
        <v>3261000</v>
      </c>
      <c r="V113" s="37">
        <f t="shared" si="122"/>
        <v>975000</v>
      </c>
      <c r="W113" s="37">
        <f t="shared" si="122"/>
        <v>10402000</v>
      </c>
      <c r="X113" s="37">
        <f t="shared" si="122"/>
        <v>585000</v>
      </c>
      <c r="Y113" s="37">
        <f t="shared" si="122"/>
        <v>14900906</v>
      </c>
      <c r="Z113" s="37">
        <f t="shared" si="122"/>
        <v>12709450</v>
      </c>
      <c r="AA113" s="37">
        <f t="shared" si="122"/>
        <v>6797000</v>
      </c>
      <c r="AB113" s="37">
        <f t="shared" si="122"/>
        <v>3969000</v>
      </c>
      <c r="AC113" s="37">
        <f t="shared" si="122"/>
        <v>38961356</v>
      </c>
      <c r="AD113" s="37">
        <f t="shared" si="122"/>
        <v>7591000</v>
      </c>
      <c r="AE113" s="37">
        <f t="shared" si="122"/>
        <v>9078500</v>
      </c>
      <c r="AF113" s="37">
        <f t="shared" si="122"/>
        <v>16669500</v>
      </c>
      <c r="AG113" s="37">
        <f t="shared" si="122"/>
        <v>2700000</v>
      </c>
      <c r="AH113" s="37">
        <f t="shared" si="122"/>
        <v>4200000</v>
      </c>
      <c r="AI113" s="37">
        <f t="shared" si="122"/>
        <v>6900000</v>
      </c>
      <c r="AJ113" s="37">
        <f t="shared" si="122"/>
        <v>0</v>
      </c>
      <c r="AK113" s="37">
        <f t="shared" si="122"/>
        <v>848400</v>
      </c>
      <c r="AL113" s="37">
        <f t="shared" si="122"/>
        <v>2010800</v>
      </c>
      <c r="AM113" s="37">
        <f t="shared" si="122"/>
        <v>208000</v>
      </c>
      <c r="AN113" s="37">
        <f t="shared" si="122"/>
        <v>0</v>
      </c>
      <c r="AO113" s="37">
        <f t="shared" si="122"/>
        <v>3067200</v>
      </c>
      <c r="AP113" s="37">
        <f t="shared" si="122"/>
        <v>1650000</v>
      </c>
      <c r="AQ113" s="37">
        <f t="shared" si="122"/>
        <v>38320466</v>
      </c>
      <c r="AR113" s="37">
        <f t="shared" si="122"/>
        <v>40105064</v>
      </c>
      <c r="AS113" s="37">
        <f t="shared" si="122"/>
        <v>28949000</v>
      </c>
      <c r="AT113" s="37">
        <f t="shared" si="122"/>
        <v>23213000</v>
      </c>
      <c r="AU113" s="37">
        <f t="shared" si="122"/>
        <v>132237530</v>
      </c>
    </row>
    <row r="114" spans="1:47" ht="31.5">
      <c r="A114" s="185" t="s">
        <v>226</v>
      </c>
      <c r="B114" s="8">
        <v>1</v>
      </c>
      <c r="C114" s="1" t="s">
        <v>227</v>
      </c>
      <c r="D114" s="5" t="s">
        <v>228</v>
      </c>
      <c r="E114" s="4" t="s">
        <v>226</v>
      </c>
      <c r="F114" s="4"/>
      <c r="G114" s="4"/>
      <c r="H114" s="5"/>
      <c r="I114" s="4"/>
      <c r="J114" s="4"/>
      <c r="K114" s="9">
        <f t="shared" ref="K114:K117" si="123">SUM(F114:J114)</f>
        <v>0</v>
      </c>
      <c r="L114" s="4"/>
      <c r="M114" s="4"/>
      <c r="N114" s="4"/>
      <c r="O114" s="4"/>
      <c r="P114" s="4"/>
      <c r="Q114" s="9">
        <f t="shared" ref="Q114:Q117" si="124">SUM(L114:P114)</f>
        <v>0</v>
      </c>
      <c r="R114" s="20">
        <v>290000</v>
      </c>
      <c r="S114" s="20"/>
      <c r="T114" s="4">
        <v>273000</v>
      </c>
      <c r="U114" s="22">
        <v>252000</v>
      </c>
      <c r="V114" s="22"/>
      <c r="W114" s="9">
        <f t="shared" ref="W114:W117" si="125">SUM(R114:V114)</f>
        <v>815000</v>
      </c>
      <c r="X114" s="20"/>
      <c r="Y114" s="20"/>
      <c r="Z114" s="25"/>
      <c r="AA114" s="25"/>
      <c r="AB114" s="20"/>
      <c r="AC114" s="21">
        <f t="shared" ref="AC114:AC117" si="126">SUM(X114:AB114)</f>
        <v>0</v>
      </c>
      <c r="AD114" s="25"/>
      <c r="AE114" s="20"/>
      <c r="AF114" s="21">
        <f t="shared" ref="AF114:AF117" si="127">SUM(AD114:AE114)</f>
        <v>0</v>
      </c>
      <c r="AG114" s="25"/>
      <c r="AH114" s="20"/>
      <c r="AI114" s="21">
        <f t="shared" ref="AI114:AI117" si="128">SUM(AG114:AH114)</f>
        <v>0</v>
      </c>
      <c r="AJ114" s="25"/>
      <c r="AK114" s="25"/>
      <c r="AL114" s="25"/>
      <c r="AM114" s="25"/>
      <c r="AN114" s="20"/>
      <c r="AO114" s="21">
        <f t="shared" ref="AO114:AO117" si="129">SUM(AJ114:AN114)</f>
        <v>0</v>
      </c>
      <c r="AP114" s="4">
        <f t="shared" ref="AP114:AR117" si="130">F114+L114+R114+X114+AJ114</f>
        <v>290000</v>
      </c>
      <c r="AQ114" s="4">
        <f t="shared" si="130"/>
        <v>0</v>
      </c>
      <c r="AR114" s="4">
        <f t="shared" si="130"/>
        <v>273000</v>
      </c>
      <c r="AS114" s="4">
        <f t="shared" ref="AS114:AT117" si="131">I114+O114+U114+AA114+AD114+AG114+AM114</f>
        <v>252000</v>
      </c>
      <c r="AT114" s="94">
        <f t="shared" si="131"/>
        <v>0</v>
      </c>
      <c r="AU114" s="9">
        <f t="shared" ref="AU114:AU117" si="132">SUM(AP114:AT114)</f>
        <v>815000</v>
      </c>
    </row>
    <row r="115" spans="1:47" ht="47.25">
      <c r="A115" s="186"/>
      <c r="B115" s="8">
        <v>2</v>
      </c>
      <c r="C115" s="1" t="s">
        <v>229</v>
      </c>
      <c r="D115" s="4" t="s">
        <v>230</v>
      </c>
      <c r="E115" s="4" t="s">
        <v>226</v>
      </c>
      <c r="F115" s="4"/>
      <c r="G115" s="4"/>
      <c r="H115" s="5"/>
      <c r="I115" s="4"/>
      <c r="J115" s="4"/>
      <c r="K115" s="9">
        <f t="shared" si="123"/>
        <v>0</v>
      </c>
      <c r="L115" s="76"/>
      <c r="M115" s="76">
        <v>310000</v>
      </c>
      <c r="N115" s="76">
        <v>480000</v>
      </c>
      <c r="O115" s="76">
        <v>330000</v>
      </c>
      <c r="P115" s="4">
        <f>340000+60000+60000</f>
        <v>460000</v>
      </c>
      <c r="Q115" s="9">
        <f t="shared" si="124"/>
        <v>1580000</v>
      </c>
      <c r="R115" s="20"/>
      <c r="S115" s="20"/>
      <c r="T115" s="4"/>
      <c r="U115" s="20"/>
      <c r="V115" s="20"/>
      <c r="W115" s="9">
        <f t="shared" si="125"/>
        <v>0</v>
      </c>
      <c r="X115" s="20"/>
      <c r="Y115" s="20"/>
      <c r="Z115" s="25"/>
      <c r="AA115" s="25"/>
      <c r="AB115" s="20"/>
      <c r="AC115" s="21">
        <f t="shared" si="126"/>
        <v>0</v>
      </c>
      <c r="AD115" s="25"/>
      <c r="AE115" s="20"/>
      <c r="AF115" s="21">
        <f t="shared" si="127"/>
        <v>0</v>
      </c>
      <c r="AG115" s="25"/>
      <c r="AH115" s="20"/>
      <c r="AI115" s="21">
        <f t="shared" si="128"/>
        <v>0</v>
      </c>
      <c r="AJ115" s="25"/>
      <c r="AK115" s="25"/>
      <c r="AL115" s="25"/>
      <c r="AM115" s="25"/>
      <c r="AN115" s="20"/>
      <c r="AO115" s="21">
        <f t="shared" si="129"/>
        <v>0</v>
      </c>
      <c r="AP115" s="4">
        <f t="shared" si="130"/>
        <v>0</v>
      </c>
      <c r="AQ115" s="4">
        <f t="shared" si="130"/>
        <v>310000</v>
      </c>
      <c r="AR115" s="4">
        <f t="shared" si="130"/>
        <v>480000</v>
      </c>
      <c r="AS115" s="4">
        <f t="shared" si="131"/>
        <v>330000</v>
      </c>
      <c r="AT115" s="94">
        <f t="shared" si="131"/>
        <v>460000</v>
      </c>
      <c r="AU115" s="9">
        <f t="shared" si="132"/>
        <v>1580000</v>
      </c>
    </row>
    <row r="116" spans="1:47" ht="31.5">
      <c r="A116" s="186"/>
      <c r="B116" s="8">
        <v>3</v>
      </c>
      <c r="C116" s="1" t="s">
        <v>231</v>
      </c>
      <c r="D116" s="5" t="s">
        <v>414</v>
      </c>
      <c r="E116" s="4" t="s">
        <v>226</v>
      </c>
      <c r="F116" s="4"/>
      <c r="G116" s="4"/>
      <c r="H116" s="5"/>
      <c r="I116" s="4"/>
      <c r="J116" s="4"/>
      <c r="K116" s="9">
        <f t="shared" si="123"/>
        <v>0</v>
      </c>
      <c r="L116" s="4"/>
      <c r="M116" s="4"/>
      <c r="N116" s="4"/>
      <c r="O116" s="4"/>
      <c r="P116" s="4"/>
      <c r="Q116" s="9">
        <f t="shared" si="124"/>
        <v>0</v>
      </c>
      <c r="R116" s="20"/>
      <c r="S116" s="20"/>
      <c r="T116" s="4"/>
      <c r="U116" s="20"/>
      <c r="V116" s="20"/>
      <c r="W116" s="9">
        <f t="shared" si="125"/>
        <v>0</v>
      </c>
      <c r="X116" s="20"/>
      <c r="Y116" s="25">
        <v>330800</v>
      </c>
      <c r="Z116" s="25">
        <f>106700+198000</f>
        <v>304700</v>
      </c>
      <c r="AA116" s="25">
        <v>446500</v>
      </c>
      <c r="AB116" s="20">
        <f>91000+234500+262500</f>
        <v>588000</v>
      </c>
      <c r="AC116" s="21">
        <f t="shared" si="126"/>
        <v>1670000</v>
      </c>
      <c r="AD116" s="25"/>
      <c r="AE116" s="20"/>
      <c r="AF116" s="21">
        <f t="shared" si="127"/>
        <v>0</v>
      </c>
      <c r="AG116" s="25"/>
      <c r="AH116" s="20"/>
      <c r="AI116" s="21">
        <f t="shared" si="128"/>
        <v>0</v>
      </c>
      <c r="AJ116" s="25"/>
      <c r="AK116" s="25"/>
      <c r="AL116" s="25"/>
      <c r="AM116" s="25"/>
      <c r="AN116" s="20"/>
      <c r="AO116" s="21">
        <f t="shared" si="129"/>
        <v>0</v>
      </c>
      <c r="AP116" s="4">
        <f t="shared" si="130"/>
        <v>0</v>
      </c>
      <c r="AQ116" s="4">
        <f t="shared" si="130"/>
        <v>330800</v>
      </c>
      <c r="AR116" s="4">
        <f t="shared" si="130"/>
        <v>304700</v>
      </c>
      <c r="AS116" s="4">
        <f t="shared" si="131"/>
        <v>446500</v>
      </c>
      <c r="AT116" s="94">
        <f t="shared" si="131"/>
        <v>588000</v>
      </c>
      <c r="AU116" s="9">
        <f t="shared" si="132"/>
        <v>1670000</v>
      </c>
    </row>
    <row r="117" spans="1:47" ht="31.5">
      <c r="A117" s="187"/>
      <c r="B117" s="8">
        <v>4</v>
      </c>
      <c r="C117" s="1" t="s">
        <v>232</v>
      </c>
      <c r="D117" s="4" t="s">
        <v>233</v>
      </c>
      <c r="E117" s="4" t="s">
        <v>226</v>
      </c>
      <c r="F117" s="4">
        <v>155000</v>
      </c>
      <c r="G117" s="4"/>
      <c r="H117" s="5"/>
      <c r="I117" s="4"/>
      <c r="J117" s="4"/>
      <c r="K117" s="9">
        <f t="shared" si="123"/>
        <v>155000</v>
      </c>
      <c r="L117" s="4"/>
      <c r="M117" s="4"/>
      <c r="N117" s="4"/>
      <c r="O117" s="4"/>
      <c r="P117" s="4"/>
      <c r="Q117" s="9">
        <f t="shared" si="124"/>
        <v>0</v>
      </c>
      <c r="R117" s="20"/>
      <c r="S117" s="20"/>
      <c r="T117" s="20"/>
      <c r="U117" s="20"/>
      <c r="V117" s="20"/>
      <c r="W117" s="9">
        <f t="shared" si="125"/>
        <v>0</v>
      </c>
      <c r="X117" s="20">
        <v>195000</v>
      </c>
      <c r="Y117" s="20"/>
      <c r="Z117" s="20"/>
      <c r="AA117" s="20"/>
      <c r="AB117" s="20"/>
      <c r="AC117" s="21">
        <f t="shared" si="126"/>
        <v>195000</v>
      </c>
      <c r="AD117" s="25"/>
      <c r="AE117" s="20"/>
      <c r="AF117" s="21">
        <f t="shared" si="127"/>
        <v>0</v>
      </c>
      <c r="AG117" s="25"/>
      <c r="AH117" s="20"/>
      <c r="AI117" s="21">
        <f t="shared" si="128"/>
        <v>0</v>
      </c>
      <c r="AJ117" s="25"/>
      <c r="AK117" s="25"/>
      <c r="AL117" s="25"/>
      <c r="AM117" s="25"/>
      <c r="AN117" s="20"/>
      <c r="AO117" s="21">
        <f t="shared" si="129"/>
        <v>0</v>
      </c>
      <c r="AP117" s="4">
        <f t="shared" si="130"/>
        <v>350000</v>
      </c>
      <c r="AQ117" s="4">
        <f t="shared" si="130"/>
        <v>0</v>
      </c>
      <c r="AR117" s="4">
        <f t="shared" si="130"/>
        <v>0</v>
      </c>
      <c r="AS117" s="4">
        <f t="shared" si="131"/>
        <v>0</v>
      </c>
      <c r="AT117" s="94">
        <f t="shared" si="131"/>
        <v>0</v>
      </c>
      <c r="AU117" s="9">
        <f t="shared" si="132"/>
        <v>350000</v>
      </c>
    </row>
    <row r="118" spans="1:47" s="38" customFormat="1">
      <c r="A118" s="34"/>
      <c r="B118" s="34"/>
      <c r="C118" s="35" t="s">
        <v>234</v>
      </c>
      <c r="D118" s="37"/>
      <c r="E118" s="37"/>
      <c r="F118" s="37">
        <f>SUM(F114:F117)</f>
        <v>155000</v>
      </c>
      <c r="G118" s="37">
        <f t="shared" ref="G118:AU118" si="133">SUM(G114:G117)</f>
        <v>0</v>
      </c>
      <c r="H118" s="37">
        <f t="shared" si="133"/>
        <v>0</v>
      </c>
      <c r="I118" s="37">
        <f t="shared" si="133"/>
        <v>0</v>
      </c>
      <c r="J118" s="37">
        <f t="shared" si="133"/>
        <v>0</v>
      </c>
      <c r="K118" s="37">
        <f t="shared" si="133"/>
        <v>155000</v>
      </c>
      <c r="L118" s="37">
        <f t="shared" si="133"/>
        <v>0</v>
      </c>
      <c r="M118" s="37">
        <f t="shared" si="133"/>
        <v>310000</v>
      </c>
      <c r="N118" s="37">
        <f t="shared" si="133"/>
        <v>480000</v>
      </c>
      <c r="O118" s="37">
        <f t="shared" si="133"/>
        <v>330000</v>
      </c>
      <c r="P118" s="37">
        <f t="shared" si="133"/>
        <v>460000</v>
      </c>
      <c r="Q118" s="37">
        <f t="shared" si="133"/>
        <v>1580000</v>
      </c>
      <c r="R118" s="37">
        <f t="shared" si="133"/>
        <v>290000</v>
      </c>
      <c r="S118" s="37">
        <f t="shared" si="133"/>
        <v>0</v>
      </c>
      <c r="T118" s="37">
        <f t="shared" si="133"/>
        <v>273000</v>
      </c>
      <c r="U118" s="37">
        <f t="shared" si="133"/>
        <v>252000</v>
      </c>
      <c r="V118" s="37">
        <f t="shared" si="133"/>
        <v>0</v>
      </c>
      <c r="W118" s="37">
        <f t="shared" si="133"/>
        <v>815000</v>
      </c>
      <c r="X118" s="37">
        <f t="shared" si="133"/>
        <v>195000</v>
      </c>
      <c r="Y118" s="37">
        <f t="shared" si="133"/>
        <v>330800</v>
      </c>
      <c r="Z118" s="37">
        <f t="shared" si="133"/>
        <v>304700</v>
      </c>
      <c r="AA118" s="37">
        <f t="shared" si="133"/>
        <v>446500</v>
      </c>
      <c r="AB118" s="37">
        <f t="shared" si="133"/>
        <v>588000</v>
      </c>
      <c r="AC118" s="37">
        <f t="shared" si="133"/>
        <v>1865000</v>
      </c>
      <c r="AD118" s="37">
        <f t="shared" si="133"/>
        <v>0</v>
      </c>
      <c r="AE118" s="37">
        <f t="shared" si="133"/>
        <v>0</v>
      </c>
      <c r="AF118" s="37">
        <f t="shared" si="133"/>
        <v>0</v>
      </c>
      <c r="AG118" s="37">
        <f t="shared" si="133"/>
        <v>0</v>
      </c>
      <c r="AH118" s="37">
        <f t="shared" si="133"/>
        <v>0</v>
      </c>
      <c r="AI118" s="37">
        <f t="shared" si="133"/>
        <v>0</v>
      </c>
      <c r="AJ118" s="37">
        <f t="shared" si="133"/>
        <v>0</v>
      </c>
      <c r="AK118" s="37">
        <f t="shared" si="133"/>
        <v>0</v>
      </c>
      <c r="AL118" s="37">
        <f t="shared" si="133"/>
        <v>0</v>
      </c>
      <c r="AM118" s="37">
        <f t="shared" si="133"/>
        <v>0</v>
      </c>
      <c r="AN118" s="37">
        <f t="shared" si="133"/>
        <v>0</v>
      </c>
      <c r="AO118" s="37">
        <f t="shared" si="133"/>
        <v>0</v>
      </c>
      <c r="AP118" s="37">
        <f t="shared" si="133"/>
        <v>640000</v>
      </c>
      <c r="AQ118" s="37">
        <f t="shared" si="133"/>
        <v>640800</v>
      </c>
      <c r="AR118" s="37">
        <f t="shared" si="133"/>
        <v>1057700</v>
      </c>
      <c r="AS118" s="37">
        <f t="shared" si="133"/>
        <v>1028500</v>
      </c>
      <c r="AT118" s="37">
        <f t="shared" si="133"/>
        <v>1048000</v>
      </c>
      <c r="AU118" s="37">
        <f t="shared" si="133"/>
        <v>4415000</v>
      </c>
    </row>
    <row r="119" spans="1:47">
      <c r="A119" s="185" t="s">
        <v>235</v>
      </c>
      <c r="B119" s="8">
        <v>1</v>
      </c>
      <c r="C119" s="1" t="s">
        <v>236</v>
      </c>
      <c r="D119" s="4" t="s">
        <v>237</v>
      </c>
      <c r="E119" s="4" t="s">
        <v>235</v>
      </c>
      <c r="F119" s="4"/>
      <c r="G119" s="4">
        <v>155000</v>
      </c>
      <c r="H119" s="4"/>
      <c r="I119" s="4"/>
      <c r="J119" s="4"/>
      <c r="K119" s="9">
        <f t="shared" ref="K119:K122" si="134">SUM(F119:J119)</f>
        <v>155000</v>
      </c>
      <c r="L119" s="76"/>
      <c r="M119" s="76">
        <v>290000</v>
      </c>
      <c r="N119" s="76"/>
      <c r="O119" s="76"/>
      <c r="P119" s="4"/>
      <c r="Q119" s="9">
        <f t="shared" ref="Q119:Q120" si="135">SUM(L119:P119)</f>
        <v>290000</v>
      </c>
      <c r="R119" s="20"/>
      <c r="S119" s="20">
        <v>290000</v>
      </c>
      <c r="T119" s="4">
        <v>175000</v>
      </c>
      <c r="U119" s="20"/>
      <c r="V119" s="20"/>
      <c r="W119" s="9">
        <f t="shared" ref="W119:W120" si="136">SUM(R119:V119)</f>
        <v>465000</v>
      </c>
      <c r="X119" s="20"/>
      <c r="Y119" s="20"/>
      <c r="Z119" s="20"/>
      <c r="AA119" s="20"/>
      <c r="AB119" s="20"/>
      <c r="AC119" s="21">
        <f t="shared" ref="AC119:AC120" si="137">SUM(X119:AB119)</f>
        <v>0</v>
      </c>
      <c r="AD119" s="25"/>
      <c r="AE119" s="20"/>
      <c r="AF119" s="21">
        <f t="shared" ref="AF119:AF120" si="138">SUM(AD119:AE119)</f>
        <v>0</v>
      </c>
      <c r="AG119" s="25"/>
      <c r="AH119" s="20"/>
      <c r="AI119" s="21">
        <f t="shared" ref="AI119:AI120" si="139">SUM(AG119:AH119)</f>
        <v>0</v>
      </c>
      <c r="AJ119" s="25"/>
      <c r="AK119" s="25"/>
      <c r="AL119" s="25"/>
      <c r="AM119" s="25"/>
      <c r="AN119" s="20"/>
      <c r="AO119" s="21">
        <f t="shared" ref="AO119:AO120" si="140">SUM(AJ119:AN119)</f>
        <v>0</v>
      </c>
      <c r="AP119" s="4">
        <f t="shared" ref="AP119:AR120" si="141">F119+L119+R119+X119+AJ119</f>
        <v>0</v>
      </c>
      <c r="AQ119" s="4">
        <f t="shared" si="141"/>
        <v>735000</v>
      </c>
      <c r="AR119" s="4">
        <f t="shared" si="141"/>
        <v>175000</v>
      </c>
      <c r="AS119" s="4">
        <f t="shared" ref="AS119:AT120" si="142">I119+O119+U119+AA119+AD119+AG119+AM119</f>
        <v>0</v>
      </c>
      <c r="AT119" s="94">
        <f t="shared" si="142"/>
        <v>0</v>
      </c>
      <c r="AU119" s="9">
        <f t="shared" ref="AU119:AU120" si="143">SUM(AP119:AT119)</f>
        <v>910000</v>
      </c>
    </row>
    <row r="120" spans="1:47" ht="31.5">
      <c r="A120" s="187"/>
      <c r="B120" s="8">
        <v>2</v>
      </c>
      <c r="C120" s="1" t="s">
        <v>238</v>
      </c>
      <c r="D120" s="4" t="s">
        <v>239</v>
      </c>
      <c r="E120" s="4" t="s">
        <v>235</v>
      </c>
      <c r="F120" s="4"/>
      <c r="G120" s="4"/>
      <c r="H120" s="4">
        <f>155000+31667+20000</f>
        <v>206667</v>
      </c>
      <c r="I120" s="4">
        <v>777500</v>
      </c>
      <c r="J120" s="4">
        <v>52500</v>
      </c>
      <c r="K120" s="9">
        <f t="shared" si="134"/>
        <v>1036667</v>
      </c>
      <c r="L120" s="4"/>
      <c r="M120" s="4"/>
      <c r="N120" s="4"/>
      <c r="O120" s="4"/>
      <c r="P120" s="4"/>
      <c r="Q120" s="9">
        <f t="shared" si="135"/>
        <v>0</v>
      </c>
      <c r="R120" s="20"/>
      <c r="S120" s="20"/>
      <c r="T120" s="20"/>
      <c r="U120" s="20"/>
      <c r="V120" s="20"/>
      <c r="W120" s="9">
        <f t="shared" si="136"/>
        <v>0</v>
      </c>
      <c r="X120" s="20"/>
      <c r="Y120" s="20"/>
      <c r="Z120" s="20"/>
      <c r="AA120" s="20"/>
      <c r="AB120" s="20"/>
      <c r="AC120" s="21">
        <f t="shared" si="137"/>
        <v>0</v>
      </c>
      <c r="AD120" s="25"/>
      <c r="AE120" s="20"/>
      <c r="AF120" s="21">
        <f t="shared" si="138"/>
        <v>0</v>
      </c>
      <c r="AG120" s="25"/>
      <c r="AH120" s="20"/>
      <c r="AI120" s="21">
        <f t="shared" si="139"/>
        <v>0</v>
      </c>
      <c r="AJ120" s="25"/>
      <c r="AK120" s="25"/>
      <c r="AL120" s="25"/>
      <c r="AM120" s="25"/>
      <c r="AN120" s="20"/>
      <c r="AO120" s="21">
        <f t="shared" si="140"/>
        <v>0</v>
      </c>
      <c r="AP120" s="4">
        <f t="shared" si="141"/>
        <v>0</v>
      </c>
      <c r="AQ120" s="4">
        <f t="shared" si="141"/>
        <v>0</v>
      </c>
      <c r="AR120" s="4">
        <f t="shared" si="141"/>
        <v>206667</v>
      </c>
      <c r="AS120" s="4">
        <f t="shared" si="142"/>
        <v>777500</v>
      </c>
      <c r="AT120" s="94">
        <f t="shared" si="142"/>
        <v>52500</v>
      </c>
      <c r="AU120" s="9">
        <f t="shared" si="143"/>
        <v>1036667</v>
      </c>
    </row>
    <row r="121" spans="1:47" s="38" customFormat="1">
      <c r="A121" s="34"/>
      <c r="B121" s="34"/>
      <c r="C121" s="35" t="s">
        <v>240</v>
      </c>
      <c r="D121" s="37"/>
      <c r="E121" s="37"/>
      <c r="F121" s="37">
        <f>SUM(F119:F120)</f>
        <v>0</v>
      </c>
      <c r="G121" s="37">
        <f t="shared" ref="G121:AU121" si="144">SUM(G119:G120)</f>
        <v>155000</v>
      </c>
      <c r="H121" s="37">
        <f t="shared" si="144"/>
        <v>206667</v>
      </c>
      <c r="I121" s="37">
        <f t="shared" si="144"/>
        <v>777500</v>
      </c>
      <c r="J121" s="37">
        <f t="shared" si="144"/>
        <v>52500</v>
      </c>
      <c r="K121" s="37">
        <f t="shared" si="144"/>
        <v>1191667</v>
      </c>
      <c r="L121" s="37">
        <f t="shared" si="144"/>
        <v>0</v>
      </c>
      <c r="M121" s="37">
        <f t="shared" si="144"/>
        <v>290000</v>
      </c>
      <c r="N121" s="37">
        <f t="shared" si="144"/>
        <v>0</v>
      </c>
      <c r="O121" s="37">
        <f t="shared" si="144"/>
        <v>0</v>
      </c>
      <c r="P121" s="37">
        <f t="shared" si="144"/>
        <v>0</v>
      </c>
      <c r="Q121" s="37">
        <f t="shared" si="144"/>
        <v>290000</v>
      </c>
      <c r="R121" s="37">
        <f t="shared" si="144"/>
        <v>0</v>
      </c>
      <c r="S121" s="37">
        <f t="shared" si="144"/>
        <v>290000</v>
      </c>
      <c r="T121" s="37">
        <f t="shared" si="144"/>
        <v>175000</v>
      </c>
      <c r="U121" s="37">
        <f t="shared" si="144"/>
        <v>0</v>
      </c>
      <c r="V121" s="37">
        <f t="shared" si="144"/>
        <v>0</v>
      </c>
      <c r="W121" s="37">
        <f t="shared" si="144"/>
        <v>465000</v>
      </c>
      <c r="X121" s="37">
        <f t="shared" si="144"/>
        <v>0</v>
      </c>
      <c r="Y121" s="37">
        <f t="shared" si="144"/>
        <v>0</v>
      </c>
      <c r="Z121" s="37">
        <f t="shared" si="144"/>
        <v>0</v>
      </c>
      <c r="AA121" s="37">
        <f t="shared" si="144"/>
        <v>0</v>
      </c>
      <c r="AB121" s="37">
        <f t="shared" si="144"/>
        <v>0</v>
      </c>
      <c r="AC121" s="37">
        <f t="shared" si="144"/>
        <v>0</v>
      </c>
      <c r="AD121" s="37">
        <f t="shared" si="144"/>
        <v>0</v>
      </c>
      <c r="AE121" s="37">
        <f t="shared" si="144"/>
        <v>0</v>
      </c>
      <c r="AF121" s="37">
        <f t="shared" si="144"/>
        <v>0</v>
      </c>
      <c r="AG121" s="37">
        <f t="shared" si="144"/>
        <v>0</v>
      </c>
      <c r="AH121" s="37">
        <f t="shared" si="144"/>
        <v>0</v>
      </c>
      <c r="AI121" s="37">
        <f t="shared" si="144"/>
        <v>0</v>
      </c>
      <c r="AJ121" s="37">
        <f t="shared" si="144"/>
        <v>0</v>
      </c>
      <c r="AK121" s="37">
        <f t="shared" si="144"/>
        <v>0</v>
      </c>
      <c r="AL121" s="37">
        <f t="shared" si="144"/>
        <v>0</v>
      </c>
      <c r="AM121" s="37">
        <f t="shared" si="144"/>
        <v>0</v>
      </c>
      <c r="AN121" s="37">
        <f t="shared" si="144"/>
        <v>0</v>
      </c>
      <c r="AO121" s="37">
        <f t="shared" si="144"/>
        <v>0</v>
      </c>
      <c r="AP121" s="37">
        <f t="shared" si="144"/>
        <v>0</v>
      </c>
      <c r="AQ121" s="37">
        <f t="shared" si="144"/>
        <v>735000</v>
      </c>
      <c r="AR121" s="37">
        <f t="shared" si="144"/>
        <v>381667</v>
      </c>
      <c r="AS121" s="37">
        <f t="shared" si="144"/>
        <v>777500</v>
      </c>
      <c r="AT121" s="37">
        <f t="shared" si="144"/>
        <v>52500</v>
      </c>
      <c r="AU121" s="37">
        <f t="shared" si="144"/>
        <v>1946667</v>
      </c>
    </row>
    <row r="122" spans="1:47">
      <c r="A122" s="104" t="s">
        <v>442</v>
      </c>
      <c r="B122" s="8">
        <v>1</v>
      </c>
      <c r="C122" s="100" t="s">
        <v>444</v>
      </c>
      <c r="D122" s="101" t="s">
        <v>445</v>
      </c>
      <c r="E122" s="101" t="s">
        <v>442</v>
      </c>
      <c r="F122" s="4"/>
      <c r="G122" s="4"/>
      <c r="H122" s="5"/>
      <c r="I122" s="4"/>
      <c r="J122" s="4">
        <f>155000+129000+56000</f>
        <v>340000</v>
      </c>
      <c r="K122" s="9">
        <f t="shared" si="134"/>
        <v>340000</v>
      </c>
      <c r="L122" s="4"/>
      <c r="M122" s="4"/>
      <c r="N122" s="4"/>
      <c r="O122" s="4"/>
      <c r="P122" s="4"/>
      <c r="Q122" s="9">
        <f>SUM(L122:P122)</f>
        <v>0</v>
      </c>
      <c r="R122" s="20"/>
      <c r="S122" s="20"/>
      <c r="T122" s="20"/>
      <c r="U122" s="20"/>
      <c r="V122" s="20"/>
      <c r="W122" s="9">
        <f>SUM(R122:V122)</f>
        <v>0</v>
      </c>
      <c r="X122" s="20"/>
      <c r="Y122" s="20"/>
      <c r="Z122" s="20"/>
      <c r="AA122" s="20"/>
      <c r="AB122" s="20"/>
      <c r="AC122" s="21">
        <f>SUM(X122:AB122)</f>
        <v>0</v>
      </c>
      <c r="AD122" s="25"/>
      <c r="AE122" s="20"/>
      <c r="AF122" s="21">
        <f>SUM(AD122:AE122)</f>
        <v>0</v>
      </c>
      <c r="AG122" s="25"/>
      <c r="AH122" s="21"/>
      <c r="AI122" s="21">
        <f>SUM(AG122:AH122)</f>
        <v>0</v>
      </c>
      <c r="AJ122" s="25"/>
      <c r="AK122" s="25"/>
      <c r="AL122" s="25"/>
      <c r="AM122" s="25"/>
      <c r="AN122" s="20"/>
      <c r="AO122" s="21">
        <f>SUM(AJ122:AN122)</f>
        <v>0</v>
      </c>
      <c r="AP122" s="4">
        <f t="shared" ref="AP122:AR122" si="145">F122+L122+R122+X122+AJ122</f>
        <v>0</v>
      </c>
      <c r="AQ122" s="4">
        <f t="shared" si="145"/>
        <v>0</v>
      </c>
      <c r="AR122" s="4">
        <f t="shared" si="145"/>
        <v>0</v>
      </c>
      <c r="AS122" s="4">
        <f t="shared" ref="AS122:AT122" si="146">I122+O122+U122+AA122+AD122+AG122+AM122</f>
        <v>0</v>
      </c>
      <c r="AT122" s="94">
        <f t="shared" si="146"/>
        <v>340000</v>
      </c>
      <c r="AU122" s="9">
        <f t="shared" ref="AU122" si="147">SUM(AP122:AT122)</f>
        <v>340000</v>
      </c>
    </row>
    <row r="123" spans="1:47" s="38" customFormat="1">
      <c r="A123" s="34"/>
      <c r="B123" s="34"/>
      <c r="C123" s="35" t="s">
        <v>443</v>
      </c>
      <c r="D123" s="37"/>
      <c r="E123" s="37"/>
      <c r="F123" s="37">
        <f>F122</f>
        <v>0</v>
      </c>
      <c r="G123" s="37">
        <f t="shared" ref="G123:H123" si="148">G122</f>
        <v>0</v>
      </c>
      <c r="H123" s="37">
        <f t="shared" si="148"/>
        <v>0</v>
      </c>
      <c r="I123" s="37">
        <f t="shared" ref="I123:I125" si="149">SUM(I122)</f>
        <v>0</v>
      </c>
      <c r="J123" s="37">
        <f t="shared" ref="J123:N123" si="150">J122</f>
        <v>340000</v>
      </c>
      <c r="K123" s="37">
        <f t="shared" si="150"/>
        <v>340000</v>
      </c>
      <c r="L123" s="37">
        <f t="shared" si="150"/>
        <v>0</v>
      </c>
      <c r="M123" s="37">
        <f t="shared" si="150"/>
        <v>0</v>
      </c>
      <c r="N123" s="37">
        <f t="shared" si="150"/>
        <v>0</v>
      </c>
      <c r="O123" s="37">
        <f t="shared" ref="O123:O125" si="151">SUM(O122)</f>
        <v>0</v>
      </c>
      <c r="P123" s="37">
        <f t="shared" ref="P123:T123" si="152">P122</f>
        <v>0</v>
      </c>
      <c r="Q123" s="37">
        <f t="shared" si="152"/>
        <v>0</v>
      </c>
      <c r="R123" s="37">
        <f t="shared" si="152"/>
        <v>0</v>
      </c>
      <c r="S123" s="37">
        <f t="shared" si="152"/>
        <v>0</v>
      </c>
      <c r="T123" s="37">
        <f t="shared" si="152"/>
        <v>0</v>
      </c>
      <c r="U123" s="37">
        <f t="shared" ref="U123:V125" si="153">SUM(U122)</f>
        <v>0</v>
      </c>
      <c r="V123" s="37">
        <f t="shared" si="153"/>
        <v>0</v>
      </c>
      <c r="W123" s="37">
        <f t="shared" ref="W123:Z123" si="154">W122</f>
        <v>0</v>
      </c>
      <c r="X123" s="37">
        <f t="shared" si="154"/>
        <v>0</v>
      </c>
      <c r="Y123" s="37">
        <f t="shared" si="154"/>
        <v>0</v>
      </c>
      <c r="Z123" s="37">
        <f t="shared" si="154"/>
        <v>0</v>
      </c>
      <c r="AA123" s="37">
        <f t="shared" ref="AA123:AA125" si="155">SUM(AA122)</f>
        <v>0</v>
      </c>
      <c r="AB123" s="37">
        <f t="shared" ref="AB123:AC123" si="156">AB122</f>
        <v>0</v>
      </c>
      <c r="AC123" s="37">
        <f t="shared" si="156"/>
        <v>0</v>
      </c>
      <c r="AD123" s="37">
        <f t="shared" ref="AD123:AD125" si="157">SUM(AD122)</f>
        <v>0</v>
      </c>
      <c r="AE123" s="37">
        <f t="shared" ref="AE123:AF123" si="158">AE122</f>
        <v>0</v>
      </c>
      <c r="AF123" s="37">
        <f t="shared" si="158"/>
        <v>0</v>
      </c>
      <c r="AG123" s="37">
        <f t="shared" ref="AG123:AG125" si="159">SUM(AG122)</f>
        <v>0</v>
      </c>
      <c r="AH123" s="37">
        <f t="shared" ref="AH123:AL123" si="160">AH122</f>
        <v>0</v>
      </c>
      <c r="AI123" s="37">
        <f t="shared" si="160"/>
        <v>0</v>
      </c>
      <c r="AJ123" s="37">
        <f t="shared" si="160"/>
        <v>0</v>
      </c>
      <c r="AK123" s="37">
        <f t="shared" si="160"/>
        <v>0</v>
      </c>
      <c r="AL123" s="37">
        <f t="shared" si="160"/>
        <v>0</v>
      </c>
      <c r="AM123" s="37">
        <f t="shared" ref="AM123:AM125" si="161">SUM(AM122)</f>
        <v>0</v>
      </c>
      <c r="AN123" s="37">
        <f t="shared" ref="AN123:AU123" si="162">AN122</f>
        <v>0</v>
      </c>
      <c r="AO123" s="37">
        <f t="shared" si="162"/>
        <v>0</v>
      </c>
      <c r="AP123" s="37">
        <f t="shared" si="162"/>
        <v>0</v>
      </c>
      <c r="AQ123" s="37">
        <f t="shared" si="162"/>
        <v>0</v>
      </c>
      <c r="AR123" s="37">
        <f t="shared" si="162"/>
        <v>0</v>
      </c>
      <c r="AS123" s="37">
        <f t="shared" si="162"/>
        <v>0</v>
      </c>
      <c r="AT123" s="37">
        <f t="shared" si="162"/>
        <v>340000</v>
      </c>
      <c r="AU123" s="37">
        <f t="shared" si="162"/>
        <v>340000</v>
      </c>
    </row>
    <row r="124" spans="1:47">
      <c r="A124" s="104" t="s">
        <v>44</v>
      </c>
      <c r="B124" s="8">
        <v>1</v>
      </c>
      <c r="C124" s="1" t="s">
        <v>10</v>
      </c>
      <c r="D124" s="4" t="s">
        <v>43</v>
      </c>
      <c r="E124" s="4" t="s">
        <v>44</v>
      </c>
      <c r="F124" s="4"/>
      <c r="G124" s="4">
        <v>155000</v>
      </c>
      <c r="H124" s="5"/>
      <c r="I124" s="4">
        <f>72000+18000</f>
        <v>90000</v>
      </c>
      <c r="J124" s="4"/>
      <c r="K124" s="9">
        <f>SUM(F124:J124)</f>
        <v>245000</v>
      </c>
      <c r="L124" s="4"/>
      <c r="M124" s="4"/>
      <c r="N124" s="4"/>
      <c r="O124" s="4"/>
      <c r="P124" s="4"/>
      <c r="Q124" s="9">
        <f>SUM(L124:P124)</f>
        <v>0</v>
      </c>
      <c r="R124" s="20"/>
      <c r="S124" s="20">
        <v>290000</v>
      </c>
      <c r="T124" s="20"/>
      <c r="U124" s="20">
        <v>116000</v>
      </c>
      <c r="V124" s="20"/>
      <c r="W124" s="9">
        <f>SUM(R124:V124)</f>
        <v>406000</v>
      </c>
      <c r="X124" s="20"/>
      <c r="Y124" s="20">
        <v>195000</v>
      </c>
      <c r="Z124" s="20">
        <v>96000</v>
      </c>
      <c r="AA124" s="20">
        <v>20000</v>
      </c>
      <c r="AB124" s="20"/>
      <c r="AC124" s="21">
        <f>SUM(X124:AB124)</f>
        <v>311000</v>
      </c>
      <c r="AD124" s="25"/>
      <c r="AE124" s="20"/>
      <c r="AF124" s="21">
        <f>SUM(AD124:AE124)</f>
        <v>0</v>
      </c>
      <c r="AG124" s="25"/>
      <c r="AH124" s="21"/>
      <c r="AI124" s="21">
        <f>SUM(AG124:AH124)</f>
        <v>0</v>
      </c>
      <c r="AJ124" s="25"/>
      <c r="AK124" s="25"/>
      <c r="AL124" s="25"/>
      <c r="AM124" s="25"/>
      <c r="AN124" s="20"/>
      <c r="AO124" s="21">
        <f>SUM(AJ124:AN124)</f>
        <v>0</v>
      </c>
      <c r="AP124" s="4">
        <f>F124+L124+R124+X124+AJ124</f>
        <v>0</v>
      </c>
      <c r="AQ124" s="4">
        <f>G124+M124+S124+Y124+AK124</f>
        <v>640000</v>
      </c>
      <c r="AR124" s="4">
        <f>H124+N124+T124+Z124+AL124</f>
        <v>96000</v>
      </c>
      <c r="AS124" s="4">
        <f>I124+O124+U124+AA124+AD124+AG124+AM124</f>
        <v>226000</v>
      </c>
      <c r="AT124" s="94">
        <f>J124+P124+V124+AB124+AE124+AH124+AN124</f>
        <v>0</v>
      </c>
      <c r="AU124" s="9">
        <f>SUM(AP124:AT124)</f>
        <v>962000</v>
      </c>
    </row>
    <row r="125" spans="1:47" s="38" customFormat="1">
      <c r="A125" s="34"/>
      <c r="B125" s="34"/>
      <c r="C125" s="35" t="s">
        <v>241</v>
      </c>
      <c r="D125" s="37"/>
      <c r="E125" s="37"/>
      <c r="F125" s="37">
        <f>F124</f>
        <v>0</v>
      </c>
      <c r="G125" s="37">
        <f t="shared" ref="G125:AU125" si="163">G124</f>
        <v>155000</v>
      </c>
      <c r="H125" s="37">
        <f t="shared" si="163"/>
        <v>0</v>
      </c>
      <c r="I125" s="37">
        <f t="shared" si="149"/>
        <v>90000</v>
      </c>
      <c r="J125" s="37">
        <f t="shared" si="163"/>
        <v>0</v>
      </c>
      <c r="K125" s="37">
        <f t="shared" si="163"/>
        <v>245000</v>
      </c>
      <c r="L125" s="37">
        <f t="shared" si="163"/>
        <v>0</v>
      </c>
      <c r="M125" s="37">
        <f t="shared" si="163"/>
        <v>0</v>
      </c>
      <c r="N125" s="37">
        <f t="shared" si="163"/>
        <v>0</v>
      </c>
      <c r="O125" s="37">
        <f t="shared" si="151"/>
        <v>0</v>
      </c>
      <c r="P125" s="37">
        <f t="shared" si="163"/>
        <v>0</v>
      </c>
      <c r="Q125" s="37">
        <f t="shared" si="163"/>
        <v>0</v>
      </c>
      <c r="R125" s="37">
        <f t="shared" si="163"/>
        <v>0</v>
      </c>
      <c r="S125" s="37">
        <f t="shared" si="163"/>
        <v>290000</v>
      </c>
      <c r="T125" s="37">
        <f t="shared" si="163"/>
        <v>0</v>
      </c>
      <c r="U125" s="37">
        <f t="shared" si="153"/>
        <v>116000</v>
      </c>
      <c r="V125" s="37">
        <f t="shared" si="153"/>
        <v>0</v>
      </c>
      <c r="W125" s="37">
        <f t="shared" si="163"/>
        <v>406000</v>
      </c>
      <c r="X125" s="37">
        <f t="shared" si="163"/>
        <v>0</v>
      </c>
      <c r="Y125" s="37">
        <f t="shared" si="163"/>
        <v>195000</v>
      </c>
      <c r="Z125" s="37">
        <f t="shared" si="163"/>
        <v>96000</v>
      </c>
      <c r="AA125" s="37">
        <f t="shared" si="155"/>
        <v>20000</v>
      </c>
      <c r="AB125" s="37">
        <f t="shared" si="163"/>
        <v>0</v>
      </c>
      <c r="AC125" s="37">
        <f t="shared" si="163"/>
        <v>311000</v>
      </c>
      <c r="AD125" s="37">
        <f t="shared" si="157"/>
        <v>0</v>
      </c>
      <c r="AE125" s="37">
        <f t="shared" si="163"/>
        <v>0</v>
      </c>
      <c r="AF125" s="37">
        <f t="shared" si="163"/>
        <v>0</v>
      </c>
      <c r="AG125" s="37">
        <f t="shared" si="159"/>
        <v>0</v>
      </c>
      <c r="AH125" s="37">
        <f t="shared" si="163"/>
        <v>0</v>
      </c>
      <c r="AI125" s="37">
        <f t="shared" si="163"/>
        <v>0</v>
      </c>
      <c r="AJ125" s="37">
        <f t="shared" si="163"/>
        <v>0</v>
      </c>
      <c r="AK125" s="37">
        <f t="shared" si="163"/>
        <v>0</v>
      </c>
      <c r="AL125" s="37">
        <f t="shared" si="163"/>
        <v>0</v>
      </c>
      <c r="AM125" s="37">
        <f t="shared" si="161"/>
        <v>0</v>
      </c>
      <c r="AN125" s="37">
        <f t="shared" si="163"/>
        <v>0</v>
      </c>
      <c r="AO125" s="37">
        <f t="shared" si="163"/>
        <v>0</v>
      </c>
      <c r="AP125" s="37">
        <f t="shared" si="163"/>
        <v>0</v>
      </c>
      <c r="AQ125" s="37">
        <f t="shared" si="163"/>
        <v>640000</v>
      </c>
      <c r="AR125" s="37">
        <f t="shared" si="163"/>
        <v>96000</v>
      </c>
      <c r="AS125" s="37">
        <f t="shared" si="163"/>
        <v>226000</v>
      </c>
      <c r="AT125" s="37">
        <f t="shared" si="163"/>
        <v>0</v>
      </c>
      <c r="AU125" s="37">
        <f t="shared" si="163"/>
        <v>962000</v>
      </c>
    </row>
    <row r="126" spans="1:47" ht="47.25">
      <c r="A126" s="185" t="s">
        <v>61</v>
      </c>
      <c r="B126" s="8">
        <v>1</v>
      </c>
      <c r="C126" s="1" t="s">
        <v>242</v>
      </c>
      <c r="D126" s="4" t="s">
        <v>243</v>
      </c>
      <c r="E126" s="4" t="s">
        <v>244</v>
      </c>
      <c r="F126" s="4"/>
      <c r="G126" s="4"/>
      <c r="H126" s="4">
        <v>155000</v>
      </c>
      <c r="I126" s="4"/>
      <c r="J126" s="4"/>
      <c r="K126" s="9">
        <f t="shared" ref="K126:K141" si="164">SUM(F126:J126)</f>
        <v>155000</v>
      </c>
      <c r="L126" s="4"/>
      <c r="M126" s="4"/>
      <c r="N126" s="4"/>
      <c r="O126" s="4"/>
      <c r="P126" s="4"/>
      <c r="Q126" s="9">
        <f t="shared" ref="Q126:Q141" si="165">SUM(L126:P126)</f>
        <v>0</v>
      </c>
      <c r="R126" s="20"/>
      <c r="S126" s="20"/>
      <c r="T126" s="4">
        <v>290000</v>
      </c>
      <c r="U126" s="20"/>
      <c r="V126" s="20"/>
      <c r="W126" s="9">
        <f t="shared" ref="W126:W141" si="166">SUM(R126:V126)</f>
        <v>290000</v>
      </c>
      <c r="X126" s="20"/>
      <c r="Y126" s="25">
        <v>195000</v>
      </c>
      <c r="Z126" s="20"/>
      <c r="AA126" s="20"/>
      <c r="AB126" s="20"/>
      <c r="AC126" s="21">
        <f t="shared" ref="AC126:AC141" si="167">SUM(X126:AB126)</f>
        <v>195000</v>
      </c>
      <c r="AD126" s="25"/>
      <c r="AE126" s="20"/>
      <c r="AF126" s="21">
        <f t="shared" ref="AF126:AF141" si="168">SUM(AD126:AE126)</f>
        <v>0</v>
      </c>
      <c r="AG126" s="25"/>
      <c r="AH126" s="20"/>
      <c r="AI126" s="21">
        <f t="shared" ref="AI126:AI141" si="169">SUM(AG126:AH126)</f>
        <v>0</v>
      </c>
      <c r="AJ126" s="25"/>
      <c r="AK126" s="24">
        <f>100000+257600</f>
        <v>357600</v>
      </c>
      <c r="AL126" s="25"/>
      <c r="AM126" s="25"/>
      <c r="AN126" s="20"/>
      <c r="AO126" s="21">
        <f t="shared" ref="AO126:AO141" si="170">SUM(AJ126:AN126)</f>
        <v>357600</v>
      </c>
      <c r="AP126" s="4">
        <f t="shared" ref="AP126:AR141" si="171">F126+L126+R126+X126+AJ126</f>
        <v>0</v>
      </c>
      <c r="AQ126" s="4">
        <f t="shared" si="171"/>
        <v>552600</v>
      </c>
      <c r="AR126" s="4">
        <f t="shared" si="171"/>
        <v>445000</v>
      </c>
      <c r="AS126" s="4">
        <f t="shared" ref="AS126:AT141" si="172">I126+O126+U126+AA126+AD126+AG126+AM126</f>
        <v>0</v>
      </c>
      <c r="AT126" s="94">
        <f t="shared" si="172"/>
        <v>0</v>
      </c>
      <c r="AU126" s="9">
        <f t="shared" ref="AU126:AU141" si="173">SUM(AP126:AT126)</f>
        <v>997600</v>
      </c>
    </row>
    <row r="127" spans="1:47">
      <c r="A127" s="186"/>
      <c r="B127" s="8">
        <v>2</v>
      </c>
      <c r="C127" s="1" t="s">
        <v>245</v>
      </c>
      <c r="D127" s="4" t="s">
        <v>246</v>
      </c>
      <c r="E127" s="4" t="s">
        <v>244</v>
      </c>
      <c r="F127" s="4"/>
      <c r="G127" s="4"/>
      <c r="H127" s="5"/>
      <c r="I127" s="4"/>
      <c r="J127" s="4"/>
      <c r="K127" s="9">
        <f t="shared" si="164"/>
        <v>0</v>
      </c>
      <c r="L127" s="76"/>
      <c r="M127" s="76">
        <v>1690000</v>
      </c>
      <c r="N127" s="76">
        <v>1290000</v>
      </c>
      <c r="O127" s="76">
        <v>150000</v>
      </c>
      <c r="P127" s="4"/>
      <c r="Q127" s="9">
        <f t="shared" si="165"/>
        <v>3130000</v>
      </c>
      <c r="R127" s="20"/>
      <c r="S127" s="26">
        <v>1389000</v>
      </c>
      <c r="T127" s="4">
        <v>1080000</v>
      </c>
      <c r="U127" s="22">
        <v>420000</v>
      </c>
      <c r="V127" s="22"/>
      <c r="W127" s="9">
        <f t="shared" si="166"/>
        <v>2889000</v>
      </c>
      <c r="X127" s="20"/>
      <c r="Y127" s="25"/>
      <c r="Z127" s="20"/>
      <c r="AA127" s="20"/>
      <c r="AB127" s="20"/>
      <c r="AC127" s="21">
        <f t="shared" si="167"/>
        <v>0</v>
      </c>
      <c r="AD127" s="25"/>
      <c r="AE127" s="20"/>
      <c r="AF127" s="21">
        <f t="shared" si="168"/>
        <v>0</v>
      </c>
      <c r="AG127" s="24">
        <v>900000</v>
      </c>
      <c r="AH127" s="20">
        <f>300000+300000+300000+300000+200000</f>
        <v>1400000</v>
      </c>
      <c r="AI127" s="21">
        <f t="shared" si="169"/>
        <v>2300000</v>
      </c>
      <c r="AJ127" s="25"/>
      <c r="AK127" s="25">
        <v>100000</v>
      </c>
      <c r="AL127" s="25">
        <v>540000</v>
      </c>
      <c r="AM127" s="25"/>
      <c r="AN127" s="20"/>
      <c r="AO127" s="21">
        <f t="shared" si="170"/>
        <v>640000</v>
      </c>
      <c r="AP127" s="4">
        <f t="shared" si="171"/>
        <v>0</v>
      </c>
      <c r="AQ127" s="4">
        <f t="shared" si="171"/>
        <v>3179000</v>
      </c>
      <c r="AR127" s="4">
        <f t="shared" si="171"/>
        <v>2910000</v>
      </c>
      <c r="AS127" s="4">
        <f t="shared" si="172"/>
        <v>1470000</v>
      </c>
      <c r="AT127" s="94">
        <f t="shared" si="172"/>
        <v>1400000</v>
      </c>
      <c r="AU127" s="9">
        <f t="shared" si="173"/>
        <v>8959000</v>
      </c>
    </row>
    <row r="128" spans="1:47">
      <c r="A128" s="186"/>
      <c r="B128" s="8">
        <v>3</v>
      </c>
      <c r="C128" s="1" t="s">
        <v>247</v>
      </c>
      <c r="D128" s="5" t="s">
        <v>262</v>
      </c>
      <c r="E128" s="4" t="s">
        <v>244</v>
      </c>
      <c r="F128" s="4"/>
      <c r="G128" s="4"/>
      <c r="H128" s="5"/>
      <c r="I128" s="4"/>
      <c r="J128" s="4"/>
      <c r="K128" s="9">
        <f t="shared" si="164"/>
        <v>0</v>
      </c>
      <c r="L128" s="4"/>
      <c r="M128" s="72"/>
      <c r="N128" s="4"/>
      <c r="O128" s="4"/>
      <c r="P128" s="4"/>
      <c r="Q128" s="9">
        <f t="shared" si="165"/>
        <v>0</v>
      </c>
      <c r="R128" s="20"/>
      <c r="S128" s="20"/>
      <c r="T128" s="4"/>
      <c r="U128" s="20"/>
      <c r="V128" s="20"/>
      <c r="W128" s="9">
        <f t="shared" si="166"/>
        <v>0</v>
      </c>
      <c r="X128" s="20"/>
      <c r="Y128" s="25">
        <v>438200</v>
      </c>
      <c r="Z128" s="25">
        <v>274300</v>
      </c>
      <c r="AA128" s="24">
        <v>959000</v>
      </c>
      <c r="AB128" s="20">
        <f>70000+210000+210000</f>
        <v>490000</v>
      </c>
      <c r="AC128" s="21">
        <f t="shared" si="167"/>
        <v>2161500</v>
      </c>
      <c r="AD128" s="25"/>
      <c r="AE128" s="20"/>
      <c r="AF128" s="21">
        <f t="shared" si="168"/>
        <v>0</v>
      </c>
      <c r="AG128" s="25"/>
      <c r="AH128" s="20"/>
      <c r="AI128" s="21">
        <f t="shared" si="169"/>
        <v>0</v>
      </c>
      <c r="AJ128" s="25"/>
      <c r="AK128" s="25">
        <v>100000</v>
      </c>
      <c r="AL128" s="25"/>
      <c r="AM128" s="25">
        <v>120000</v>
      </c>
      <c r="AN128" s="20"/>
      <c r="AO128" s="21">
        <f t="shared" si="170"/>
        <v>220000</v>
      </c>
      <c r="AP128" s="4">
        <f t="shared" si="171"/>
        <v>0</v>
      </c>
      <c r="AQ128" s="4">
        <f t="shared" si="171"/>
        <v>538200</v>
      </c>
      <c r="AR128" s="4">
        <f t="shared" si="171"/>
        <v>274300</v>
      </c>
      <c r="AS128" s="4">
        <f t="shared" si="172"/>
        <v>1079000</v>
      </c>
      <c r="AT128" s="94">
        <f t="shared" si="172"/>
        <v>490000</v>
      </c>
      <c r="AU128" s="9">
        <f t="shared" si="173"/>
        <v>2381500</v>
      </c>
    </row>
    <row r="129" spans="1:47" ht="31.5">
      <c r="A129" s="186"/>
      <c r="B129" s="8">
        <v>4</v>
      </c>
      <c r="C129" s="1" t="s">
        <v>248</v>
      </c>
      <c r="D129" s="46" t="s">
        <v>249</v>
      </c>
      <c r="E129" s="4" t="s">
        <v>244</v>
      </c>
      <c r="F129" s="4"/>
      <c r="G129" s="4"/>
      <c r="H129" s="5"/>
      <c r="I129" s="4"/>
      <c r="J129" s="4"/>
      <c r="K129" s="9">
        <f t="shared" si="164"/>
        <v>0</v>
      </c>
      <c r="L129" s="76">
        <v>290000</v>
      </c>
      <c r="M129" s="76">
        <v>1830000</v>
      </c>
      <c r="N129" s="76">
        <v>1500000</v>
      </c>
      <c r="O129" s="76">
        <v>250000</v>
      </c>
      <c r="P129" s="4"/>
      <c r="Q129" s="9">
        <f t="shared" si="165"/>
        <v>3870000</v>
      </c>
      <c r="R129" s="20">
        <v>290000</v>
      </c>
      <c r="S129" s="26">
        <v>2142000</v>
      </c>
      <c r="T129" s="4">
        <v>840000</v>
      </c>
      <c r="U129" s="22">
        <v>540000</v>
      </c>
      <c r="V129" s="22"/>
      <c r="W129" s="9">
        <f t="shared" si="166"/>
        <v>3812000</v>
      </c>
      <c r="X129" s="20">
        <v>195000</v>
      </c>
      <c r="Y129" s="25">
        <v>1226050</v>
      </c>
      <c r="Z129" s="25">
        <v>607150</v>
      </c>
      <c r="AA129" s="24">
        <v>240000</v>
      </c>
      <c r="AB129" s="20"/>
      <c r="AC129" s="21">
        <f t="shared" si="167"/>
        <v>2268200</v>
      </c>
      <c r="AD129" s="25"/>
      <c r="AE129" s="20"/>
      <c r="AF129" s="21">
        <f t="shared" si="168"/>
        <v>0</v>
      </c>
      <c r="AG129" s="25"/>
      <c r="AH129" s="20"/>
      <c r="AI129" s="21">
        <f t="shared" si="169"/>
        <v>0</v>
      </c>
      <c r="AJ129" s="25"/>
      <c r="AK129" s="25">
        <v>100000</v>
      </c>
      <c r="AL129" s="25">
        <v>522000</v>
      </c>
      <c r="AM129" s="25"/>
      <c r="AN129" s="20"/>
      <c r="AO129" s="21">
        <f t="shared" si="170"/>
        <v>622000</v>
      </c>
      <c r="AP129" s="4">
        <f t="shared" si="171"/>
        <v>775000</v>
      </c>
      <c r="AQ129" s="4">
        <f t="shared" si="171"/>
        <v>5298050</v>
      </c>
      <c r="AR129" s="4">
        <f t="shared" si="171"/>
        <v>3469150</v>
      </c>
      <c r="AS129" s="4">
        <f t="shared" si="172"/>
        <v>1030000</v>
      </c>
      <c r="AT129" s="94">
        <f t="shared" si="172"/>
        <v>0</v>
      </c>
      <c r="AU129" s="9">
        <f t="shared" si="173"/>
        <v>10572200</v>
      </c>
    </row>
    <row r="130" spans="1:47" ht="31.5">
      <c r="A130" s="186"/>
      <c r="B130" s="8">
        <v>5</v>
      </c>
      <c r="C130" s="1" t="s">
        <v>250</v>
      </c>
      <c r="D130" s="4" t="s">
        <v>251</v>
      </c>
      <c r="E130" s="4" t="s">
        <v>244</v>
      </c>
      <c r="F130" s="4"/>
      <c r="G130" s="4"/>
      <c r="H130" s="5"/>
      <c r="I130" s="4"/>
      <c r="J130" s="4"/>
      <c r="K130" s="9">
        <f t="shared" si="164"/>
        <v>0</v>
      </c>
      <c r="L130" s="76"/>
      <c r="M130" s="76">
        <v>290000</v>
      </c>
      <c r="N130" s="76"/>
      <c r="O130" s="76"/>
      <c r="P130" s="4"/>
      <c r="Q130" s="9">
        <f t="shared" si="165"/>
        <v>290000</v>
      </c>
      <c r="R130" s="20"/>
      <c r="S130" s="20"/>
      <c r="T130" s="4"/>
      <c r="U130" s="20"/>
      <c r="V130" s="20"/>
      <c r="W130" s="9">
        <f t="shared" si="166"/>
        <v>0</v>
      </c>
      <c r="X130" s="20"/>
      <c r="Y130" s="25"/>
      <c r="Z130" s="25"/>
      <c r="AA130" s="24"/>
      <c r="AB130" s="20"/>
      <c r="AC130" s="21">
        <f t="shared" si="167"/>
        <v>0</v>
      </c>
      <c r="AD130" s="25"/>
      <c r="AE130" s="20"/>
      <c r="AF130" s="21">
        <f t="shared" si="168"/>
        <v>0</v>
      </c>
      <c r="AG130" s="25"/>
      <c r="AH130" s="20"/>
      <c r="AI130" s="21">
        <f t="shared" si="169"/>
        <v>0</v>
      </c>
      <c r="AJ130" s="25"/>
      <c r="AK130" s="25"/>
      <c r="AL130" s="25"/>
      <c r="AM130" s="25"/>
      <c r="AN130" s="20"/>
      <c r="AO130" s="21">
        <f t="shared" si="170"/>
        <v>0</v>
      </c>
      <c r="AP130" s="4">
        <f t="shared" si="171"/>
        <v>0</v>
      </c>
      <c r="AQ130" s="4">
        <f t="shared" si="171"/>
        <v>290000</v>
      </c>
      <c r="AR130" s="4">
        <f t="shared" si="171"/>
        <v>0</v>
      </c>
      <c r="AS130" s="4">
        <f t="shared" si="172"/>
        <v>0</v>
      </c>
      <c r="AT130" s="94">
        <f t="shared" si="172"/>
        <v>0</v>
      </c>
      <c r="AU130" s="9">
        <f t="shared" si="173"/>
        <v>290000</v>
      </c>
    </row>
    <row r="131" spans="1:47" ht="47.25">
      <c r="A131" s="186"/>
      <c r="B131" s="8">
        <v>6</v>
      </c>
      <c r="C131" s="1" t="s">
        <v>252</v>
      </c>
      <c r="D131" s="4" t="s">
        <v>253</v>
      </c>
      <c r="E131" s="4" t="s">
        <v>25</v>
      </c>
      <c r="F131" s="4">
        <v>155000</v>
      </c>
      <c r="G131" s="4"/>
      <c r="H131" s="4">
        <f>891000+110000</f>
        <v>1001000</v>
      </c>
      <c r="I131" s="4"/>
      <c r="J131" s="4"/>
      <c r="K131" s="9">
        <f t="shared" si="164"/>
        <v>1156000</v>
      </c>
      <c r="L131" s="76">
        <v>290000</v>
      </c>
      <c r="M131" s="76"/>
      <c r="N131" s="76">
        <v>1800000</v>
      </c>
      <c r="O131" s="76"/>
      <c r="P131" s="4"/>
      <c r="Q131" s="9">
        <f t="shared" si="165"/>
        <v>2090000</v>
      </c>
      <c r="R131" s="20"/>
      <c r="S131" s="20"/>
      <c r="T131" s="4"/>
      <c r="U131" s="20"/>
      <c r="V131" s="20"/>
      <c r="W131" s="9">
        <f t="shared" si="166"/>
        <v>0</v>
      </c>
      <c r="X131" s="20"/>
      <c r="Y131" s="20"/>
      <c r="Z131" s="20"/>
      <c r="AA131" s="20"/>
      <c r="AB131" s="20"/>
      <c r="AC131" s="21">
        <f t="shared" si="167"/>
        <v>0</v>
      </c>
      <c r="AD131" s="25"/>
      <c r="AE131" s="20"/>
      <c r="AF131" s="21">
        <f t="shared" si="168"/>
        <v>0</v>
      </c>
      <c r="AG131" s="25"/>
      <c r="AH131" s="20"/>
      <c r="AI131" s="21">
        <f t="shared" si="169"/>
        <v>0</v>
      </c>
      <c r="AJ131" s="25"/>
      <c r="AK131" s="24">
        <v>100000</v>
      </c>
      <c r="AL131" s="25"/>
      <c r="AM131" s="25"/>
      <c r="AN131" s="20"/>
      <c r="AO131" s="21">
        <f t="shared" si="170"/>
        <v>100000</v>
      </c>
      <c r="AP131" s="4">
        <f t="shared" si="171"/>
        <v>445000</v>
      </c>
      <c r="AQ131" s="4">
        <f t="shared" si="171"/>
        <v>100000</v>
      </c>
      <c r="AR131" s="4">
        <f t="shared" si="171"/>
        <v>2801000</v>
      </c>
      <c r="AS131" s="4">
        <f t="shared" si="172"/>
        <v>0</v>
      </c>
      <c r="AT131" s="94">
        <f t="shared" si="172"/>
        <v>0</v>
      </c>
      <c r="AU131" s="9">
        <f t="shared" si="173"/>
        <v>3346000</v>
      </c>
    </row>
    <row r="132" spans="1:47" ht="31.5">
      <c r="A132" s="186"/>
      <c r="B132" s="8">
        <v>7</v>
      </c>
      <c r="C132" s="1" t="s">
        <v>2</v>
      </c>
      <c r="D132" s="43" t="s">
        <v>243</v>
      </c>
      <c r="E132" s="4" t="s">
        <v>25</v>
      </c>
      <c r="F132" s="4"/>
      <c r="G132" s="4"/>
      <c r="H132" s="4"/>
      <c r="I132" s="4"/>
      <c r="J132" s="4"/>
      <c r="K132" s="9">
        <f t="shared" si="164"/>
        <v>0</v>
      </c>
      <c r="L132" s="4"/>
      <c r="M132" s="72"/>
      <c r="N132" s="4"/>
      <c r="O132" s="4"/>
      <c r="P132" s="4"/>
      <c r="Q132" s="9">
        <f t="shared" si="165"/>
        <v>0</v>
      </c>
      <c r="R132" s="20"/>
      <c r="S132" s="20">
        <v>290000</v>
      </c>
      <c r="T132" s="4">
        <v>-290000</v>
      </c>
      <c r="U132" s="20"/>
      <c r="V132" s="20"/>
      <c r="W132" s="9">
        <f t="shared" si="166"/>
        <v>0</v>
      </c>
      <c r="X132" s="20"/>
      <c r="Y132" s="25">
        <v>195000</v>
      </c>
      <c r="Z132" s="20"/>
      <c r="AA132" s="20"/>
      <c r="AB132" s="20"/>
      <c r="AC132" s="21">
        <f t="shared" si="167"/>
        <v>195000</v>
      </c>
      <c r="AD132" s="25"/>
      <c r="AE132" s="20"/>
      <c r="AF132" s="21">
        <f t="shared" si="168"/>
        <v>0</v>
      </c>
      <c r="AG132" s="25"/>
      <c r="AH132" s="20"/>
      <c r="AI132" s="21">
        <f t="shared" si="169"/>
        <v>0</v>
      </c>
      <c r="AJ132" s="25"/>
      <c r="AK132" s="25"/>
      <c r="AL132" s="25"/>
      <c r="AM132" s="25"/>
      <c r="AN132" s="20"/>
      <c r="AO132" s="21">
        <f t="shared" si="170"/>
        <v>0</v>
      </c>
      <c r="AP132" s="4">
        <f t="shared" si="171"/>
        <v>0</v>
      </c>
      <c r="AQ132" s="4">
        <f t="shared" si="171"/>
        <v>485000</v>
      </c>
      <c r="AR132" s="4">
        <f t="shared" si="171"/>
        <v>-290000</v>
      </c>
      <c r="AS132" s="4">
        <f t="shared" si="172"/>
        <v>0</v>
      </c>
      <c r="AT132" s="94">
        <f t="shared" si="172"/>
        <v>0</v>
      </c>
      <c r="AU132" s="9">
        <f t="shared" si="173"/>
        <v>195000</v>
      </c>
    </row>
    <row r="133" spans="1:47">
      <c r="A133" s="186"/>
      <c r="B133" s="8">
        <v>8</v>
      </c>
      <c r="C133" s="1" t="s">
        <v>254</v>
      </c>
      <c r="D133" s="41" t="s">
        <v>255</v>
      </c>
      <c r="E133" s="4" t="s">
        <v>25</v>
      </c>
      <c r="F133" s="4"/>
      <c r="G133" s="4"/>
      <c r="H133" s="4"/>
      <c r="I133" s="4"/>
      <c r="J133" s="4"/>
      <c r="K133" s="9">
        <f t="shared" si="164"/>
        <v>0</v>
      </c>
      <c r="L133" s="76">
        <v>290000</v>
      </c>
      <c r="M133" s="76">
        <v>1200000</v>
      </c>
      <c r="N133" s="76">
        <v>2060000</v>
      </c>
      <c r="O133" s="76">
        <v>250000</v>
      </c>
      <c r="P133" s="4"/>
      <c r="Q133" s="9">
        <f t="shared" si="165"/>
        <v>3800000</v>
      </c>
      <c r="R133" s="20"/>
      <c r="S133" s="20">
        <v>290000</v>
      </c>
      <c r="T133" s="4">
        <v>1008000</v>
      </c>
      <c r="U133" s="22">
        <v>360000</v>
      </c>
      <c r="V133" s="22"/>
      <c r="W133" s="9">
        <f t="shared" si="166"/>
        <v>1658000</v>
      </c>
      <c r="X133" s="20"/>
      <c r="Y133" s="25"/>
      <c r="Z133" s="20"/>
      <c r="AA133" s="20"/>
      <c r="AB133" s="20"/>
      <c r="AC133" s="21">
        <f t="shared" si="167"/>
        <v>0</v>
      </c>
      <c r="AD133" s="25"/>
      <c r="AE133" s="20"/>
      <c r="AF133" s="21">
        <f t="shared" si="168"/>
        <v>0</v>
      </c>
      <c r="AG133" s="24">
        <v>900000</v>
      </c>
      <c r="AH133" s="20">
        <f>300000+300000+300000+300000+200000</f>
        <v>1400000</v>
      </c>
      <c r="AI133" s="21">
        <f t="shared" si="169"/>
        <v>2300000</v>
      </c>
      <c r="AJ133" s="25"/>
      <c r="AK133" s="25"/>
      <c r="AL133" s="25"/>
      <c r="AM133" s="25"/>
      <c r="AN133" s="20"/>
      <c r="AO133" s="21">
        <f t="shared" si="170"/>
        <v>0</v>
      </c>
      <c r="AP133" s="4">
        <f t="shared" si="171"/>
        <v>290000</v>
      </c>
      <c r="AQ133" s="4">
        <f t="shared" si="171"/>
        <v>1490000</v>
      </c>
      <c r="AR133" s="4">
        <f t="shared" si="171"/>
        <v>3068000</v>
      </c>
      <c r="AS133" s="4">
        <f t="shared" si="172"/>
        <v>1510000</v>
      </c>
      <c r="AT133" s="94">
        <f t="shared" si="172"/>
        <v>1400000</v>
      </c>
      <c r="AU133" s="9">
        <f t="shared" si="173"/>
        <v>7758000</v>
      </c>
    </row>
    <row r="134" spans="1:47">
      <c r="A134" s="186"/>
      <c r="B134" s="8">
        <v>9</v>
      </c>
      <c r="C134" s="1" t="s">
        <v>482</v>
      </c>
      <c r="D134" s="41"/>
      <c r="E134" s="4" t="s">
        <v>25</v>
      </c>
      <c r="F134" s="4"/>
      <c r="G134" s="4"/>
      <c r="H134" s="4"/>
      <c r="I134" s="4"/>
      <c r="J134" s="4"/>
      <c r="K134" s="9">
        <f t="shared" si="164"/>
        <v>0</v>
      </c>
      <c r="L134" s="76"/>
      <c r="M134" s="76"/>
      <c r="N134" s="76">
        <v>-200000</v>
      </c>
      <c r="O134" s="76"/>
      <c r="P134" s="4"/>
      <c r="Q134" s="9">
        <f t="shared" si="165"/>
        <v>-200000</v>
      </c>
      <c r="R134" s="20"/>
      <c r="S134" s="20"/>
      <c r="T134" s="4"/>
      <c r="U134" s="22"/>
      <c r="V134" s="22"/>
      <c r="W134" s="9">
        <f t="shared" si="166"/>
        <v>0</v>
      </c>
      <c r="X134" s="20"/>
      <c r="Y134" s="25"/>
      <c r="Z134" s="20"/>
      <c r="AA134" s="20"/>
      <c r="AB134" s="20"/>
      <c r="AC134" s="21">
        <f t="shared" si="167"/>
        <v>0</v>
      </c>
      <c r="AD134" s="25"/>
      <c r="AE134" s="20"/>
      <c r="AF134" s="21">
        <f t="shared" si="168"/>
        <v>0</v>
      </c>
      <c r="AG134" s="24"/>
      <c r="AH134" s="20"/>
      <c r="AI134" s="21">
        <f t="shared" si="169"/>
        <v>0</v>
      </c>
      <c r="AJ134" s="25"/>
      <c r="AK134" s="25"/>
      <c r="AL134" s="25"/>
      <c r="AM134" s="25"/>
      <c r="AN134" s="20"/>
      <c r="AO134" s="21">
        <f t="shared" si="170"/>
        <v>0</v>
      </c>
      <c r="AP134" s="4">
        <f t="shared" si="171"/>
        <v>0</v>
      </c>
      <c r="AQ134" s="4">
        <f t="shared" si="171"/>
        <v>0</v>
      </c>
      <c r="AR134" s="4">
        <f t="shared" si="171"/>
        <v>-200000</v>
      </c>
      <c r="AS134" s="4">
        <f t="shared" si="172"/>
        <v>0</v>
      </c>
      <c r="AT134" s="94">
        <f t="shared" si="172"/>
        <v>0</v>
      </c>
      <c r="AU134" s="9">
        <f t="shared" si="173"/>
        <v>-200000</v>
      </c>
    </row>
    <row r="135" spans="1:47" ht="31.5">
      <c r="A135" s="186"/>
      <c r="B135" s="8">
        <v>10</v>
      </c>
      <c r="C135" s="1" t="s">
        <v>256</v>
      </c>
      <c r="D135" s="4" t="s">
        <v>257</v>
      </c>
      <c r="E135" s="4" t="s">
        <v>258</v>
      </c>
      <c r="F135" s="4"/>
      <c r="G135" s="4">
        <v>298000</v>
      </c>
      <c r="H135" s="4">
        <v>60000</v>
      </c>
      <c r="I135" s="4">
        <v>200000</v>
      </c>
      <c r="J135" s="4"/>
      <c r="K135" s="9">
        <f t="shared" si="164"/>
        <v>558000</v>
      </c>
      <c r="L135" s="4"/>
      <c r="M135" s="72"/>
      <c r="N135" s="4"/>
      <c r="O135" s="4"/>
      <c r="P135" s="4"/>
      <c r="Q135" s="9">
        <f t="shared" si="165"/>
        <v>0</v>
      </c>
      <c r="R135" s="20"/>
      <c r="S135" s="20"/>
      <c r="T135" s="20"/>
      <c r="U135" s="20"/>
      <c r="V135" s="20"/>
      <c r="W135" s="9">
        <f t="shared" si="166"/>
        <v>0</v>
      </c>
      <c r="X135" s="20"/>
      <c r="Y135" s="25">
        <v>330800</v>
      </c>
      <c r="Z135" s="20"/>
      <c r="AA135" s="20">
        <v>450000</v>
      </c>
      <c r="AB135" s="20"/>
      <c r="AC135" s="21">
        <f t="shared" si="167"/>
        <v>780800</v>
      </c>
      <c r="AD135" s="25">
        <v>315000</v>
      </c>
      <c r="AE135" s="20">
        <v>105000</v>
      </c>
      <c r="AF135" s="21">
        <f t="shared" si="168"/>
        <v>420000</v>
      </c>
      <c r="AG135" s="25"/>
      <c r="AH135" s="20"/>
      <c r="AI135" s="21">
        <f t="shared" si="169"/>
        <v>0</v>
      </c>
      <c r="AJ135" s="25"/>
      <c r="AK135" s="25"/>
      <c r="AL135" s="25"/>
      <c r="AM135" s="25"/>
      <c r="AN135" s="20"/>
      <c r="AO135" s="21">
        <f t="shared" si="170"/>
        <v>0</v>
      </c>
      <c r="AP135" s="4">
        <f t="shared" si="171"/>
        <v>0</v>
      </c>
      <c r="AQ135" s="4">
        <f t="shared" si="171"/>
        <v>628800</v>
      </c>
      <c r="AR135" s="4">
        <f t="shared" si="171"/>
        <v>60000</v>
      </c>
      <c r="AS135" s="4">
        <f t="shared" si="172"/>
        <v>965000</v>
      </c>
      <c r="AT135" s="94">
        <f t="shared" si="172"/>
        <v>105000</v>
      </c>
      <c r="AU135" s="9">
        <f t="shared" si="173"/>
        <v>1758800</v>
      </c>
    </row>
    <row r="136" spans="1:47" ht="31.5">
      <c r="A136" s="186"/>
      <c r="B136" s="8">
        <v>11</v>
      </c>
      <c r="C136" s="1" t="s">
        <v>259</v>
      </c>
      <c r="D136" s="4" t="s">
        <v>260</v>
      </c>
      <c r="E136" s="4" t="s">
        <v>258</v>
      </c>
      <c r="F136" s="4">
        <v>155000</v>
      </c>
      <c r="G136" s="4">
        <v>789000</v>
      </c>
      <c r="H136" s="4">
        <f>71500+71500</f>
        <v>143000</v>
      </c>
      <c r="I136" s="4">
        <f>100000+120000+20000</f>
        <v>240000</v>
      </c>
      <c r="J136" s="4"/>
      <c r="K136" s="9">
        <f t="shared" si="164"/>
        <v>1327000</v>
      </c>
      <c r="L136" s="4"/>
      <c r="M136" s="72"/>
      <c r="N136" s="4"/>
      <c r="O136" s="4"/>
      <c r="P136" s="4"/>
      <c r="Q136" s="9">
        <f t="shared" si="165"/>
        <v>0</v>
      </c>
      <c r="R136" s="20"/>
      <c r="S136" s="20"/>
      <c r="T136" s="20"/>
      <c r="U136" s="20"/>
      <c r="V136" s="20"/>
      <c r="W136" s="9">
        <f t="shared" si="166"/>
        <v>0</v>
      </c>
      <c r="X136" s="20"/>
      <c r="Y136" s="25">
        <v>1145600</v>
      </c>
      <c r="Z136" s="25">
        <v>916650</v>
      </c>
      <c r="AA136" s="20"/>
      <c r="AB136" s="20"/>
      <c r="AC136" s="21">
        <f t="shared" si="167"/>
        <v>2062250</v>
      </c>
      <c r="AD136" s="25">
        <v>1155000</v>
      </c>
      <c r="AE136" s="20">
        <f>105000+315000+315000+315000+210000</f>
        <v>1260000</v>
      </c>
      <c r="AF136" s="21">
        <f t="shared" si="168"/>
        <v>2415000</v>
      </c>
      <c r="AG136" s="25"/>
      <c r="AH136" s="20"/>
      <c r="AI136" s="21">
        <f t="shared" si="169"/>
        <v>0</v>
      </c>
      <c r="AJ136" s="25"/>
      <c r="AK136" s="25"/>
      <c r="AL136" s="25">
        <v>100000</v>
      </c>
      <c r="AM136" s="25"/>
      <c r="AN136" s="20"/>
      <c r="AO136" s="21">
        <f t="shared" si="170"/>
        <v>100000</v>
      </c>
      <c r="AP136" s="4">
        <f t="shared" si="171"/>
        <v>155000</v>
      </c>
      <c r="AQ136" s="4">
        <f t="shared" si="171"/>
        <v>1934600</v>
      </c>
      <c r="AR136" s="4">
        <f t="shared" si="171"/>
        <v>1159650</v>
      </c>
      <c r="AS136" s="4">
        <f t="shared" si="172"/>
        <v>1395000</v>
      </c>
      <c r="AT136" s="94">
        <f t="shared" si="172"/>
        <v>1260000</v>
      </c>
      <c r="AU136" s="9">
        <f t="shared" si="173"/>
        <v>5904250</v>
      </c>
    </row>
    <row r="137" spans="1:47" ht="31.5">
      <c r="A137" s="186"/>
      <c r="B137" s="8">
        <v>12</v>
      </c>
      <c r="C137" s="1" t="s">
        <v>259</v>
      </c>
      <c r="D137" s="4" t="s">
        <v>246</v>
      </c>
      <c r="E137" s="4" t="s">
        <v>258</v>
      </c>
      <c r="F137" s="4"/>
      <c r="G137" s="4"/>
      <c r="H137" s="4">
        <f>155000+453000</f>
        <v>608000</v>
      </c>
      <c r="I137" s="4"/>
      <c r="J137" s="4"/>
      <c r="K137" s="9">
        <f t="shared" si="164"/>
        <v>608000</v>
      </c>
      <c r="L137" s="4"/>
      <c r="M137" s="72"/>
      <c r="N137" s="4"/>
      <c r="O137" s="4"/>
      <c r="P137" s="4"/>
      <c r="Q137" s="9">
        <f t="shared" si="165"/>
        <v>0</v>
      </c>
      <c r="R137" s="20"/>
      <c r="S137" s="20"/>
      <c r="T137" s="20"/>
      <c r="U137" s="20"/>
      <c r="V137" s="20"/>
      <c r="W137" s="9">
        <f t="shared" si="166"/>
        <v>0</v>
      </c>
      <c r="X137" s="20"/>
      <c r="Y137" s="20"/>
      <c r="Z137" s="20"/>
      <c r="AA137" s="20">
        <v>180000</v>
      </c>
      <c r="AB137" s="20"/>
      <c r="AC137" s="21">
        <f t="shared" si="167"/>
        <v>180000</v>
      </c>
      <c r="AD137" s="25"/>
      <c r="AE137" s="20"/>
      <c r="AF137" s="21">
        <f t="shared" si="168"/>
        <v>0</v>
      </c>
      <c r="AG137" s="25"/>
      <c r="AH137" s="20"/>
      <c r="AI137" s="21">
        <f t="shared" si="169"/>
        <v>0</v>
      </c>
      <c r="AJ137" s="25"/>
      <c r="AK137" s="25"/>
      <c r="AL137" s="25"/>
      <c r="AM137" s="25"/>
      <c r="AN137" s="20"/>
      <c r="AO137" s="21">
        <f t="shared" si="170"/>
        <v>0</v>
      </c>
      <c r="AP137" s="4">
        <f t="shared" si="171"/>
        <v>0</v>
      </c>
      <c r="AQ137" s="4">
        <f t="shared" si="171"/>
        <v>0</v>
      </c>
      <c r="AR137" s="4">
        <f t="shared" si="171"/>
        <v>608000</v>
      </c>
      <c r="AS137" s="4">
        <f t="shared" si="172"/>
        <v>180000</v>
      </c>
      <c r="AT137" s="94">
        <f t="shared" si="172"/>
        <v>0</v>
      </c>
      <c r="AU137" s="9">
        <f t="shared" si="173"/>
        <v>788000</v>
      </c>
    </row>
    <row r="138" spans="1:47">
      <c r="A138" s="186"/>
      <c r="B138" s="8">
        <v>13</v>
      </c>
      <c r="C138" s="42" t="s">
        <v>261</v>
      </c>
      <c r="D138" s="43" t="s">
        <v>262</v>
      </c>
      <c r="E138" s="4" t="s">
        <v>258</v>
      </c>
      <c r="F138" s="4"/>
      <c r="G138" s="4"/>
      <c r="H138" s="4"/>
      <c r="I138" s="4"/>
      <c r="J138" s="4"/>
      <c r="K138" s="9">
        <f t="shared" si="164"/>
        <v>0</v>
      </c>
      <c r="L138" s="4"/>
      <c r="M138" s="72"/>
      <c r="N138" s="4"/>
      <c r="O138" s="4"/>
      <c r="P138" s="4"/>
      <c r="Q138" s="9">
        <f t="shared" si="165"/>
        <v>0</v>
      </c>
      <c r="R138" s="20"/>
      <c r="S138" s="20"/>
      <c r="T138" s="4">
        <v>290000</v>
      </c>
      <c r="U138" s="20">
        <v>1080000</v>
      </c>
      <c r="V138" s="20">
        <f>225000+225000+225000+225000+150000</f>
        <v>1050000</v>
      </c>
      <c r="W138" s="9">
        <f t="shared" si="166"/>
        <v>2420000</v>
      </c>
      <c r="X138" s="20"/>
      <c r="Y138" s="20"/>
      <c r="Z138" s="20"/>
      <c r="AA138" s="20"/>
      <c r="AB138" s="20"/>
      <c r="AC138" s="21">
        <f t="shared" si="167"/>
        <v>0</v>
      </c>
      <c r="AD138" s="25"/>
      <c r="AE138" s="20"/>
      <c r="AF138" s="21">
        <f t="shared" si="168"/>
        <v>0</v>
      </c>
      <c r="AG138" s="25"/>
      <c r="AH138" s="20"/>
      <c r="AI138" s="21">
        <f t="shared" si="169"/>
        <v>0</v>
      </c>
      <c r="AJ138" s="25"/>
      <c r="AK138" s="25"/>
      <c r="AL138" s="25"/>
      <c r="AM138" s="25"/>
      <c r="AN138" s="20"/>
      <c r="AO138" s="21">
        <f t="shared" si="170"/>
        <v>0</v>
      </c>
      <c r="AP138" s="4">
        <f t="shared" si="171"/>
        <v>0</v>
      </c>
      <c r="AQ138" s="4">
        <f t="shared" si="171"/>
        <v>0</v>
      </c>
      <c r="AR138" s="4">
        <f t="shared" si="171"/>
        <v>290000</v>
      </c>
      <c r="AS138" s="4">
        <f t="shared" si="172"/>
        <v>1080000</v>
      </c>
      <c r="AT138" s="94">
        <f t="shared" si="172"/>
        <v>1050000</v>
      </c>
      <c r="AU138" s="9">
        <f t="shared" si="173"/>
        <v>2420000</v>
      </c>
    </row>
    <row r="139" spans="1:47">
      <c r="A139" s="186"/>
      <c r="B139" s="8">
        <v>14</v>
      </c>
      <c r="C139" s="44" t="s">
        <v>263</v>
      </c>
      <c r="D139" s="45" t="s">
        <v>264</v>
      </c>
      <c r="E139" s="4" t="s">
        <v>258</v>
      </c>
      <c r="F139" s="4"/>
      <c r="G139" s="4"/>
      <c r="H139" s="4"/>
      <c r="I139" s="4"/>
      <c r="J139" s="4"/>
      <c r="K139" s="9">
        <f t="shared" si="164"/>
        <v>0</v>
      </c>
      <c r="L139" s="76"/>
      <c r="M139" s="76"/>
      <c r="N139" s="76">
        <v>430000</v>
      </c>
      <c r="O139" s="76">
        <v>250000</v>
      </c>
      <c r="P139" s="4">
        <f>890000+225000+225000+225000+150000</f>
        <v>1715000</v>
      </c>
      <c r="Q139" s="9">
        <f t="shared" si="165"/>
        <v>2395000</v>
      </c>
      <c r="R139" s="20"/>
      <c r="S139" s="20"/>
      <c r="T139" s="20"/>
      <c r="U139" s="20"/>
      <c r="V139" s="20"/>
      <c r="W139" s="9">
        <f t="shared" si="166"/>
        <v>0</v>
      </c>
      <c r="X139" s="20"/>
      <c r="Y139" s="20"/>
      <c r="Z139" s="20"/>
      <c r="AA139" s="20"/>
      <c r="AB139" s="20"/>
      <c r="AC139" s="21">
        <f t="shared" si="167"/>
        <v>0</v>
      </c>
      <c r="AD139" s="25"/>
      <c r="AE139" s="20"/>
      <c r="AF139" s="21">
        <f t="shared" si="168"/>
        <v>0</v>
      </c>
      <c r="AG139" s="25"/>
      <c r="AH139" s="20"/>
      <c r="AI139" s="21">
        <f t="shared" si="169"/>
        <v>0</v>
      </c>
      <c r="AJ139" s="25"/>
      <c r="AK139" s="25"/>
      <c r="AL139" s="25"/>
      <c r="AM139" s="25"/>
      <c r="AN139" s="20"/>
      <c r="AO139" s="21">
        <f t="shared" si="170"/>
        <v>0</v>
      </c>
      <c r="AP139" s="4">
        <f t="shared" si="171"/>
        <v>0</v>
      </c>
      <c r="AQ139" s="4">
        <f t="shared" si="171"/>
        <v>0</v>
      </c>
      <c r="AR139" s="4">
        <f t="shared" si="171"/>
        <v>430000</v>
      </c>
      <c r="AS139" s="4">
        <f t="shared" si="172"/>
        <v>250000</v>
      </c>
      <c r="AT139" s="94">
        <f t="shared" si="172"/>
        <v>1715000</v>
      </c>
      <c r="AU139" s="9">
        <f t="shared" si="173"/>
        <v>2395000</v>
      </c>
    </row>
    <row r="140" spans="1:47">
      <c r="A140" s="186"/>
      <c r="B140" s="8">
        <v>15</v>
      </c>
      <c r="C140" s="40" t="s">
        <v>265</v>
      </c>
      <c r="D140" s="47" t="s">
        <v>266</v>
      </c>
      <c r="E140" s="4" t="s">
        <v>258</v>
      </c>
      <c r="F140" s="4"/>
      <c r="G140" s="4"/>
      <c r="H140" s="4"/>
      <c r="I140" s="4"/>
      <c r="J140" s="4"/>
      <c r="K140" s="9">
        <f t="shared" si="164"/>
        <v>0</v>
      </c>
      <c r="L140" s="76"/>
      <c r="M140" s="76">
        <v>1890000</v>
      </c>
      <c r="N140" s="76">
        <v>200000</v>
      </c>
      <c r="O140" s="76"/>
      <c r="P140" s="4"/>
      <c r="Q140" s="9">
        <f t="shared" si="165"/>
        <v>2090000</v>
      </c>
      <c r="R140" s="20"/>
      <c r="S140" s="20"/>
      <c r="T140" s="20"/>
      <c r="U140" s="20"/>
      <c r="V140" s="20"/>
      <c r="W140" s="9">
        <f t="shared" si="166"/>
        <v>0</v>
      </c>
      <c r="X140" s="20"/>
      <c r="Y140" s="20"/>
      <c r="Z140" s="20"/>
      <c r="AA140" s="20"/>
      <c r="AB140" s="20"/>
      <c r="AC140" s="21">
        <f t="shared" si="167"/>
        <v>0</v>
      </c>
      <c r="AD140" s="25"/>
      <c r="AE140" s="20"/>
      <c r="AF140" s="21">
        <f t="shared" si="168"/>
        <v>0</v>
      </c>
      <c r="AG140" s="25"/>
      <c r="AH140" s="20"/>
      <c r="AI140" s="21">
        <f t="shared" si="169"/>
        <v>0</v>
      </c>
      <c r="AJ140" s="25"/>
      <c r="AK140" s="25"/>
      <c r="AL140" s="25">
        <v>100000</v>
      </c>
      <c r="AM140" s="25"/>
      <c r="AN140" s="20"/>
      <c r="AO140" s="21">
        <f t="shared" si="170"/>
        <v>100000</v>
      </c>
      <c r="AP140" s="4">
        <f t="shared" si="171"/>
        <v>0</v>
      </c>
      <c r="AQ140" s="4">
        <f t="shared" si="171"/>
        <v>1890000</v>
      </c>
      <c r="AR140" s="4">
        <f t="shared" si="171"/>
        <v>300000</v>
      </c>
      <c r="AS140" s="4">
        <f t="shared" si="172"/>
        <v>0</v>
      </c>
      <c r="AT140" s="94">
        <f t="shared" si="172"/>
        <v>0</v>
      </c>
      <c r="AU140" s="9">
        <f t="shared" si="173"/>
        <v>2190000</v>
      </c>
    </row>
    <row r="141" spans="1:47" ht="31.5">
      <c r="A141" s="187"/>
      <c r="B141" s="8">
        <v>16</v>
      </c>
      <c r="C141" s="1" t="s">
        <v>267</v>
      </c>
      <c r="D141" s="4" t="s">
        <v>268</v>
      </c>
      <c r="E141" s="4" t="s">
        <v>25</v>
      </c>
      <c r="F141" s="4"/>
      <c r="G141" s="4">
        <v>776500</v>
      </c>
      <c r="H141" s="4">
        <f>82500+159500+341000</f>
        <v>583000</v>
      </c>
      <c r="I141" s="4">
        <v>100000</v>
      </c>
      <c r="J141" s="4"/>
      <c r="K141" s="9">
        <f t="shared" si="164"/>
        <v>1459500</v>
      </c>
      <c r="L141" s="76"/>
      <c r="M141" s="76">
        <v>1510000</v>
      </c>
      <c r="N141" s="76">
        <v>1530000</v>
      </c>
      <c r="O141" s="76">
        <f>(250000)-140000</f>
        <v>110000</v>
      </c>
      <c r="P141" s="4"/>
      <c r="Q141" s="9">
        <f t="shared" si="165"/>
        <v>3150000</v>
      </c>
      <c r="R141" s="20"/>
      <c r="S141" s="20"/>
      <c r="T141" s="20"/>
      <c r="U141" s="20"/>
      <c r="V141" s="20"/>
      <c r="W141" s="9">
        <f t="shared" si="166"/>
        <v>0</v>
      </c>
      <c r="X141" s="20"/>
      <c r="Y141" s="25">
        <v>898250</v>
      </c>
      <c r="Z141" s="25">
        <v>572300</v>
      </c>
      <c r="AA141" s="25">
        <v>150000</v>
      </c>
      <c r="AB141" s="20"/>
      <c r="AC141" s="21">
        <f t="shared" si="167"/>
        <v>1620550</v>
      </c>
      <c r="AD141" s="25"/>
      <c r="AE141" s="20"/>
      <c r="AF141" s="21">
        <f t="shared" si="168"/>
        <v>0</v>
      </c>
      <c r="AG141" s="25"/>
      <c r="AH141" s="20"/>
      <c r="AI141" s="21">
        <f t="shared" si="169"/>
        <v>0</v>
      </c>
      <c r="AJ141" s="25"/>
      <c r="AK141" s="25"/>
      <c r="AL141" s="25"/>
      <c r="AM141" s="25"/>
      <c r="AN141" s="20"/>
      <c r="AO141" s="21">
        <f t="shared" si="170"/>
        <v>0</v>
      </c>
      <c r="AP141" s="4">
        <f t="shared" si="171"/>
        <v>0</v>
      </c>
      <c r="AQ141" s="4">
        <f t="shared" si="171"/>
        <v>3184750</v>
      </c>
      <c r="AR141" s="4">
        <f t="shared" si="171"/>
        <v>2685300</v>
      </c>
      <c r="AS141" s="4">
        <f t="shared" si="172"/>
        <v>360000</v>
      </c>
      <c r="AT141" s="94">
        <f t="shared" si="172"/>
        <v>0</v>
      </c>
      <c r="AU141" s="9">
        <f t="shared" si="173"/>
        <v>6230050</v>
      </c>
    </row>
    <row r="142" spans="1:47" s="38" customFormat="1">
      <c r="A142" s="34"/>
      <c r="B142" s="85"/>
      <c r="C142" s="35" t="s">
        <v>269</v>
      </c>
      <c r="D142" s="37"/>
      <c r="E142" s="37"/>
      <c r="F142" s="37">
        <f>SUM(F126:F141)</f>
        <v>310000</v>
      </c>
      <c r="G142" s="37">
        <f t="shared" ref="G142:AU142" si="174">SUM(G126:G141)</f>
        <v>1863500</v>
      </c>
      <c r="H142" s="37">
        <f t="shared" si="174"/>
        <v>2550000</v>
      </c>
      <c r="I142" s="37">
        <f t="shared" si="174"/>
        <v>540000</v>
      </c>
      <c r="J142" s="37">
        <f t="shared" si="174"/>
        <v>0</v>
      </c>
      <c r="K142" s="37">
        <f t="shared" si="174"/>
        <v>5263500</v>
      </c>
      <c r="L142" s="37">
        <f t="shared" si="174"/>
        <v>870000</v>
      </c>
      <c r="M142" s="37">
        <f t="shared" si="174"/>
        <v>8410000</v>
      </c>
      <c r="N142" s="37">
        <f t="shared" si="174"/>
        <v>8610000</v>
      </c>
      <c r="O142" s="37">
        <f t="shared" si="174"/>
        <v>1010000</v>
      </c>
      <c r="P142" s="37">
        <f t="shared" si="174"/>
        <v>1715000</v>
      </c>
      <c r="Q142" s="37">
        <f t="shared" si="174"/>
        <v>20615000</v>
      </c>
      <c r="R142" s="37">
        <f t="shared" si="174"/>
        <v>290000</v>
      </c>
      <c r="S142" s="37">
        <f t="shared" si="174"/>
        <v>4111000</v>
      </c>
      <c r="T142" s="37">
        <f t="shared" si="174"/>
        <v>3218000</v>
      </c>
      <c r="U142" s="37">
        <f t="shared" si="174"/>
        <v>2400000</v>
      </c>
      <c r="V142" s="37">
        <f t="shared" si="174"/>
        <v>1050000</v>
      </c>
      <c r="W142" s="37">
        <f t="shared" si="174"/>
        <v>11069000</v>
      </c>
      <c r="X142" s="37">
        <f t="shared" si="174"/>
        <v>195000</v>
      </c>
      <c r="Y142" s="37">
        <f t="shared" si="174"/>
        <v>4428900</v>
      </c>
      <c r="Z142" s="37">
        <f t="shared" si="174"/>
        <v>2370400</v>
      </c>
      <c r="AA142" s="37">
        <f t="shared" si="174"/>
        <v>1979000</v>
      </c>
      <c r="AB142" s="37">
        <f t="shared" si="174"/>
        <v>490000</v>
      </c>
      <c r="AC142" s="37">
        <f t="shared" si="174"/>
        <v>9463300</v>
      </c>
      <c r="AD142" s="37">
        <f t="shared" si="174"/>
        <v>1470000</v>
      </c>
      <c r="AE142" s="37">
        <f t="shared" si="174"/>
        <v>1365000</v>
      </c>
      <c r="AF142" s="37">
        <f t="shared" si="174"/>
        <v>2835000</v>
      </c>
      <c r="AG142" s="37">
        <f t="shared" si="174"/>
        <v>1800000</v>
      </c>
      <c r="AH142" s="37">
        <f t="shared" si="174"/>
        <v>2800000</v>
      </c>
      <c r="AI142" s="37">
        <f t="shared" si="174"/>
        <v>4600000</v>
      </c>
      <c r="AJ142" s="37">
        <f t="shared" si="174"/>
        <v>0</v>
      </c>
      <c r="AK142" s="37">
        <f t="shared" si="174"/>
        <v>757600</v>
      </c>
      <c r="AL142" s="37">
        <f t="shared" si="174"/>
        <v>1262000</v>
      </c>
      <c r="AM142" s="37">
        <f t="shared" si="174"/>
        <v>120000</v>
      </c>
      <c r="AN142" s="37">
        <f t="shared" si="174"/>
        <v>0</v>
      </c>
      <c r="AO142" s="37">
        <f t="shared" si="174"/>
        <v>2139600</v>
      </c>
      <c r="AP142" s="37">
        <f t="shared" si="174"/>
        <v>1665000</v>
      </c>
      <c r="AQ142" s="37">
        <f t="shared" si="174"/>
        <v>19571000</v>
      </c>
      <c r="AR142" s="37">
        <f t="shared" si="174"/>
        <v>18010400</v>
      </c>
      <c r="AS142" s="37">
        <f t="shared" si="174"/>
        <v>9319000</v>
      </c>
      <c r="AT142" s="37">
        <f t="shared" si="174"/>
        <v>7420000</v>
      </c>
      <c r="AU142" s="37">
        <f t="shared" si="174"/>
        <v>55985400</v>
      </c>
    </row>
    <row r="143" spans="1:47">
      <c r="A143" s="185" t="s">
        <v>38</v>
      </c>
      <c r="B143" s="8">
        <v>1</v>
      </c>
      <c r="C143" s="1" t="s">
        <v>1</v>
      </c>
      <c r="D143" s="5" t="s">
        <v>415</v>
      </c>
      <c r="E143" s="4" t="s">
        <v>38</v>
      </c>
      <c r="F143" s="4"/>
      <c r="G143" s="4"/>
      <c r="H143" s="4"/>
      <c r="I143" s="4"/>
      <c r="J143" s="4"/>
      <c r="K143" s="9">
        <f t="shared" ref="K143:K144" si="175">SUM(F143:J143)</f>
        <v>0</v>
      </c>
      <c r="L143" s="4"/>
      <c r="M143" s="4"/>
      <c r="N143" s="4"/>
      <c r="O143" s="4"/>
      <c r="P143" s="4"/>
      <c r="Q143" s="9">
        <f t="shared" ref="Q143:Q144" si="176">SUM(L143:P143)</f>
        <v>0</v>
      </c>
      <c r="R143" s="20"/>
      <c r="S143" s="20"/>
      <c r="T143" s="20"/>
      <c r="U143" s="20"/>
      <c r="V143" s="20"/>
      <c r="W143" s="9">
        <f t="shared" ref="W143:W144" si="177">SUM(R143:V143)</f>
        <v>0</v>
      </c>
      <c r="X143" s="20"/>
      <c r="Y143" s="25">
        <v>694100</v>
      </c>
      <c r="Z143" s="25">
        <v>478450</v>
      </c>
      <c r="AA143" s="24">
        <v>570000</v>
      </c>
      <c r="AB143" s="20">
        <f>458500+304000</f>
        <v>762500</v>
      </c>
      <c r="AC143" s="21">
        <f t="shared" ref="AC143:AC144" si="178">SUM(X143:AB143)</f>
        <v>2505050</v>
      </c>
      <c r="AD143" s="25"/>
      <c r="AE143" s="20"/>
      <c r="AF143" s="21">
        <f t="shared" ref="AF143:AF144" si="179">SUM(AD143:AE143)</f>
        <v>0</v>
      </c>
      <c r="AG143" s="25"/>
      <c r="AH143" s="20"/>
      <c r="AI143" s="21">
        <f t="shared" ref="AI143:AI144" si="180">SUM(AG143:AH143)</f>
        <v>0</v>
      </c>
      <c r="AJ143" s="25"/>
      <c r="AK143" s="25"/>
      <c r="AL143" s="25"/>
      <c r="AM143" s="25"/>
      <c r="AN143" s="20"/>
      <c r="AO143" s="21">
        <f t="shared" ref="AO143:AO144" si="181">SUM(AJ143:AN143)</f>
        <v>0</v>
      </c>
      <c r="AP143" s="4">
        <f t="shared" ref="AP143:AR144" si="182">F143+L143+R143+X143+AJ143</f>
        <v>0</v>
      </c>
      <c r="AQ143" s="4">
        <f t="shared" si="182"/>
        <v>694100</v>
      </c>
      <c r="AR143" s="4">
        <f t="shared" si="182"/>
        <v>478450</v>
      </c>
      <c r="AS143" s="4">
        <f t="shared" ref="AS143:AT144" si="183">I143+O143+U143+AA143+AD143+AG143+AM143</f>
        <v>570000</v>
      </c>
      <c r="AT143" s="94">
        <f t="shared" si="183"/>
        <v>762500</v>
      </c>
      <c r="AU143" s="9">
        <f t="shared" ref="AU143:AU144" si="184">SUM(AP143:AT143)</f>
        <v>2505050</v>
      </c>
    </row>
    <row r="144" spans="1:47">
      <c r="A144" s="187"/>
      <c r="B144" s="8">
        <v>2</v>
      </c>
      <c r="C144" s="1" t="s">
        <v>6</v>
      </c>
      <c r="D144" s="4" t="s">
        <v>37</v>
      </c>
      <c r="E144" s="4" t="s">
        <v>38</v>
      </c>
      <c r="F144" s="4"/>
      <c r="G144" s="4">
        <v>155000</v>
      </c>
      <c r="H144" s="4">
        <v>354000</v>
      </c>
      <c r="I144" s="4">
        <f>80000+20000+20000</f>
        <v>120000</v>
      </c>
      <c r="J144" s="4"/>
      <c r="K144" s="9">
        <f t="shared" si="175"/>
        <v>629000</v>
      </c>
      <c r="L144" s="4"/>
      <c r="M144" s="4"/>
      <c r="N144" s="4"/>
      <c r="O144" s="4"/>
      <c r="P144" s="4"/>
      <c r="Q144" s="9">
        <f t="shared" si="176"/>
        <v>0</v>
      </c>
      <c r="R144" s="20"/>
      <c r="S144" s="20"/>
      <c r="T144" s="20"/>
      <c r="U144" s="20"/>
      <c r="V144" s="20"/>
      <c r="W144" s="9">
        <f t="shared" si="177"/>
        <v>0</v>
      </c>
      <c r="X144" s="20"/>
      <c r="Y144" s="20">
        <v>287625</v>
      </c>
      <c r="Z144" s="25">
        <v>488550</v>
      </c>
      <c r="AA144" s="24">
        <v>180000</v>
      </c>
      <c r="AB144" s="20"/>
      <c r="AC144" s="21">
        <f t="shared" si="178"/>
        <v>956175</v>
      </c>
      <c r="AD144" s="25">
        <f>315000+210000+105000</f>
        <v>630000</v>
      </c>
      <c r="AE144" s="20">
        <f>542500+261000+274500+291500+207000</f>
        <v>1576500</v>
      </c>
      <c r="AF144" s="21">
        <f t="shared" si="179"/>
        <v>2206500</v>
      </c>
      <c r="AG144" s="25"/>
      <c r="AH144" s="20"/>
      <c r="AI144" s="21">
        <f t="shared" si="180"/>
        <v>0</v>
      </c>
      <c r="AJ144" s="25"/>
      <c r="AK144" s="25"/>
      <c r="AL144" s="25"/>
      <c r="AM144" s="25"/>
      <c r="AN144" s="20"/>
      <c r="AO144" s="21">
        <f t="shared" si="181"/>
        <v>0</v>
      </c>
      <c r="AP144" s="4">
        <f t="shared" si="182"/>
        <v>0</v>
      </c>
      <c r="AQ144" s="4">
        <f t="shared" si="182"/>
        <v>442625</v>
      </c>
      <c r="AR144" s="4">
        <f t="shared" si="182"/>
        <v>842550</v>
      </c>
      <c r="AS144" s="4">
        <f t="shared" si="183"/>
        <v>930000</v>
      </c>
      <c r="AT144" s="94">
        <f t="shared" si="183"/>
        <v>1576500</v>
      </c>
      <c r="AU144" s="9">
        <f t="shared" si="184"/>
        <v>3791675</v>
      </c>
    </row>
    <row r="145" spans="1:47" s="38" customFormat="1">
      <c r="A145" s="34"/>
      <c r="B145" s="34"/>
      <c r="C145" s="35" t="s">
        <v>270</v>
      </c>
      <c r="D145" s="37"/>
      <c r="E145" s="37"/>
      <c r="F145" s="37">
        <f>SUM(F143:F144)</f>
        <v>0</v>
      </c>
      <c r="G145" s="37">
        <f t="shared" ref="G145:AU145" si="185">SUM(G143:G144)</f>
        <v>155000</v>
      </c>
      <c r="H145" s="37">
        <f t="shared" si="185"/>
        <v>354000</v>
      </c>
      <c r="I145" s="37">
        <f t="shared" si="185"/>
        <v>120000</v>
      </c>
      <c r="J145" s="37">
        <f t="shared" si="185"/>
        <v>0</v>
      </c>
      <c r="K145" s="37">
        <f t="shared" si="185"/>
        <v>629000</v>
      </c>
      <c r="L145" s="37">
        <f t="shared" si="185"/>
        <v>0</v>
      </c>
      <c r="M145" s="37">
        <f t="shared" si="185"/>
        <v>0</v>
      </c>
      <c r="N145" s="37">
        <f t="shared" si="185"/>
        <v>0</v>
      </c>
      <c r="O145" s="37">
        <f t="shared" si="185"/>
        <v>0</v>
      </c>
      <c r="P145" s="37">
        <f t="shared" si="185"/>
        <v>0</v>
      </c>
      <c r="Q145" s="37">
        <f t="shared" si="185"/>
        <v>0</v>
      </c>
      <c r="R145" s="37">
        <f t="shared" si="185"/>
        <v>0</v>
      </c>
      <c r="S145" s="37">
        <f t="shared" si="185"/>
        <v>0</v>
      </c>
      <c r="T145" s="37">
        <f t="shared" si="185"/>
        <v>0</v>
      </c>
      <c r="U145" s="37">
        <f t="shared" si="185"/>
        <v>0</v>
      </c>
      <c r="V145" s="37">
        <f t="shared" si="185"/>
        <v>0</v>
      </c>
      <c r="W145" s="37">
        <f t="shared" si="185"/>
        <v>0</v>
      </c>
      <c r="X145" s="37">
        <f t="shared" si="185"/>
        <v>0</v>
      </c>
      <c r="Y145" s="37">
        <f t="shared" si="185"/>
        <v>981725</v>
      </c>
      <c r="Z145" s="37">
        <f t="shared" si="185"/>
        <v>967000</v>
      </c>
      <c r="AA145" s="37">
        <f t="shared" si="185"/>
        <v>750000</v>
      </c>
      <c r="AB145" s="37">
        <f t="shared" si="185"/>
        <v>762500</v>
      </c>
      <c r="AC145" s="37">
        <f t="shared" si="185"/>
        <v>3461225</v>
      </c>
      <c r="AD145" s="37">
        <f t="shared" si="185"/>
        <v>630000</v>
      </c>
      <c r="AE145" s="37">
        <f t="shared" si="185"/>
        <v>1576500</v>
      </c>
      <c r="AF145" s="37">
        <f t="shared" si="185"/>
        <v>2206500</v>
      </c>
      <c r="AG145" s="37">
        <f t="shared" si="185"/>
        <v>0</v>
      </c>
      <c r="AH145" s="37">
        <f t="shared" si="185"/>
        <v>0</v>
      </c>
      <c r="AI145" s="37">
        <f t="shared" si="185"/>
        <v>0</v>
      </c>
      <c r="AJ145" s="37">
        <f t="shared" si="185"/>
        <v>0</v>
      </c>
      <c r="AK145" s="37">
        <f t="shared" si="185"/>
        <v>0</v>
      </c>
      <c r="AL145" s="37">
        <f t="shared" si="185"/>
        <v>0</v>
      </c>
      <c r="AM145" s="37">
        <f t="shared" si="185"/>
        <v>0</v>
      </c>
      <c r="AN145" s="37">
        <f t="shared" si="185"/>
        <v>0</v>
      </c>
      <c r="AO145" s="37">
        <f t="shared" si="185"/>
        <v>0</v>
      </c>
      <c r="AP145" s="37">
        <f t="shared" si="185"/>
        <v>0</v>
      </c>
      <c r="AQ145" s="37">
        <f t="shared" si="185"/>
        <v>1136725</v>
      </c>
      <c r="AR145" s="37">
        <f t="shared" si="185"/>
        <v>1321000</v>
      </c>
      <c r="AS145" s="37">
        <f t="shared" si="185"/>
        <v>1500000</v>
      </c>
      <c r="AT145" s="37">
        <f t="shared" si="185"/>
        <v>2339000</v>
      </c>
      <c r="AU145" s="37">
        <f t="shared" si="185"/>
        <v>6296725</v>
      </c>
    </row>
    <row r="146" spans="1:47" ht="31.5">
      <c r="A146" s="104" t="s">
        <v>271</v>
      </c>
      <c r="B146" s="8">
        <v>1</v>
      </c>
      <c r="C146" s="44" t="s">
        <v>272</v>
      </c>
      <c r="D146" s="45" t="s">
        <v>271</v>
      </c>
      <c r="E146" s="45" t="s">
        <v>273</v>
      </c>
      <c r="F146" s="4"/>
      <c r="G146" s="4"/>
      <c r="H146" s="5"/>
      <c r="I146" s="4"/>
      <c r="J146" s="4"/>
      <c r="K146" s="9">
        <f>SUM(F146:J146)</f>
        <v>0</v>
      </c>
      <c r="L146" s="76"/>
      <c r="M146" s="76"/>
      <c r="N146" s="76">
        <v>290000</v>
      </c>
      <c r="O146" s="76"/>
      <c r="P146" s="4"/>
      <c r="Q146" s="9">
        <f>SUM(L146:P146)</f>
        <v>290000</v>
      </c>
      <c r="R146" s="20"/>
      <c r="S146" s="20"/>
      <c r="T146" s="20"/>
      <c r="U146" s="20"/>
      <c r="V146" s="20"/>
      <c r="W146" s="9">
        <f>SUM(R146:V146)</f>
        <v>0</v>
      </c>
      <c r="X146" s="20"/>
      <c r="Y146" s="20"/>
      <c r="Z146" s="25"/>
      <c r="AA146" s="25"/>
      <c r="AB146" s="20"/>
      <c r="AC146" s="21">
        <f>SUM(X146:AB146)</f>
        <v>0</v>
      </c>
      <c r="AD146" s="25"/>
      <c r="AE146" s="20"/>
      <c r="AF146" s="21">
        <f>SUM(AD146:AE146)</f>
        <v>0</v>
      </c>
      <c r="AG146" s="25"/>
      <c r="AH146" s="20"/>
      <c r="AI146" s="21">
        <f>SUM(AG146:AH146)</f>
        <v>0</v>
      </c>
      <c r="AJ146" s="25"/>
      <c r="AK146" s="25"/>
      <c r="AL146" s="25"/>
      <c r="AM146" s="25"/>
      <c r="AN146" s="20"/>
      <c r="AO146" s="21">
        <f>SUM(AJ146:AN146)</f>
        <v>0</v>
      </c>
      <c r="AP146" s="4">
        <f>F146+L146+R146+X146+AJ146</f>
        <v>0</v>
      </c>
      <c r="AQ146" s="4">
        <f>G146+M146+S146+Y146+AK146</f>
        <v>0</v>
      </c>
      <c r="AR146" s="4">
        <f>H146+N146+T146+Z146+AL146</f>
        <v>290000</v>
      </c>
      <c r="AS146" s="4">
        <f>I146+O146+U146+AA146+AD146+AG146+AM146</f>
        <v>0</v>
      </c>
      <c r="AT146" s="94">
        <f>J146+P146+V146+AB146+AE146+AH146+AN146</f>
        <v>0</v>
      </c>
      <c r="AU146" s="9">
        <f>SUM(AP146:AT146)</f>
        <v>290000</v>
      </c>
    </row>
    <row r="147" spans="1:47" s="38" customFormat="1">
      <c r="A147" s="34"/>
      <c r="B147" s="34"/>
      <c r="C147" s="48" t="s">
        <v>274</v>
      </c>
      <c r="D147" s="49"/>
      <c r="E147" s="49"/>
      <c r="F147" s="37">
        <f>F146</f>
        <v>0</v>
      </c>
      <c r="G147" s="37">
        <f t="shared" ref="G147:AU147" si="186">G146</f>
        <v>0</v>
      </c>
      <c r="H147" s="37">
        <f t="shared" si="186"/>
        <v>0</v>
      </c>
      <c r="I147" s="37">
        <f t="shared" ref="I147" si="187">SUM(I146)</f>
        <v>0</v>
      </c>
      <c r="J147" s="37">
        <f t="shared" si="186"/>
        <v>0</v>
      </c>
      <c r="K147" s="37">
        <f t="shared" si="186"/>
        <v>0</v>
      </c>
      <c r="L147" s="37">
        <f t="shared" si="186"/>
        <v>0</v>
      </c>
      <c r="M147" s="37">
        <f t="shared" si="186"/>
        <v>0</v>
      </c>
      <c r="N147" s="37">
        <f t="shared" si="186"/>
        <v>290000</v>
      </c>
      <c r="O147" s="37">
        <f t="shared" ref="O147" si="188">SUM(O146)</f>
        <v>0</v>
      </c>
      <c r="P147" s="37">
        <f t="shared" si="186"/>
        <v>0</v>
      </c>
      <c r="Q147" s="37">
        <f t="shared" si="186"/>
        <v>290000</v>
      </c>
      <c r="R147" s="37">
        <f t="shared" si="186"/>
        <v>0</v>
      </c>
      <c r="S147" s="37">
        <f t="shared" si="186"/>
        <v>0</v>
      </c>
      <c r="T147" s="37">
        <f t="shared" si="186"/>
        <v>0</v>
      </c>
      <c r="U147" s="37">
        <f t="shared" ref="U147:V147" si="189">SUM(U146)</f>
        <v>0</v>
      </c>
      <c r="V147" s="37">
        <f t="shared" si="189"/>
        <v>0</v>
      </c>
      <c r="W147" s="37">
        <f t="shared" si="186"/>
        <v>0</v>
      </c>
      <c r="X147" s="37">
        <f t="shared" si="186"/>
        <v>0</v>
      </c>
      <c r="Y147" s="37">
        <f t="shared" si="186"/>
        <v>0</v>
      </c>
      <c r="Z147" s="37">
        <f t="shared" si="186"/>
        <v>0</v>
      </c>
      <c r="AA147" s="37">
        <f t="shared" ref="AA147" si="190">SUM(AA146)</f>
        <v>0</v>
      </c>
      <c r="AB147" s="37">
        <f t="shared" si="186"/>
        <v>0</v>
      </c>
      <c r="AC147" s="37">
        <f t="shared" si="186"/>
        <v>0</v>
      </c>
      <c r="AD147" s="37">
        <f t="shared" ref="AD147" si="191">SUM(AD146)</f>
        <v>0</v>
      </c>
      <c r="AE147" s="37">
        <f t="shared" si="186"/>
        <v>0</v>
      </c>
      <c r="AF147" s="37">
        <f t="shared" si="186"/>
        <v>0</v>
      </c>
      <c r="AG147" s="37">
        <f t="shared" ref="AG147" si="192">SUM(AG146)</f>
        <v>0</v>
      </c>
      <c r="AH147" s="37">
        <f t="shared" si="186"/>
        <v>0</v>
      </c>
      <c r="AI147" s="37">
        <f t="shared" si="186"/>
        <v>0</v>
      </c>
      <c r="AJ147" s="37">
        <f t="shared" si="186"/>
        <v>0</v>
      </c>
      <c r="AK147" s="37">
        <f t="shared" si="186"/>
        <v>0</v>
      </c>
      <c r="AL147" s="37">
        <f t="shared" si="186"/>
        <v>0</v>
      </c>
      <c r="AM147" s="37">
        <f t="shared" ref="AM147" si="193">SUM(AM146)</f>
        <v>0</v>
      </c>
      <c r="AN147" s="37">
        <f t="shared" si="186"/>
        <v>0</v>
      </c>
      <c r="AO147" s="37">
        <f t="shared" si="186"/>
        <v>0</v>
      </c>
      <c r="AP147" s="37">
        <f t="shared" si="186"/>
        <v>0</v>
      </c>
      <c r="AQ147" s="37">
        <f t="shared" si="186"/>
        <v>0</v>
      </c>
      <c r="AR147" s="37">
        <f t="shared" si="186"/>
        <v>290000</v>
      </c>
      <c r="AS147" s="37">
        <f t="shared" si="186"/>
        <v>0</v>
      </c>
      <c r="AT147" s="37">
        <f t="shared" si="186"/>
        <v>0</v>
      </c>
      <c r="AU147" s="37">
        <f t="shared" si="186"/>
        <v>290000</v>
      </c>
    </row>
    <row r="148" spans="1:47">
      <c r="A148" s="185" t="s">
        <v>275</v>
      </c>
      <c r="B148" s="8">
        <v>1</v>
      </c>
      <c r="C148" s="1" t="s">
        <v>276</v>
      </c>
      <c r="D148" s="4" t="s">
        <v>277</v>
      </c>
      <c r="E148" s="4" t="s">
        <v>275</v>
      </c>
      <c r="F148" s="4"/>
      <c r="G148" s="4">
        <v>705000</v>
      </c>
      <c r="H148" s="4">
        <f>110000+65000+265000</f>
        <v>440000</v>
      </c>
      <c r="I148" s="4"/>
      <c r="J148" s="4"/>
      <c r="K148" s="9">
        <f t="shared" ref="K148:K152" si="194">SUM(F148:J148)</f>
        <v>1145000</v>
      </c>
      <c r="L148" s="4"/>
      <c r="M148" s="4"/>
      <c r="N148" s="4"/>
      <c r="O148" s="4"/>
      <c r="P148" s="4"/>
      <c r="Q148" s="9">
        <f t="shared" ref="Q148:Q152" si="195">SUM(L148:P148)</f>
        <v>0</v>
      </c>
      <c r="R148" s="20"/>
      <c r="S148" s="20">
        <v>1340000</v>
      </c>
      <c r="T148" s="4">
        <v>826000</v>
      </c>
      <c r="U148" s="22"/>
      <c r="V148" s="22"/>
      <c r="W148" s="9">
        <f t="shared" ref="W148:W152" si="196">SUM(R148:V148)</f>
        <v>2166000</v>
      </c>
      <c r="X148" s="20"/>
      <c r="Y148" s="25">
        <v>1068000</v>
      </c>
      <c r="Z148" s="25">
        <v>582000</v>
      </c>
      <c r="AA148" s="25"/>
      <c r="AB148" s="20"/>
      <c r="AC148" s="21">
        <f t="shared" ref="AC148:AC152" si="197">SUM(X148:AB148)</f>
        <v>1650000</v>
      </c>
      <c r="AD148" s="25"/>
      <c r="AE148" s="20"/>
      <c r="AF148" s="21">
        <f t="shared" ref="AF148:AF152" si="198">SUM(AD148:AE148)</f>
        <v>0</v>
      </c>
      <c r="AG148" s="25"/>
      <c r="AH148" s="20"/>
      <c r="AI148" s="21">
        <f t="shared" ref="AI148:AI152" si="199">SUM(AG148:AH148)</f>
        <v>0</v>
      </c>
      <c r="AJ148" s="25"/>
      <c r="AK148" s="25"/>
      <c r="AL148" s="25"/>
      <c r="AM148" s="25"/>
      <c r="AN148" s="20"/>
      <c r="AO148" s="21">
        <f t="shared" ref="AO148:AO152" si="200">SUM(AJ148:AN148)</f>
        <v>0</v>
      </c>
      <c r="AP148" s="4">
        <f t="shared" ref="AP148:AR152" si="201">F148+L148+R148+X148+AJ148</f>
        <v>0</v>
      </c>
      <c r="AQ148" s="4">
        <f t="shared" si="201"/>
        <v>3113000</v>
      </c>
      <c r="AR148" s="4">
        <f t="shared" si="201"/>
        <v>1848000</v>
      </c>
      <c r="AS148" s="4">
        <f t="shared" ref="AS148:AT152" si="202">I148+O148+U148+AA148+AD148+AG148+AM148</f>
        <v>0</v>
      </c>
      <c r="AT148" s="94">
        <f t="shared" si="202"/>
        <v>0</v>
      </c>
      <c r="AU148" s="9">
        <f t="shared" ref="AU148:AU152" si="203">SUM(AP148:AT148)</f>
        <v>4961000</v>
      </c>
    </row>
    <row r="149" spans="1:47" ht="31.5">
      <c r="A149" s="186"/>
      <c r="B149" s="8">
        <v>2</v>
      </c>
      <c r="C149" s="40" t="s">
        <v>278</v>
      </c>
      <c r="D149" s="41" t="s">
        <v>279</v>
      </c>
      <c r="E149" s="4" t="s">
        <v>275</v>
      </c>
      <c r="F149" s="4"/>
      <c r="G149" s="4"/>
      <c r="H149" s="4"/>
      <c r="I149" s="4"/>
      <c r="J149" s="4"/>
      <c r="K149" s="9">
        <f t="shared" si="194"/>
        <v>0</v>
      </c>
      <c r="L149" s="76"/>
      <c r="M149" s="76"/>
      <c r="N149" s="76">
        <v>360000</v>
      </c>
      <c r="O149" s="76">
        <v>705000</v>
      </c>
      <c r="P149" s="4">
        <f>130000+225000+135000+120000+90000</f>
        <v>700000</v>
      </c>
      <c r="Q149" s="9">
        <f t="shared" si="195"/>
        <v>1765000</v>
      </c>
      <c r="R149" s="20"/>
      <c r="S149" s="20"/>
      <c r="T149" s="20"/>
      <c r="U149" s="20"/>
      <c r="V149" s="20"/>
      <c r="W149" s="9">
        <f t="shared" si="196"/>
        <v>0</v>
      </c>
      <c r="X149" s="20"/>
      <c r="Y149" s="25"/>
      <c r="Z149" s="25"/>
      <c r="AA149" s="25"/>
      <c r="AB149" s="20"/>
      <c r="AC149" s="21">
        <f t="shared" si="197"/>
        <v>0</v>
      </c>
      <c r="AD149" s="25"/>
      <c r="AE149" s="20"/>
      <c r="AF149" s="21">
        <f t="shared" si="198"/>
        <v>0</v>
      </c>
      <c r="AG149" s="25"/>
      <c r="AH149" s="20"/>
      <c r="AI149" s="21">
        <f t="shared" si="199"/>
        <v>0</v>
      </c>
      <c r="AJ149" s="25"/>
      <c r="AK149" s="25"/>
      <c r="AL149" s="25"/>
      <c r="AM149" s="25"/>
      <c r="AN149" s="20"/>
      <c r="AO149" s="21">
        <f t="shared" si="200"/>
        <v>0</v>
      </c>
      <c r="AP149" s="4">
        <f t="shared" si="201"/>
        <v>0</v>
      </c>
      <c r="AQ149" s="4">
        <f t="shared" si="201"/>
        <v>0</v>
      </c>
      <c r="AR149" s="4">
        <f t="shared" si="201"/>
        <v>360000</v>
      </c>
      <c r="AS149" s="4">
        <f t="shared" si="202"/>
        <v>705000</v>
      </c>
      <c r="AT149" s="94">
        <f t="shared" si="202"/>
        <v>700000</v>
      </c>
      <c r="AU149" s="9">
        <f t="shared" si="203"/>
        <v>1765000</v>
      </c>
    </row>
    <row r="150" spans="1:47">
      <c r="A150" s="186"/>
      <c r="B150" s="8">
        <v>3</v>
      </c>
      <c r="C150" s="1" t="s">
        <v>280</v>
      </c>
      <c r="D150" s="41" t="s">
        <v>416</v>
      </c>
      <c r="E150" s="4" t="s">
        <v>275</v>
      </c>
      <c r="F150" s="4"/>
      <c r="G150" s="4"/>
      <c r="H150" s="4">
        <v>-155000</v>
      </c>
      <c r="I150" s="4"/>
      <c r="J150" s="4"/>
      <c r="K150" s="9">
        <f t="shared" si="194"/>
        <v>-155000</v>
      </c>
      <c r="L150" s="4"/>
      <c r="M150" s="4"/>
      <c r="N150" s="4"/>
      <c r="O150" s="4"/>
      <c r="P150" s="4"/>
      <c r="Q150" s="9">
        <f t="shared" si="195"/>
        <v>0</v>
      </c>
      <c r="R150" s="20"/>
      <c r="S150" s="22">
        <v>290000</v>
      </c>
      <c r="T150" s="20"/>
      <c r="U150" s="20">
        <v>-135000</v>
      </c>
      <c r="V150" s="20"/>
      <c r="W150" s="9">
        <f t="shared" si="196"/>
        <v>155000</v>
      </c>
      <c r="X150" s="20"/>
      <c r="Y150" s="25"/>
      <c r="Z150" s="20"/>
      <c r="AA150" s="20"/>
      <c r="AB150" s="20"/>
      <c r="AC150" s="21">
        <f t="shared" si="197"/>
        <v>0</v>
      </c>
      <c r="AD150" s="25"/>
      <c r="AE150" s="20"/>
      <c r="AF150" s="21">
        <f t="shared" si="198"/>
        <v>0</v>
      </c>
      <c r="AG150" s="25"/>
      <c r="AH150" s="20"/>
      <c r="AI150" s="21">
        <f t="shared" si="199"/>
        <v>0</v>
      </c>
      <c r="AJ150" s="25"/>
      <c r="AK150" s="25"/>
      <c r="AL150" s="25"/>
      <c r="AM150" s="25"/>
      <c r="AN150" s="20"/>
      <c r="AO150" s="21">
        <f t="shared" si="200"/>
        <v>0</v>
      </c>
      <c r="AP150" s="4">
        <f t="shared" si="201"/>
        <v>0</v>
      </c>
      <c r="AQ150" s="4">
        <f t="shared" si="201"/>
        <v>290000</v>
      </c>
      <c r="AR150" s="4">
        <f t="shared" si="201"/>
        <v>-155000</v>
      </c>
      <c r="AS150" s="4">
        <f t="shared" si="202"/>
        <v>-135000</v>
      </c>
      <c r="AT150" s="94">
        <f t="shared" si="202"/>
        <v>0</v>
      </c>
      <c r="AU150" s="9">
        <f t="shared" si="203"/>
        <v>0</v>
      </c>
    </row>
    <row r="151" spans="1:47">
      <c r="A151" s="186"/>
      <c r="B151" s="8">
        <v>4</v>
      </c>
      <c r="C151" s="1" t="s">
        <v>281</v>
      </c>
      <c r="D151" s="4" t="s">
        <v>282</v>
      </c>
      <c r="E151" s="4" t="s">
        <v>275</v>
      </c>
      <c r="F151" s="4"/>
      <c r="G151" s="4">
        <v>155000</v>
      </c>
      <c r="H151" s="4"/>
      <c r="I151" s="4">
        <v>72000</v>
      </c>
      <c r="J151" s="4"/>
      <c r="K151" s="9">
        <f t="shared" si="194"/>
        <v>227000</v>
      </c>
      <c r="L151" s="4"/>
      <c r="M151" s="4"/>
      <c r="N151" s="4"/>
      <c r="O151" s="4"/>
      <c r="P151" s="4"/>
      <c r="Q151" s="9">
        <f t="shared" si="195"/>
        <v>0</v>
      </c>
      <c r="R151" s="20"/>
      <c r="S151" s="20"/>
      <c r="T151" s="20"/>
      <c r="U151" s="20"/>
      <c r="V151" s="20"/>
      <c r="W151" s="9">
        <f t="shared" si="196"/>
        <v>0</v>
      </c>
      <c r="X151" s="20"/>
      <c r="Y151" s="20"/>
      <c r="Z151" s="20"/>
      <c r="AA151" s="20"/>
      <c r="AB151" s="20"/>
      <c r="AC151" s="21">
        <f t="shared" si="197"/>
        <v>0</v>
      </c>
      <c r="AD151" s="25"/>
      <c r="AE151" s="20"/>
      <c r="AF151" s="21">
        <f t="shared" si="198"/>
        <v>0</v>
      </c>
      <c r="AG151" s="25"/>
      <c r="AH151" s="20"/>
      <c r="AI151" s="21">
        <f t="shared" si="199"/>
        <v>0</v>
      </c>
      <c r="AJ151" s="25"/>
      <c r="AK151" s="25"/>
      <c r="AL151" s="25"/>
      <c r="AM151" s="25"/>
      <c r="AN151" s="20"/>
      <c r="AO151" s="21">
        <f t="shared" si="200"/>
        <v>0</v>
      </c>
      <c r="AP151" s="4">
        <f t="shared" si="201"/>
        <v>0</v>
      </c>
      <c r="AQ151" s="4">
        <f t="shared" si="201"/>
        <v>155000</v>
      </c>
      <c r="AR151" s="4">
        <f t="shared" si="201"/>
        <v>0</v>
      </c>
      <c r="AS151" s="4">
        <f t="shared" si="202"/>
        <v>72000</v>
      </c>
      <c r="AT151" s="94">
        <f t="shared" si="202"/>
        <v>0</v>
      </c>
      <c r="AU151" s="9">
        <f t="shared" si="203"/>
        <v>227000</v>
      </c>
    </row>
    <row r="152" spans="1:47" ht="31.5">
      <c r="A152" s="187"/>
      <c r="B152" s="8">
        <v>5</v>
      </c>
      <c r="C152" s="1" t="s">
        <v>283</v>
      </c>
      <c r="D152" s="4" t="s">
        <v>284</v>
      </c>
      <c r="E152" s="4" t="s">
        <v>275</v>
      </c>
      <c r="F152" s="4">
        <v>155000</v>
      </c>
      <c r="G152" s="4">
        <v>152000</v>
      </c>
      <c r="H152" s="4">
        <v>514500</v>
      </c>
      <c r="I152" s="4">
        <v>508000</v>
      </c>
      <c r="J152" s="4">
        <f>24500+73000+101000+91000+71000</f>
        <v>360500</v>
      </c>
      <c r="K152" s="9">
        <f t="shared" si="194"/>
        <v>1690000</v>
      </c>
      <c r="L152" s="4"/>
      <c r="M152" s="4"/>
      <c r="N152" s="4"/>
      <c r="O152" s="4"/>
      <c r="P152" s="4"/>
      <c r="Q152" s="9">
        <f t="shared" si="195"/>
        <v>0</v>
      </c>
      <c r="R152" s="20"/>
      <c r="S152" s="20"/>
      <c r="T152" s="20"/>
      <c r="U152" s="20"/>
      <c r="V152" s="20"/>
      <c r="W152" s="9">
        <f t="shared" si="196"/>
        <v>0</v>
      </c>
      <c r="X152" s="20"/>
      <c r="Y152" s="20"/>
      <c r="Z152" s="25"/>
      <c r="AA152" s="25"/>
      <c r="AB152" s="20"/>
      <c r="AC152" s="21">
        <f t="shared" si="197"/>
        <v>0</v>
      </c>
      <c r="AD152" s="25"/>
      <c r="AE152" s="20"/>
      <c r="AF152" s="21">
        <f t="shared" si="198"/>
        <v>0</v>
      </c>
      <c r="AG152" s="25"/>
      <c r="AH152" s="20"/>
      <c r="AI152" s="21">
        <f t="shared" si="199"/>
        <v>0</v>
      </c>
      <c r="AJ152" s="25"/>
      <c r="AK152" s="25"/>
      <c r="AL152" s="25"/>
      <c r="AM152" s="25"/>
      <c r="AN152" s="20"/>
      <c r="AO152" s="21">
        <f t="shared" si="200"/>
        <v>0</v>
      </c>
      <c r="AP152" s="4">
        <f t="shared" si="201"/>
        <v>155000</v>
      </c>
      <c r="AQ152" s="4">
        <f t="shared" si="201"/>
        <v>152000</v>
      </c>
      <c r="AR152" s="4">
        <f t="shared" si="201"/>
        <v>514500</v>
      </c>
      <c r="AS152" s="4">
        <f t="shared" si="202"/>
        <v>508000</v>
      </c>
      <c r="AT152" s="94">
        <f t="shared" si="202"/>
        <v>360500</v>
      </c>
      <c r="AU152" s="9">
        <f t="shared" si="203"/>
        <v>1690000</v>
      </c>
    </row>
    <row r="153" spans="1:47" s="36" customFormat="1">
      <c r="A153" s="34"/>
      <c r="B153" s="34"/>
      <c r="C153" s="35" t="s">
        <v>287</v>
      </c>
      <c r="D153" s="37"/>
      <c r="E153" s="37"/>
      <c r="F153" s="37">
        <f t="shared" ref="F153:AU153" si="204">SUM(F148:F152)</f>
        <v>155000</v>
      </c>
      <c r="G153" s="37">
        <f t="shared" si="204"/>
        <v>1012000</v>
      </c>
      <c r="H153" s="37">
        <f t="shared" si="204"/>
        <v>799500</v>
      </c>
      <c r="I153" s="37">
        <f t="shared" si="204"/>
        <v>580000</v>
      </c>
      <c r="J153" s="37">
        <f t="shared" si="204"/>
        <v>360500</v>
      </c>
      <c r="K153" s="37">
        <f t="shared" si="204"/>
        <v>2907000</v>
      </c>
      <c r="L153" s="37">
        <f t="shared" si="204"/>
        <v>0</v>
      </c>
      <c r="M153" s="37">
        <f t="shared" si="204"/>
        <v>0</v>
      </c>
      <c r="N153" s="37">
        <f t="shared" si="204"/>
        <v>360000</v>
      </c>
      <c r="O153" s="37">
        <f t="shared" si="204"/>
        <v>705000</v>
      </c>
      <c r="P153" s="37">
        <f t="shared" si="204"/>
        <v>700000</v>
      </c>
      <c r="Q153" s="37">
        <f t="shared" si="204"/>
        <v>1765000</v>
      </c>
      <c r="R153" s="37">
        <f t="shared" si="204"/>
        <v>0</v>
      </c>
      <c r="S153" s="37">
        <f t="shared" si="204"/>
        <v>1630000</v>
      </c>
      <c r="T153" s="37">
        <f t="shared" si="204"/>
        <v>826000</v>
      </c>
      <c r="U153" s="37">
        <f t="shared" si="204"/>
        <v>-135000</v>
      </c>
      <c r="V153" s="37">
        <f t="shared" si="204"/>
        <v>0</v>
      </c>
      <c r="W153" s="37">
        <f t="shared" si="204"/>
        <v>2321000</v>
      </c>
      <c r="X153" s="37">
        <f t="shared" si="204"/>
        <v>0</v>
      </c>
      <c r="Y153" s="37">
        <f t="shared" si="204"/>
        <v>1068000</v>
      </c>
      <c r="Z153" s="37">
        <f t="shared" si="204"/>
        <v>582000</v>
      </c>
      <c r="AA153" s="37">
        <f t="shared" si="204"/>
        <v>0</v>
      </c>
      <c r="AB153" s="37">
        <f t="shared" si="204"/>
        <v>0</v>
      </c>
      <c r="AC153" s="37">
        <f t="shared" si="204"/>
        <v>1650000</v>
      </c>
      <c r="AD153" s="37">
        <f t="shared" si="204"/>
        <v>0</v>
      </c>
      <c r="AE153" s="37">
        <f t="shared" si="204"/>
        <v>0</v>
      </c>
      <c r="AF153" s="37">
        <f t="shared" si="204"/>
        <v>0</v>
      </c>
      <c r="AG153" s="37">
        <f t="shared" si="204"/>
        <v>0</v>
      </c>
      <c r="AH153" s="37">
        <f t="shared" si="204"/>
        <v>0</v>
      </c>
      <c r="AI153" s="37">
        <f t="shared" si="204"/>
        <v>0</v>
      </c>
      <c r="AJ153" s="37">
        <f t="shared" si="204"/>
        <v>0</v>
      </c>
      <c r="AK153" s="37">
        <f t="shared" si="204"/>
        <v>0</v>
      </c>
      <c r="AL153" s="37">
        <f t="shared" si="204"/>
        <v>0</v>
      </c>
      <c r="AM153" s="37">
        <f t="shared" si="204"/>
        <v>0</v>
      </c>
      <c r="AN153" s="37">
        <f t="shared" si="204"/>
        <v>0</v>
      </c>
      <c r="AO153" s="37">
        <f t="shared" si="204"/>
        <v>0</v>
      </c>
      <c r="AP153" s="37">
        <f t="shared" si="204"/>
        <v>155000</v>
      </c>
      <c r="AQ153" s="37">
        <f t="shared" si="204"/>
        <v>3710000</v>
      </c>
      <c r="AR153" s="37">
        <f t="shared" si="204"/>
        <v>2567500</v>
      </c>
      <c r="AS153" s="37">
        <f t="shared" si="204"/>
        <v>1150000</v>
      </c>
      <c r="AT153" s="37">
        <f t="shared" si="204"/>
        <v>1060500</v>
      </c>
      <c r="AU153" s="37">
        <f t="shared" si="204"/>
        <v>8643000</v>
      </c>
    </row>
    <row r="154" spans="1:47" ht="31.5">
      <c r="A154" s="185" t="s">
        <v>21</v>
      </c>
      <c r="B154" s="8">
        <v>1</v>
      </c>
      <c r="C154" s="55" t="s">
        <v>288</v>
      </c>
      <c r="D154" s="56" t="s">
        <v>289</v>
      </c>
      <c r="E154" s="56" t="s">
        <v>21</v>
      </c>
      <c r="F154" s="56"/>
      <c r="G154" s="56">
        <v>155000</v>
      </c>
      <c r="H154" s="56">
        <f>100000+50000</f>
        <v>150000</v>
      </c>
      <c r="I154" s="56">
        <v>651500</v>
      </c>
      <c r="J154" s="4">
        <f>157500+180500+175000+133000+110500</f>
        <v>756500</v>
      </c>
      <c r="K154" s="9">
        <f t="shared" ref="K154:K161" si="205">SUM(F154:J154)</f>
        <v>1713000</v>
      </c>
      <c r="L154" s="56"/>
      <c r="M154" s="56"/>
      <c r="N154" s="56"/>
      <c r="O154" s="56"/>
      <c r="P154" s="4"/>
      <c r="Q154" s="9">
        <f t="shared" ref="Q154:Q161" si="206">SUM(L154:P154)</f>
        <v>0</v>
      </c>
      <c r="R154" s="57"/>
      <c r="S154" s="57"/>
      <c r="T154" s="57"/>
      <c r="U154" s="57"/>
      <c r="V154" s="57"/>
      <c r="W154" s="9">
        <f t="shared" ref="W154:W161" si="207">SUM(R154:V154)</f>
        <v>0</v>
      </c>
      <c r="X154" s="57"/>
      <c r="Y154" s="57"/>
      <c r="Z154" s="57"/>
      <c r="AA154" s="57"/>
      <c r="AB154" s="20"/>
      <c r="AC154" s="21">
        <f t="shared" ref="AC154:AC161" si="208">SUM(X154:AB154)</f>
        <v>0</v>
      </c>
      <c r="AD154" s="58"/>
      <c r="AE154" s="20"/>
      <c r="AF154" s="21">
        <f t="shared" ref="AF154:AF161" si="209">SUM(AD154:AE154)</f>
        <v>0</v>
      </c>
      <c r="AG154" s="58"/>
      <c r="AH154" s="57"/>
      <c r="AI154" s="21">
        <f t="shared" ref="AI154:AI161" si="210">SUM(AG154:AH154)</f>
        <v>0</v>
      </c>
      <c r="AJ154" s="58"/>
      <c r="AK154" s="58"/>
      <c r="AL154" s="58">
        <v>100000</v>
      </c>
      <c r="AM154" s="58">
        <v>125000</v>
      </c>
      <c r="AN154" s="20"/>
      <c r="AO154" s="21">
        <f t="shared" ref="AO154:AO161" si="211">SUM(AJ154:AN154)</f>
        <v>225000</v>
      </c>
      <c r="AP154" s="4">
        <f t="shared" ref="AP154:AR161" si="212">F154+L154+R154+X154+AJ154</f>
        <v>0</v>
      </c>
      <c r="AQ154" s="4">
        <f t="shared" si="212"/>
        <v>155000</v>
      </c>
      <c r="AR154" s="4">
        <f t="shared" si="212"/>
        <v>250000</v>
      </c>
      <c r="AS154" s="4">
        <f t="shared" ref="AS154:AT161" si="213">I154+O154+U154+AA154+AD154+AG154+AM154</f>
        <v>776500</v>
      </c>
      <c r="AT154" s="94">
        <f t="shared" si="213"/>
        <v>756500</v>
      </c>
      <c r="AU154" s="9">
        <f t="shared" ref="AU154:AU161" si="214">SUM(AP154:AT154)</f>
        <v>1938000</v>
      </c>
    </row>
    <row r="155" spans="1:47" ht="31.5">
      <c r="A155" s="186"/>
      <c r="B155" s="8">
        <v>2</v>
      </c>
      <c r="C155" s="1" t="s">
        <v>290</v>
      </c>
      <c r="D155" s="91" t="s">
        <v>417</v>
      </c>
      <c r="E155" s="4" t="s">
        <v>21</v>
      </c>
      <c r="F155" s="4"/>
      <c r="G155" s="4"/>
      <c r="H155" s="4"/>
      <c r="I155" s="4"/>
      <c r="J155" s="4"/>
      <c r="K155" s="9">
        <f t="shared" si="205"/>
        <v>0</v>
      </c>
      <c r="L155" s="4"/>
      <c r="M155" s="4"/>
      <c r="N155" s="4"/>
      <c r="O155" s="4"/>
      <c r="P155" s="4"/>
      <c r="Q155" s="9">
        <f t="shared" si="206"/>
        <v>0</v>
      </c>
      <c r="R155" s="20"/>
      <c r="S155" s="20"/>
      <c r="T155" s="20"/>
      <c r="U155" s="20"/>
      <c r="V155" s="20"/>
      <c r="W155" s="9">
        <f t="shared" si="207"/>
        <v>0</v>
      </c>
      <c r="X155" s="20"/>
      <c r="Y155" s="20">
        <v>256750</v>
      </c>
      <c r="Z155" s="25">
        <v>340750</v>
      </c>
      <c r="AA155" s="24">
        <v>950000</v>
      </c>
      <c r="AB155" s="20">
        <f>70000+210000+420000+140000</f>
        <v>840000</v>
      </c>
      <c r="AC155" s="21">
        <f t="shared" si="208"/>
        <v>2387500</v>
      </c>
      <c r="AD155" s="25"/>
      <c r="AE155" s="20"/>
      <c r="AF155" s="21">
        <f t="shared" si="209"/>
        <v>0</v>
      </c>
      <c r="AG155" s="25"/>
      <c r="AH155" s="20"/>
      <c r="AI155" s="21">
        <f t="shared" si="210"/>
        <v>0</v>
      </c>
      <c r="AJ155" s="25"/>
      <c r="AK155" s="25"/>
      <c r="AL155" s="25"/>
      <c r="AM155" s="25"/>
      <c r="AN155" s="20"/>
      <c r="AO155" s="21">
        <f t="shared" si="211"/>
        <v>0</v>
      </c>
      <c r="AP155" s="4">
        <f t="shared" si="212"/>
        <v>0</v>
      </c>
      <c r="AQ155" s="4">
        <f t="shared" si="212"/>
        <v>256750</v>
      </c>
      <c r="AR155" s="4">
        <f t="shared" si="212"/>
        <v>340750</v>
      </c>
      <c r="AS155" s="4">
        <f t="shared" si="213"/>
        <v>950000</v>
      </c>
      <c r="AT155" s="94">
        <f t="shared" si="213"/>
        <v>840000</v>
      </c>
      <c r="AU155" s="9">
        <f t="shared" si="214"/>
        <v>2387500</v>
      </c>
    </row>
    <row r="156" spans="1:47" ht="47.25">
      <c r="A156" s="186"/>
      <c r="B156" s="8">
        <v>3</v>
      </c>
      <c r="C156" s="42" t="s">
        <v>291</v>
      </c>
      <c r="D156" s="43" t="s">
        <v>292</v>
      </c>
      <c r="E156" s="4" t="s">
        <v>21</v>
      </c>
      <c r="F156" s="4"/>
      <c r="G156" s="4"/>
      <c r="H156" s="4"/>
      <c r="I156" s="4"/>
      <c r="J156" s="4"/>
      <c r="K156" s="9">
        <f t="shared" si="205"/>
        <v>0</v>
      </c>
      <c r="L156" s="4"/>
      <c r="M156" s="4"/>
      <c r="N156" s="4"/>
      <c r="O156" s="4"/>
      <c r="P156" s="4"/>
      <c r="Q156" s="9">
        <f t="shared" si="206"/>
        <v>0</v>
      </c>
      <c r="R156" s="20"/>
      <c r="S156" s="20"/>
      <c r="T156" s="4">
        <v>471935</v>
      </c>
      <c r="U156" s="22">
        <v>360000</v>
      </c>
      <c r="V156" s="22">
        <f>825000+225000+225000+225000+150000</f>
        <v>1650000</v>
      </c>
      <c r="W156" s="9">
        <f t="shared" si="207"/>
        <v>2481935</v>
      </c>
      <c r="X156" s="20"/>
      <c r="Y156" s="20"/>
      <c r="Z156" s="25"/>
      <c r="AA156" s="25"/>
      <c r="AB156" s="20"/>
      <c r="AC156" s="21">
        <f t="shared" si="208"/>
        <v>0</v>
      </c>
      <c r="AD156" s="25"/>
      <c r="AE156" s="20"/>
      <c r="AF156" s="21">
        <f t="shared" si="209"/>
        <v>0</v>
      </c>
      <c r="AG156" s="25"/>
      <c r="AH156" s="20"/>
      <c r="AI156" s="21">
        <f t="shared" si="210"/>
        <v>0</v>
      </c>
      <c r="AJ156" s="25"/>
      <c r="AK156" s="25"/>
      <c r="AL156" s="25"/>
      <c r="AM156" s="25"/>
      <c r="AN156" s="20"/>
      <c r="AO156" s="21">
        <f t="shared" si="211"/>
        <v>0</v>
      </c>
      <c r="AP156" s="4">
        <f t="shared" si="212"/>
        <v>0</v>
      </c>
      <c r="AQ156" s="4">
        <f t="shared" si="212"/>
        <v>0</v>
      </c>
      <c r="AR156" s="4">
        <f t="shared" si="212"/>
        <v>471935</v>
      </c>
      <c r="AS156" s="4">
        <f t="shared" si="213"/>
        <v>360000</v>
      </c>
      <c r="AT156" s="94">
        <f t="shared" si="213"/>
        <v>1650000</v>
      </c>
      <c r="AU156" s="9">
        <f t="shared" si="214"/>
        <v>2481935</v>
      </c>
    </row>
    <row r="157" spans="1:47" ht="30">
      <c r="A157" s="186"/>
      <c r="B157" s="8">
        <v>5</v>
      </c>
      <c r="C157" s="2" t="s">
        <v>15</v>
      </c>
      <c r="D157" s="13" t="s">
        <v>41</v>
      </c>
      <c r="E157" s="4" t="s">
        <v>21</v>
      </c>
      <c r="F157" s="4"/>
      <c r="G157" s="4"/>
      <c r="H157" s="4"/>
      <c r="I157" s="4"/>
      <c r="J157" s="4"/>
      <c r="K157" s="9">
        <f t="shared" si="205"/>
        <v>0</v>
      </c>
      <c r="L157" s="4"/>
      <c r="M157" s="4"/>
      <c r="N157" s="4"/>
      <c r="O157" s="4"/>
      <c r="P157" s="4"/>
      <c r="Q157" s="9">
        <f t="shared" si="206"/>
        <v>0</v>
      </c>
      <c r="R157" s="20"/>
      <c r="S157" s="20"/>
      <c r="T157" s="4"/>
      <c r="U157" s="20"/>
      <c r="V157" s="20"/>
      <c r="W157" s="9">
        <f t="shared" si="207"/>
        <v>0</v>
      </c>
      <c r="X157" s="20"/>
      <c r="Y157" s="20"/>
      <c r="Z157" s="25"/>
      <c r="AA157" s="25"/>
      <c r="AB157" s="20"/>
      <c r="AC157" s="21">
        <f t="shared" si="208"/>
        <v>0</v>
      </c>
      <c r="AD157" s="25"/>
      <c r="AE157" s="20"/>
      <c r="AF157" s="21">
        <f t="shared" si="209"/>
        <v>0</v>
      </c>
      <c r="AG157" s="25"/>
      <c r="AH157" s="20"/>
      <c r="AI157" s="21">
        <f t="shared" si="210"/>
        <v>0</v>
      </c>
      <c r="AJ157" s="25"/>
      <c r="AK157" s="25">
        <v>100000</v>
      </c>
      <c r="AL157" s="25">
        <v>248400</v>
      </c>
      <c r="AM157" s="25">
        <v>240000</v>
      </c>
      <c r="AN157" s="20"/>
      <c r="AO157" s="21">
        <f t="shared" si="211"/>
        <v>588400</v>
      </c>
      <c r="AP157" s="4">
        <f t="shared" si="212"/>
        <v>0</v>
      </c>
      <c r="AQ157" s="4">
        <f t="shared" si="212"/>
        <v>100000</v>
      </c>
      <c r="AR157" s="4">
        <f t="shared" si="212"/>
        <v>248400</v>
      </c>
      <c r="AS157" s="4">
        <f t="shared" si="213"/>
        <v>240000</v>
      </c>
      <c r="AT157" s="94">
        <f t="shared" si="213"/>
        <v>0</v>
      </c>
      <c r="AU157" s="9">
        <f t="shared" si="214"/>
        <v>588400</v>
      </c>
    </row>
    <row r="158" spans="1:47" ht="31.5">
      <c r="A158" s="186"/>
      <c r="B158" s="8">
        <v>6</v>
      </c>
      <c r="C158" s="1" t="s">
        <v>294</v>
      </c>
      <c r="D158" s="91" t="s">
        <v>419</v>
      </c>
      <c r="E158" s="4" t="s">
        <v>21</v>
      </c>
      <c r="F158" s="4"/>
      <c r="G158" s="4"/>
      <c r="H158" s="4"/>
      <c r="I158" s="4"/>
      <c r="J158" s="4"/>
      <c r="K158" s="9">
        <f t="shared" si="205"/>
        <v>0</v>
      </c>
      <c r="L158" s="4"/>
      <c r="M158" s="4"/>
      <c r="N158" s="4"/>
      <c r="O158" s="4"/>
      <c r="P158" s="4"/>
      <c r="Q158" s="9">
        <f t="shared" si="206"/>
        <v>0</v>
      </c>
      <c r="R158" s="20"/>
      <c r="S158" s="20"/>
      <c r="T158" s="4"/>
      <c r="U158" s="20"/>
      <c r="V158" s="20"/>
      <c r="W158" s="9">
        <f t="shared" si="207"/>
        <v>0</v>
      </c>
      <c r="X158" s="20"/>
      <c r="Y158" s="25">
        <v>394250</v>
      </c>
      <c r="Z158" s="25">
        <v>480150</v>
      </c>
      <c r="AA158" s="25">
        <v>736500</v>
      </c>
      <c r="AB158" s="20">
        <f>133000+210000+210000+210000+140000</f>
        <v>903000</v>
      </c>
      <c r="AC158" s="21">
        <f t="shared" si="208"/>
        <v>2513900</v>
      </c>
      <c r="AD158" s="25"/>
      <c r="AE158" s="20"/>
      <c r="AF158" s="21">
        <f t="shared" si="209"/>
        <v>0</v>
      </c>
      <c r="AG158" s="25"/>
      <c r="AH158" s="20"/>
      <c r="AI158" s="21">
        <f t="shared" si="210"/>
        <v>0</v>
      </c>
      <c r="AJ158" s="25"/>
      <c r="AK158" s="25"/>
      <c r="AL158" s="25"/>
      <c r="AM158" s="25"/>
      <c r="AN158" s="20"/>
      <c r="AO158" s="21">
        <f t="shared" si="211"/>
        <v>0</v>
      </c>
      <c r="AP158" s="4">
        <f t="shared" si="212"/>
        <v>0</v>
      </c>
      <c r="AQ158" s="4">
        <f t="shared" si="212"/>
        <v>394250</v>
      </c>
      <c r="AR158" s="4">
        <f t="shared" si="212"/>
        <v>480150</v>
      </c>
      <c r="AS158" s="4">
        <f t="shared" si="213"/>
        <v>736500</v>
      </c>
      <c r="AT158" s="94">
        <f t="shared" si="213"/>
        <v>903000</v>
      </c>
      <c r="AU158" s="9">
        <f t="shared" si="214"/>
        <v>2513900</v>
      </c>
    </row>
    <row r="159" spans="1:47" ht="31.5">
      <c r="A159" s="186"/>
      <c r="B159" s="8">
        <v>7</v>
      </c>
      <c r="C159" s="40" t="s">
        <v>295</v>
      </c>
      <c r="D159" s="41" t="s">
        <v>296</v>
      </c>
      <c r="E159" s="4" t="s">
        <v>21</v>
      </c>
      <c r="F159" s="4"/>
      <c r="G159" s="4"/>
      <c r="H159" s="4"/>
      <c r="I159" s="4"/>
      <c r="J159" s="4"/>
      <c r="K159" s="9">
        <f t="shared" si="205"/>
        <v>0</v>
      </c>
      <c r="L159" s="76">
        <v>290000</v>
      </c>
      <c r="M159" s="76">
        <v>1230000</v>
      </c>
      <c r="N159" s="76">
        <v>1610000</v>
      </c>
      <c r="O159" s="76">
        <v>300000</v>
      </c>
      <c r="P159" s="4"/>
      <c r="Q159" s="9">
        <f t="shared" si="206"/>
        <v>3430000</v>
      </c>
      <c r="R159" s="20">
        <v>290000</v>
      </c>
      <c r="S159" s="26">
        <v>609000</v>
      </c>
      <c r="T159" s="4">
        <v>2842000</v>
      </c>
      <c r="U159" s="22">
        <v>360000</v>
      </c>
      <c r="V159" s="22"/>
      <c r="W159" s="9">
        <f t="shared" si="207"/>
        <v>4101000</v>
      </c>
      <c r="X159" s="20"/>
      <c r="Y159" s="25"/>
      <c r="Z159" s="25"/>
      <c r="AA159" s="25"/>
      <c r="AB159" s="20"/>
      <c r="AC159" s="21">
        <f t="shared" si="208"/>
        <v>0</v>
      </c>
      <c r="AD159" s="25"/>
      <c r="AE159" s="20"/>
      <c r="AF159" s="21">
        <f t="shared" si="209"/>
        <v>0</v>
      </c>
      <c r="AG159" s="25">
        <v>800000</v>
      </c>
      <c r="AH159" s="20">
        <f>300000+300000+300000+300000+200000</f>
        <v>1400000</v>
      </c>
      <c r="AI159" s="21">
        <f t="shared" si="210"/>
        <v>2200000</v>
      </c>
      <c r="AJ159" s="25"/>
      <c r="AK159" s="25"/>
      <c r="AL159" s="25"/>
      <c r="AM159" s="25"/>
      <c r="AN159" s="20"/>
      <c r="AO159" s="21">
        <f t="shared" si="211"/>
        <v>0</v>
      </c>
      <c r="AP159" s="4">
        <f t="shared" si="212"/>
        <v>580000</v>
      </c>
      <c r="AQ159" s="4">
        <f t="shared" si="212"/>
        <v>1839000</v>
      </c>
      <c r="AR159" s="4">
        <f t="shared" si="212"/>
        <v>4452000</v>
      </c>
      <c r="AS159" s="4">
        <f t="shared" si="213"/>
        <v>1460000</v>
      </c>
      <c r="AT159" s="94">
        <f t="shared" si="213"/>
        <v>1400000</v>
      </c>
      <c r="AU159" s="9">
        <f t="shared" si="214"/>
        <v>9731000</v>
      </c>
    </row>
    <row r="160" spans="1:47" ht="37.5">
      <c r="A160" s="186"/>
      <c r="B160" s="8">
        <v>8</v>
      </c>
      <c r="C160" s="1" t="s">
        <v>297</v>
      </c>
      <c r="D160" s="91" t="s">
        <v>418</v>
      </c>
      <c r="E160" s="4" t="s">
        <v>21</v>
      </c>
      <c r="F160" s="4"/>
      <c r="G160" s="4"/>
      <c r="H160" s="4"/>
      <c r="I160" s="4"/>
      <c r="J160" s="4"/>
      <c r="K160" s="9">
        <f t="shared" si="205"/>
        <v>0</v>
      </c>
      <c r="L160" s="76"/>
      <c r="M160" s="76"/>
      <c r="N160" s="76"/>
      <c r="O160" s="76"/>
      <c r="P160" s="4"/>
      <c r="Q160" s="9">
        <f t="shared" si="206"/>
        <v>0</v>
      </c>
      <c r="R160" s="20"/>
      <c r="S160" s="20"/>
      <c r="T160" s="4"/>
      <c r="U160" s="20"/>
      <c r="V160" s="20"/>
      <c r="W160" s="9">
        <f t="shared" si="207"/>
        <v>0</v>
      </c>
      <c r="X160" s="20"/>
      <c r="Y160" s="25">
        <v>195000</v>
      </c>
      <c r="Z160" s="25">
        <f>238250+30000</f>
        <v>268250</v>
      </c>
      <c r="AA160" s="25">
        <v>706500</v>
      </c>
      <c r="AB160" s="20">
        <v>56000</v>
      </c>
      <c r="AC160" s="21">
        <f t="shared" si="208"/>
        <v>1225750</v>
      </c>
      <c r="AD160" s="25"/>
      <c r="AE160" s="20"/>
      <c r="AF160" s="21">
        <f t="shared" si="209"/>
        <v>0</v>
      </c>
      <c r="AG160" s="25"/>
      <c r="AH160" s="20"/>
      <c r="AI160" s="21">
        <f t="shared" si="210"/>
        <v>0</v>
      </c>
      <c r="AJ160" s="25"/>
      <c r="AK160" s="25"/>
      <c r="AL160" s="25"/>
      <c r="AM160" s="25"/>
      <c r="AN160" s="20"/>
      <c r="AO160" s="21">
        <f t="shared" si="211"/>
        <v>0</v>
      </c>
      <c r="AP160" s="4">
        <f t="shared" si="212"/>
        <v>0</v>
      </c>
      <c r="AQ160" s="4">
        <f t="shared" si="212"/>
        <v>195000</v>
      </c>
      <c r="AR160" s="4">
        <f t="shared" si="212"/>
        <v>268250</v>
      </c>
      <c r="AS160" s="4">
        <f t="shared" si="213"/>
        <v>706500</v>
      </c>
      <c r="AT160" s="94">
        <f t="shared" si="213"/>
        <v>56000</v>
      </c>
      <c r="AU160" s="9">
        <f t="shared" si="214"/>
        <v>1225750</v>
      </c>
    </row>
    <row r="161" spans="1:47" ht="31.5">
      <c r="A161" s="187"/>
      <c r="B161" s="8">
        <v>9</v>
      </c>
      <c r="C161" s="42" t="s">
        <v>298</v>
      </c>
      <c r="D161" s="43" t="s">
        <v>299</v>
      </c>
      <c r="E161" s="4" t="s">
        <v>21</v>
      </c>
      <c r="F161" s="4"/>
      <c r="G161" s="4"/>
      <c r="H161" s="4"/>
      <c r="I161" s="4"/>
      <c r="J161" s="4"/>
      <c r="K161" s="9">
        <f t="shared" si="205"/>
        <v>0</v>
      </c>
      <c r="L161" s="4"/>
      <c r="M161" s="4"/>
      <c r="N161" s="4"/>
      <c r="O161" s="4"/>
      <c r="P161" s="4"/>
      <c r="Q161" s="9">
        <f t="shared" si="206"/>
        <v>0</v>
      </c>
      <c r="R161" s="20"/>
      <c r="S161" s="20"/>
      <c r="T161" s="4">
        <v>439000</v>
      </c>
      <c r="U161" s="22">
        <v>376000</v>
      </c>
      <c r="V161" s="22">
        <f>1105000+225000+225000+150000</f>
        <v>1705000</v>
      </c>
      <c r="W161" s="9">
        <f t="shared" si="207"/>
        <v>2520000</v>
      </c>
      <c r="X161" s="20"/>
      <c r="Y161" s="25"/>
      <c r="Z161" s="25"/>
      <c r="AA161" s="25"/>
      <c r="AB161" s="20"/>
      <c r="AC161" s="21">
        <f t="shared" si="208"/>
        <v>0</v>
      </c>
      <c r="AD161" s="25"/>
      <c r="AE161" s="20"/>
      <c r="AF161" s="21">
        <f t="shared" si="209"/>
        <v>0</v>
      </c>
      <c r="AG161" s="25"/>
      <c r="AH161" s="20"/>
      <c r="AI161" s="21">
        <f t="shared" si="210"/>
        <v>0</v>
      </c>
      <c r="AJ161" s="25"/>
      <c r="AK161" s="25"/>
      <c r="AL161" s="25"/>
      <c r="AM161" s="25"/>
      <c r="AN161" s="20"/>
      <c r="AO161" s="21">
        <f t="shared" si="211"/>
        <v>0</v>
      </c>
      <c r="AP161" s="4">
        <f t="shared" si="212"/>
        <v>0</v>
      </c>
      <c r="AQ161" s="4">
        <f t="shared" si="212"/>
        <v>0</v>
      </c>
      <c r="AR161" s="4">
        <f t="shared" si="212"/>
        <v>439000</v>
      </c>
      <c r="AS161" s="4">
        <f t="shared" si="213"/>
        <v>376000</v>
      </c>
      <c r="AT161" s="94">
        <f t="shared" si="213"/>
        <v>1705000</v>
      </c>
      <c r="AU161" s="9">
        <f t="shared" si="214"/>
        <v>2520000</v>
      </c>
    </row>
    <row r="162" spans="1:47" s="38" customFormat="1">
      <c r="A162" s="34"/>
      <c r="B162" s="34"/>
      <c r="C162" s="59" t="s">
        <v>300</v>
      </c>
      <c r="D162" s="60"/>
      <c r="E162" s="37"/>
      <c r="F162" s="37">
        <f>SUM(F154:F161)</f>
        <v>0</v>
      </c>
      <c r="G162" s="37">
        <f t="shared" ref="G162:AU162" si="215">SUM(G154:G161)</f>
        <v>155000</v>
      </c>
      <c r="H162" s="37">
        <f t="shared" si="215"/>
        <v>150000</v>
      </c>
      <c r="I162" s="37">
        <f t="shared" si="215"/>
        <v>651500</v>
      </c>
      <c r="J162" s="37">
        <f t="shared" si="215"/>
        <v>756500</v>
      </c>
      <c r="K162" s="37">
        <f t="shared" si="215"/>
        <v>1713000</v>
      </c>
      <c r="L162" s="37">
        <f t="shared" si="215"/>
        <v>290000</v>
      </c>
      <c r="M162" s="37">
        <f t="shared" si="215"/>
        <v>1230000</v>
      </c>
      <c r="N162" s="37">
        <f t="shared" si="215"/>
        <v>1610000</v>
      </c>
      <c r="O162" s="37">
        <f t="shared" si="215"/>
        <v>300000</v>
      </c>
      <c r="P162" s="37">
        <f t="shared" si="215"/>
        <v>0</v>
      </c>
      <c r="Q162" s="37">
        <f t="shared" si="215"/>
        <v>3430000</v>
      </c>
      <c r="R162" s="37">
        <f t="shared" si="215"/>
        <v>290000</v>
      </c>
      <c r="S162" s="37">
        <f t="shared" si="215"/>
        <v>609000</v>
      </c>
      <c r="T162" s="37">
        <f t="shared" si="215"/>
        <v>3752935</v>
      </c>
      <c r="U162" s="37">
        <f t="shared" si="215"/>
        <v>1096000</v>
      </c>
      <c r="V162" s="37">
        <f t="shared" si="215"/>
        <v>3355000</v>
      </c>
      <c r="W162" s="37">
        <f t="shared" si="215"/>
        <v>9102935</v>
      </c>
      <c r="X162" s="37">
        <f t="shared" si="215"/>
        <v>0</v>
      </c>
      <c r="Y162" s="37">
        <f t="shared" si="215"/>
        <v>846000</v>
      </c>
      <c r="Z162" s="37">
        <f t="shared" si="215"/>
        <v>1089150</v>
      </c>
      <c r="AA162" s="37">
        <f t="shared" si="215"/>
        <v>2393000</v>
      </c>
      <c r="AB162" s="37">
        <f t="shared" si="215"/>
        <v>1799000</v>
      </c>
      <c r="AC162" s="37">
        <f t="shared" si="215"/>
        <v>6127150</v>
      </c>
      <c r="AD162" s="37">
        <f t="shared" si="215"/>
        <v>0</v>
      </c>
      <c r="AE162" s="37">
        <f t="shared" si="215"/>
        <v>0</v>
      </c>
      <c r="AF162" s="37">
        <f t="shared" si="215"/>
        <v>0</v>
      </c>
      <c r="AG162" s="37">
        <f t="shared" si="215"/>
        <v>800000</v>
      </c>
      <c r="AH162" s="37">
        <f t="shared" si="215"/>
        <v>1400000</v>
      </c>
      <c r="AI162" s="37">
        <f t="shared" si="215"/>
        <v>2200000</v>
      </c>
      <c r="AJ162" s="37">
        <f t="shared" si="215"/>
        <v>0</v>
      </c>
      <c r="AK162" s="37">
        <f t="shared" si="215"/>
        <v>100000</v>
      </c>
      <c r="AL162" s="37">
        <f t="shared" si="215"/>
        <v>348400</v>
      </c>
      <c r="AM162" s="37">
        <f t="shared" si="215"/>
        <v>365000</v>
      </c>
      <c r="AN162" s="37">
        <f t="shared" si="215"/>
        <v>0</v>
      </c>
      <c r="AO162" s="37">
        <f t="shared" si="215"/>
        <v>813400</v>
      </c>
      <c r="AP162" s="37">
        <f t="shared" si="215"/>
        <v>580000</v>
      </c>
      <c r="AQ162" s="37">
        <f t="shared" si="215"/>
        <v>2940000</v>
      </c>
      <c r="AR162" s="37">
        <f t="shared" si="215"/>
        <v>6950485</v>
      </c>
      <c r="AS162" s="37">
        <f t="shared" si="215"/>
        <v>5605500</v>
      </c>
      <c r="AT162" s="37">
        <f t="shared" si="215"/>
        <v>7310500</v>
      </c>
      <c r="AU162" s="37">
        <f t="shared" si="215"/>
        <v>23386485</v>
      </c>
    </row>
    <row r="163" spans="1:47" ht="37.5">
      <c r="A163" s="185" t="s">
        <v>32</v>
      </c>
      <c r="B163" s="8">
        <v>1</v>
      </c>
      <c r="C163" s="1" t="s">
        <v>4</v>
      </c>
      <c r="D163" s="91" t="s">
        <v>420</v>
      </c>
      <c r="E163" s="4" t="s">
        <v>32</v>
      </c>
      <c r="F163" s="4"/>
      <c r="G163" s="4"/>
      <c r="H163" s="5"/>
      <c r="I163" s="4"/>
      <c r="J163" s="4"/>
      <c r="K163" s="9">
        <f t="shared" ref="K163:K167" si="216">SUM(F163:J163)</f>
        <v>0</v>
      </c>
      <c r="L163" s="4"/>
      <c r="M163" s="4"/>
      <c r="N163" s="4"/>
      <c r="O163" s="4"/>
      <c r="P163" s="4"/>
      <c r="Q163" s="9">
        <f t="shared" ref="Q163:Q167" si="217">SUM(L163:P163)</f>
        <v>0</v>
      </c>
      <c r="R163" s="20"/>
      <c r="S163" s="20"/>
      <c r="T163" s="20"/>
      <c r="U163" s="20"/>
      <c r="V163" s="20"/>
      <c r="W163" s="9">
        <f t="shared" ref="W163:W167" si="218">SUM(R163:V163)</f>
        <v>0</v>
      </c>
      <c r="X163" s="20"/>
      <c r="Y163" s="25">
        <v>423800</v>
      </c>
      <c r="Z163" s="25">
        <v>729850</v>
      </c>
      <c r="AA163" s="25"/>
      <c r="AB163" s="20"/>
      <c r="AC163" s="21">
        <f t="shared" ref="AC163:AC167" si="219">SUM(X163:AB163)</f>
        <v>1153650</v>
      </c>
      <c r="AD163" s="25"/>
      <c r="AE163" s="20"/>
      <c r="AF163" s="21">
        <f t="shared" ref="AF163:AF167" si="220">SUM(AD163:AE163)</f>
        <v>0</v>
      </c>
      <c r="AG163" s="25"/>
      <c r="AH163" s="20"/>
      <c r="AI163" s="21">
        <f t="shared" ref="AI163:AI167" si="221">SUM(AG163:AH163)</f>
        <v>0</v>
      </c>
      <c r="AJ163" s="25"/>
      <c r="AK163" s="25"/>
      <c r="AL163" s="25"/>
      <c r="AM163" s="25"/>
      <c r="AN163" s="20"/>
      <c r="AO163" s="21">
        <f t="shared" ref="AO163:AO167" si="222">SUM(AJ163:AN163)</f>
        <v>0</v>
      </c>
      <c r="AP163" s="4">
        <f t="shared" ref="AP163:AR167" si="223">F163+L163+R163+X163+AJ163</f>
        <v>0</v>
      </c>
      <c r="AQ163" s="4">
        <f t="shared" si="223"/>
        <v>423800</v>
      </c>
      <c r="AR163" s="4">
        <f t="shared" si="223"/>
        <v>729850</v>
      </c>
      <c r="AS163" s="4">
        <f t="shared" ref="AS163:AT167" si="224">I163+O163+U163+AA163+AD163+AG163+AM163</f>
        <v>0</v>
      </c>
      <c r="AT163" s="94">
        <f t="shared" si="224"/>
        <v>0</v>
      </c>
      <c r="AU163" s="9">
        <f t="shared" ref="AU163:AU167" si="225">SUM(AP163:AT163)</f>
        <v>1153650</v>
      </c>
    </row>
    <row r="164" spans="1:47" ht="31.5">
      <c r="A164" s="186"/>
      <c r="B164" s="8">
        <v>2</v>
      </c>
      <c r="C164" s="1" t="s">
        <v>301</v>
      </c>
      <c r="D164" s="46" t="s">
        <v>302</v>
      </c>
      <c r="E164" s="4" t="s">
        <v>32</v>
      </c>
      <c r="F164" s="4"/>
      <c r="G164" s="4"/>
      <c r="H164" s="5"/>
      <c r="I164" s="4"/>
      <c r="J164" s="4"/>
      <c r="K164" s="9">
        <f t="shared" si="216"/>
        <v>0</v>
      </c>
      <c r="L164" s="76"/>
      <c r="M164" s="76"/>
      <c r="N164" s="76"/>
      <c r="O164" s="76"/>
      <c r="P164" s="4"/>
      <c r="Q164" s="9">
        <f t="shared" si="217"/>
        <v>0</v>
      </c>
      <c r="R164" s="20"/>
      <c r="S164" s="20"/>
      <c r="T164" s="20"/>
      <c r="U164" s="20"/>
      <c r="V164" s="20"/>
      <c r="W164" s="9">
        <f t="shared" si="218"/>
        <v>0</v>
      </c>
      <c r="X164" s="20">
        <v>195000</v>
      </c>
      <c r="Y164" s="25">
        <v>733900</v>
      </c>
      <c r="Z164" s="25">
        <v>649900</v>
      </c>
      <c r="AA164" s="24">
        <v>810000</v>
      </c>
      <c r="AB164" s="20">
        <f>210000+210000+140000+70000+210000+140000</f>
        <v>980000</v>
      </c>
      <c r="AC164" s="21">
        <f t="shared" si="219"/>
        <v>3368800</v>
      </c>
      <c r="AD164" s="25"/>
      <c r="AE164" s="20"/>
      <c r="AF164" s="21">
        <f t="shared" si="220"/>
        <v>0</v>
      </c>
      <c r="AG164" s="25"/>
      <c r="AH164" s="20"/>
      <c r="AI164" s="21">
        <f t="shared" si="221"/>
        <v>0</v>
      </c>
      <c r="AJ164" s="25"/>
      <c r="AK164" s="25"/>
      <c r="AL164" s="25"/>
      <c r="AM164" s="25"/>
      <c r="AN164" s="20"/>
      <c r="AO164" s="21">
        <f t="shared" si="222"/>
        <v>0</v>
      </c>
      <c r="AP164" s="4">
        <f t="shared" si="223"/>
        <v>195000</v>
      </c>
      <c r="AQ164" s="4">
        <f t="shared" si="223"/>
        <v>733900</v>
      </c>
      <c r="AR164" s="4">
        <f t="shared" si="223"/>
        <v>649900</v>
      </c>
      <c r="AS164" s="4">
        <f t="shared" si="224"/>
        <v>810000</v>
      </c>
      <c r="AT164" s="94">
        <f t="shared" si="224"/>
        <v>980000</v>
      </c>
      <c r="AU164" s="9">
        <f t="shared" si="225"/>
        <v>3368800</v>
      </c>
    </row>
    <row r="165" spans="1:47" ht="31.5">
      <c r="A165" s="186"/>
      <c r="B165" s="8">
        <v>3</v>
      </c>
      <c r="C165" s="1" t="s">
        <v>303</v>
      </c>
      <c r="D165" s="46" t="s">
        <v>304</v>
      </c>
      <c r="E165" s="4" t="s">
        <v>32</v>
      </c>
      <c r="F165" s="4"/>
      <c r="G165" s="4"/>
      <c r="H165" s="5"/>
      <c r="I165" s="4"/>
      <c r="J165" s="4"/>
      <c r="K165" s="9">
        <f t="shared" si="216"/>
        <v>0</v>
      </c>
      <c r="L165" s="76"/>
      <c r="M165" s="76"/>
      <c r="N165" s="76">
        <v>1490000</v>
      </c>
      <c r="O165" s="76">
        <v>250000</v>
      </c>
      <c r="P165" s="4"/>
      <c r="Q165" s="9">
        <f t="shared" si="217"/>
        <v>1740000</v>
      </c>
      <c r="R165" s="20"/>
      <c r="S165" s="20"/>
      <c r="T165" s="20"/>
      <c r="U165" s="20"/>
      <c r="V165" s="20"/>
      <c r="W165" s="9">
        <f t="shared" si="218"/>
        <v>0</v>
      </c>
      <c r="X165" s="20"/>
      <c r="Y165" s="25">
        <v>1184650</v>
      </c>
      <c r="Z165" s="25">
        <v>994500</v>
      </c>
      <c r="AA165" s="25">
        <v>821500</v>
      </c>
      <c r="AB165" s="20">
        <f>136000+204000+204500+205500+205500</f>
        <v>955500</v>
      </c>
      <c r="AC165" s="21">
        <f t="shared" si="219"/>
        <v>3956150</v>
      </c>
      <c r="AD165" s="25"/>
      <c r="AE165" s="20"/>
      <c r="AF165" s="21">
        <f t="shared" si="220"/>
        <v>0</v>
      </c>
      <c r="AG165" s="25"/>
      <c r="AH165" s="20"/>
      <c r="AI165" s="21">
        <f t="shared" si="221"/>
        <v>0</v>
      </c>
      <c r="AJ165" s="25"/>
      <c r="AK165" s="25">
        <v>100000</v>
      </c>
      <c r="AL165" s="25">
        <v>253600</v>
      </c>
      <c r="AM165" s="25"/>
      <c r="AN165" s="20"/>
      <c r="AO165" s="21">
        <f t="shared" si="222"/>
        <v>353600</v>
      </c>
      <c r="AP165" s="4">
        <f t="shared" si="223"/>
        <v>0</v>
      </c>
      <c r="AQ165" s="4">
        <f t="shared" si="223"/>
        <v>1284650</v>
      </c>
      <c r="AR165" s="4">
        <f t="shared" si="223"/>
        <v>2738100</v>
      </c>
      <c r="AS165" s="4">
        <f t="shared" si="224"/>
        <v>1071500</v>
      </c>
      <c r="AT165" s="94">
        <f t="shared" si="224"/>
        <v>955500</v>
      </c>
      <c r="AU165" s="9">
        <f t="shared" si="225"/>
        <v>6049750</v>
      </c>
    </row>
    <row r="166" spans="1:47">
      <c r="A166" s="186"/>
      <c r="B166" s="8">
        <v>4</v>
      </c>
      <c r="C166" s="42" t="s">
        <v>305</v>
      </c>
      <c r="D166" s="46" t="s">
        <v>304</v>
      </c>
      <c r="E166" s="4" t="s">
        <v>32</v>
      </c>
      <c r="F166" s="4"/>
      <c r="G166" s="4"/>
      <c r="H166" s="5"/>
      <c r="I166" s="4"/>
      <c r="J166" s="4"/>
      <c r="K166" s="9">
        <f t="shared" si="216"/>
        <v>0</v>
      </c>
      <c r="L166" s="4"/>
      <c r="M166" s="4"/>
      <c r="N166" s="27"/>
      <c r="O166" s="10"/>
      <c r="P166" s="4"/>
      <c r="Q166" s="9">
        <f t="shared" si="217"/>
        <v>0</v>
      </c>
      <c r="R166" s="20"/>
      <c r="S166" s="20"/>
      <c r="T166" s="4">
        <v>500000</v>
      </c>
      <c r="U166" s="20">
        <v>52000</v>
      </c>
      <c r="V166" s="20"/>
      <c r="W166" s="9">
        <f t="shared" si="218"/>
        <v>552000</v>
      </c>
      <c r="X166" s="20"/>
      <c r="Y166" s="25"/>
      <c r="Z166" s="25"/>
      <c r="AA166" s="25"/>
      <c r="AB166" s="20"/>
      <c r="AC166" s="21">
        <f t="shared" si="219"/>
        <v>0</v>
      </c>
      <c r="AD166" s="25"/>
      <c r="AE166" s="20"/>
      <c r="AF166" s="21">
        <f t="shared" si="220"/>
        <v>0</v>
      </c>
      <c r="AG166" s="25"/>
      <c r="AH166" s="20"/>
      <c r="AI166" s="21">
        <f t="shared" si="221"/>
        <v>0</v>
      </c>
      <c r="AJ166" s="25"/>
      <c r="AK166" s="25"/>
      <c r="AL166" s="25"/>
      <c r="AM166" s="25"/>
      <c r="AN166" s="20"/>
      <c r="AO166" s="21">
        <f t="shared" si="222"/>
        <v>0</v>
      </c>
      <c r="AP166" s="4">
        <f t="shared" si="223"/>
        <v>0</v>
      </c>
      <c r="AQ166" s="4">
        <f t="shared" si="223"/>
        <v>0</v>
      </c>
      <c r="AR166" s="4">
        <f t="shared" si="223"/>
        <v>500000</v>
      </c>
      <c r="AS166" s="4">
        <f t="shared" si="224"/>
        <v>52000</v>
      </c>
      <c r="AT166" s="94">
        <f t="shared" si="224"/>
        <v>0</v>
      </c>
      <c r="AU166" s="9">
        <f t="shared" si="225"/>
        <v>552000</v>
      </c>
    </row>
    <row r="167" spans="1:47" ht="18.75">
      <c r="A167" s="187"/>
      <c r="B167" s="8">
        <v>5</v>
      </c>
      <c r="C167" s="1" t="s">
        <v>306</v>
      </c>
      <c r="D167" s="91" t="s">
        <v>304</v>
      </c>
      <c r="E167" s="4" t="s">
        <v>32</v>
      </c>
      <c r="F167" s="4"/>
      <c r="G167" s="4"/>
      <c r="H167" s="5"/>
      <c r="I167" s="4"/>
      <c r="J167" s="4"/>
      <c r="K167" s="9">
        <f t="shared" si="216"/>
        <v>0</v>
      </c>
      <c r="L167" s="76">
        <v>290000</v>
      </c>
      <c r="M167" s="76">
        <v>1860000</v>
      </c>
      <c r="N167" s="76">
        <v>270000</v>
      </c>
      <c r="O167" s="76">
        <v>1500000</v>
      </c>
      <c r="P167" s="4">
        <f>175000+225000+225000+225000+150000</f>
        <v>1000000</v>
      </c>
      <c r="Q167" s="9">
        <f t="shared" si="217"/>
        <v>4920000</v>
      </c>
      <c r="R167" s="20"/>
      <c r="S167" s="20"/>
      <c r="T167" s="20"/>
      <c r="U167" s="20"/>
      <c r="V167" s="20"/>
      <c r="W167" s="9">
        <f t="shared" si="218"/>
        <v>0</v>
      </c>
      <c r="X167" s="20"/>
      <c r="Y167" s="25">
        <v>733350</v>
      </c>
      <c r="Z167" s="25">
        <v>388000</v>
      </c>
      <c r="AA167" s="25">
        <v>148000</v>
      </c>
      <c r="AB167" s="20"/>
      <c r="AC167" s="21">
        <f t="shared" si="219"/>
        <v>1269350</v>
      </c>
      <c r="AD167" s="25"/>
      <c r="AE167" s="20"/>
      <c r="AF167" s="21">
        <f t="shared" si="220"/>
        <v>0</v>
      </c>
      <c r="AG167" s="25"/>
      <c r="AH167" s="20"/>
      <c r="AI167" s="21">
        <f t="shared" si="221"/>
        <v>0</v>
      </c>
      <c r="AJ167" s="25"/>
      <c r="AK167" s="25"/>
      <c r="AL167" s="25"/>
      <c r="AM167" s="25"/>
      <c r="AN167" s="20"/>
      <c r="AO167" s="21">
        <f t="shared" si="222"/>
        <v>0</v>
      </c>
      <c r="AP167" s="4">
        <f t="shared" si="223"/>
        <v>290000</v>
      </c>
      <c r="AQ167" s="4">
        <f t="shared" si="223"/>
        <v>2593350</v>
      </c>
      <c r="AR167" s="4">
        <f t="shared" si="223"/>
        <v>658000</v>
      </c>
      <c r="AS167" s="4">
        <f t="shared" si="224"/>
        <v>1648000</v>
      </c>
      <c r="AT167" s="94">
        <f t="shared" si="224"/>
        <v>1000000</v>
      </c>
      <c r="AU167" s="9">
        <f t="shared" si="225"/>
        <v>6189350</v>
      </c>
    </row>
    <row r="168" spans="1:47" s="38" customFormat="1">
      <c r="A168" s="34"/>
      <c r="B168" s="34"/>
      <c r="C168" s="35" t="s">
        <v>307</v>
      </c>
      <c r="D168" s="36"/>
      <c r="E168" s="37"/>
      <c r="F168" s="37">
        <f>SUM(F163:F167)</f>
        <v>0</v>
      </c>
      <c r="G168" s="37">
        <f t="shared" ref="G168:AU168" si="226">SUM(G163:G167)</f>
        <v>0</v>
      </c>
      <c r="H168" s="37">
        <f t="shared" si="226"/>
        <v>0</v>
      </c>
      <c r="I168" s="37">
        <f t="shared" si="226"/>
        <v>0</v>
      </c>
      <c r="J168" s="37">
        <f t="shared" si="226"/>
        <v>0</v>
      </c>
      <c r="K168" s="37">
        <f t="shared" si="226"/>
        <v>0</v>
      </c>
      <c r="L168" s="37">
        <f t="shared" si="226"/>
        <v>290000</v>
      </c>
      <c r="M168" s="37">
        <f t="shared" si="226"/>
        <v>1860000</v>
      </c>
      <c r="N168" s="37">
        <f t="shared" si="226"/>
        <v>1760000</v>
      </c>
      <c r="O168" s="37">
        <f t="shared" si="226"/>
        <v>1750000</v>
      </c>
      <c r="P168" s="37">
        <f t="shared" si="226"/>
        <v>1000000</v>
      </c>
      <c r="Q168" s="37">
        <f t="shared" si="226"/>
        <v>6660000</v>
      </c>
      <c r="R168" s="37">
        <f t="shared" si="226"/>
        <v>0</v>
      </c>
      <c r="S168" s="37">
        <f t="shared" si="226"/>
        <v>0</v>
      </c>
      <c r="T168" s="37">
        <f t="shared" si="226"/>
        <v>500000</v>
      </c>
      <c r="U168" s="37">
        <f t="shared" si="226"/>
        <v>52000</v>
      </c>
      <c r="V168" s="37">
        <f t="shared" si="226"/>
        <v>0</v>
      </c>
      <c r="W168" s="37">
        <f t="shared" si="226"/>
        <v>552000</v>
      </c>
      <c r="X168" s="37">
        <f t="shared" si="226"/>
        <v>195000</v>
      </c>
      <c r="Y168" s="37">
        <f t="shared" si="226"/>
        <v>3075700</v>
      </c>
      <c r="Z168" s="37">
        <f t="shared" si="226"/>
        <v>2762250</v>
      </c>
      <c r="AA168" s="37">
        <f t="shared" si="226"/>
        <v>1779500</v>
      </c>
      <c r="AB168" s="37">
        <f t="shared" si="226"/>
        <v>1935500</v>
      </c>
      <c r="AC168" s="37">
        <f t="shared" si="226"/>
        <v>9747950</v>
      </c>
      <c r="AD168" s="37">
        <f t="shared" si="226"/>
        <v>0</v>
      </c>
      <c r="AE168" s="37">
        <f t="shared" si="226"/>
        <v>0</v>
      </c>
      <c r="AF168" s="37">
        <f t="shared" si="226"/>
        <v>0</v>
      </c>
      <c r="AG168" s="37">
        <f t="shared" si="226"/>
        <v>0</v>
      </c>
      <c r="AH168" s="37">
        <f t="shared" si="226"/>
        <v>0</v>
      </c>
      <c r="AI168" s="37">
        <f t="shared" si="226"/>
        <v>0</v>
      </c>
      <c r="AJ168" s="37">
        <f t="shared" si="226"/>
        <v>0</v>
      </c>
      <c r="AK168" s="37">
        <f t="shared" si="226"/>
        <v>100000</v>
      </c>
      <c r="AL168" s="37">
        <f t="shared" si="226"/>
        <v>253600</v>
      </c>
      <c r="AM168" s="37">
        <f t="shared" si="226"/>
        <v>0</v>
      </c>
      <c r="AN168" s="37">
        <f t="shared" si="226"/>
        <v>0</v>
      </c>
      <c r="AO168" s="37">
        <f t="shared" si="226"/>
        <v>353600</v>
      </c>
      <c r="AP168" s="37">
        <f t="shared" si="226"/>
        <v>485000</v>
      </c>
      <c r="AQ168" s="37">
        <f t="shared" si="226"/>
        <v>5035700</v>
      </c>
      <c r="AR168" s="37">
        <f t="shared" si="226"/>
        <v>5275850</v>
      </c>
      <c r="AS168" s="37">
        <f t="shared" si="226"/>
        <v>3581500</v>
      </c>
      <c r="AT168" s="37">
        <f t="shared" si="226"/>
        <v>2935500</v>
      </c>
      <c r="AU168" s="37">
        <f t="shared" si="226"/>
        <v>17313550</v>
      </c>
    </row>
    <row r="169" spans="1:47">
      <c r="A169" s="185" t="s">
        <v>24</v>
      </c>
      <c r="B169" s="8">
        <v>1</v>
      </c>
      <c r="C169" s="1" t="s">
        <v>308</v>
      </c>
      <c r="D169" s="61" t="s">
        <v>309</v>
      </c>
      <c r="E169" s="4" t="s">
        <v>24</v>
      </c>
      <c r="F169" s="4"/>
      <c r="G169" s="4"/>
      <c r="H169" s="5"/>
      <c r="I169" s="4"/>
      <c r="J169" s="4"/>
      <c r="K169" s="9">
        <f t="shared" ref="K169:K205" si="227">SUM(F169:J169)</f>
        <v>0</v>
      </c>
      <c r="L169" s="4"/>
      <c r="M169" s="4"/>
      <c r="N169" s="4"/>
      <c r="O169" s="4"/>
      <c r="P169" s="4"/>
      <c r="Q169" s="9">
        <f t="shared" ref="Q169:Q205" si="228">SUM(L169:P169)</f>
        <v>0</v>
      </c>
      <c r="R169" s="20"/>
      <c r="S169" s="20"/>
      <c r="T169" s="20"/>
      <c r="U169" s="20"/>
      <c r="V169" s="20"/>
      <c r="W169" s="9">
        <f t="shared" ref="W169:W205" si="229">SUM(R169:V169)</f>
        <v>0</v>
      </c>
      <c r="X169" s="20">
        <v>195000</v>
      </c>
      <c r="Y169" s="25">
        <v>271600</v>
      </c>
      <c r="Z169" s="24">
        <v>38800</v>
      </c>
      <c r="AA169" s="24">
        <v>514000</v>
      </c>
      <c r="AB169" s="20">
        <f>77000+122500+126000+147000+98000</f>
        <v>570500</v>
      </c>
      <c r="AC169" s="21">
        <f t="shared" ref="AC169:AC205" si="230">SUM(X169:AB169)</f>
        <v>1589900</v>
      </c>
      <c r="AD169" s="25">
        <v>0</v>
      </c>
      <c r="AE169" s="20"/>
      <c r="AF169" s="21">
        <f t="shared" ref="AF169:AF205" si="231">SUM(AD169:AE169)</f>
        <v>0</v>
      </c>
      <c r="AG169" s="25"/>
      <c r="AH169" s="20"/>
      <c r="AI169" s="21">
        <f t="shared" ref="AI169:AI205" si="232">SUM(AG169:AH169)</f>
        <v>0</v>
      </c>
      <c r="AJ169" s="25"/>
      <c r="AK169" s="25"/>
      <c r="AL169" s="25"/>
      <c r="AM169" s="25"/>
      <c r="AN169" s="20"/>
      <c r="AO169" s="21">
        <f t="shared" ref="AO169:AO205" si="233">SUM(AJ169:AN169)</f>
        <v>0</v>
      </c>
      <c r="AP169" s="4">
        <f t="shared" ref="AP169:AR205" si="234">F169+L169+R169+X169+AJ169</f>
        <v>195000</v>
      </c>
      <c r="AQ169" s="4">
        <f t="shared" si="234"/>
        <v>271600</v>
      </c>
      <c r="AR169" s="4">
        <f t="shared" si="234"/>
        <v>38800</v>
      </c>
      <c r="AS169" s="4">
        <f t="shared" ref="AS169:AT205" si="235">I169+O169+U169+AA169+AD169+AG169+AM169</f>
        <v>514000</v>
      </c>
      <c r="AT169" s="94">
        <f t="shared" si="235"/>
        <v>570500</v>
      </c>
      <c r="AU169" s="9">
        <f t="shared" ref="AU169:AU205" si="236">SUM(AP169:AT169)</f>
        <v>1589900</v>
      </c>
    </row>
    <row r="170" spans="1:47">
      <c r="A170" s="186"/>
      <c r="B170" s="8">
        <v>2</v>
      </c>
      <c r="C170" s="1" t="s">
        <v>310</v>
      </c>
      <c r="D170" s="12" t="s">
        <v>448</v>
      </c>
      <c r="E170" s="4" t="s">
        <v>24</v>
      </c>
      <c r="F170" s="4">
        <v>155000</v>
      </c>
      <c r="G170" s="4">
        <v>881000</v>
      </c>
      <c r="H170" s="4">
        <f>110000+110000+330000</f>
        <v>550000</v>
      </c>
      <c r="I170" s="4">
        <f>160000+20000</f>
        <v>180000</v>
      </c>
      <c r="J170" s="4"/>
      <c r="K170" s="9">
        <f t="shared" si="227"/>
        <v>1766000</v>
      </c>
      <c r="L170" s="4"/>
      <c r="M170" s="4"/>
      <c r="N170" s="4"/>
      <c r="O170" s="4"/>
      <c r="P170" s="4"/>
      <c r="Q170" s="9">
        <f t="shared" si="228"/>
        <v>0</v>
      </c>
      <c r="R170" s="20"/>
      <c r="S170" s="20"/>
      <c r="T170" s="20"/>
      <c r="U170" s="20"/>
      <c r="V170" s="20"/>
      <c r="W170" s="9">
        <f t="shared" si="229"/>
        <v>0</v>
      </c>
      <c r="X170" s="20"/>
      <c r="Y170" s="25">
        <v>1020900</v>
      </c>
      <c r="Z170" s="24">
        <v>621200</v>
      </c>
      <c r="AA170" s="24">
        <v>240000</v>
      </c>
      <c r="AB170" s="20"/>
      <c r="AC170" s="21">
        <f t="shared" si="230"/>
        <v>1882100</v>
      </c>
      <c r="AD170" s="25">
        <v>1155000</v>
      </c>
      <c r="AE170" s="20">
        <f>105000+311500+315000+315000+210000</f>
        <v>1256500</v>
      </c>
      <c r="AF170" s="21">
        <f t="shared" si="231"/>
        <v>2411500</v>
      </c>
      <c r="AG170" s="25"/>
      <c r="AH170" s="20"/>
      <c r="AI170" s="21">
        <f t="shared" si="232"/>
        <v>0</v>
      </c>
      <c r="AJ170" s="25"/>
      <c r="AK170" s="25">
        <v>100000</v>
      </c>
      <c r="AL170" s="25">
        <f>218150+257600</f>
        <v>475750</v>
      </c>
      <c r="AM170" s="25"/>
      <c r="AN170" s="20"/>
      <c r="AO170" s="21">
        <f t="shared" si="233"/>
        <v>575750</v>
      </c>
      <c r="AP170" s="4">
        <f t="shared" si="234"/>
        <v>155000</v>
      </c>
      <c r="AQ170" s="4">
        <f t="shared" si="234"/>
        <v>2001900</v>
      </c>
      <c r="AR170" s="4">
        <f t="shared" si="234"/>
        <v>1646950</v>
      </c>
      <c r="AS170" s="4">
        <f t="shared" si="235"/>
        <v>1575000</v>
      </c>
      <c r="AT170" s="94">
        <f t="shared" si="235"/>
        <v>1256500</v>
      </c>
      <c r="AU170" s="9">
        <f t="shared" si="236"/>
        <v>6635350</v>
      </c>
    </row>
    <row r="171" spans="1:47" ht="30">
      <c r="A171" s="186"/>
      <c r="B171" s="8">
        <v>3</v>
      </c>
      <c r="C171" s="2" t="s">
        <v>312</v>
      </c>
      <c r="D171" s="13" t="s">
        <v>313</v>
      </c>
      <c r="E171" s="4" t="s">
        <v>24</v>
      </c>
      <c r="F171" s="4"/>
      <c r="G171" s="4"/>
      <c r="H171" s="4"/>
      <c r="I171" s="4"/>
      <c r="J171" s="4"/>
      <c r="K171" s="9">
        <f t="shared" si="227"/>
        <v>0</v>
      </c>
      <c r="L171" s="4"/>
      <c r="M171" s="4"/>
      <c r="N171" s="4"/>
      <c r="O171" s="4"/>
      <c r="P171" s="4"/>
      <c r="Q171" s="9">
        <f t="shared" si="228"/>
        <v>0</v>
      </c>
      <c r="R171" s="20"/>
      <c r="S171" s="20"/>
      <c r="T171" s="20"/>
      <c r="U171" s="20"/>
      <c r="V171" s="20"/>
      <c r="W171" s="9">
        <f t="shared" si="229"/>
        <v>0</v>
      </c>
      <c r="X171" s="20"/>
      <c r="Y171" s="25"/>
      <c r="Z171" s="24"/>
      <c r="AA171" s="24"/>
      <c r="AB171" s="20"/>
      <c r="AC171" s="21">
        <f t="shared" si="230"/>
        <v>0</v>
      </c>
      <c r="AD171" s="25">
        <v>0</v>
      </c>
      <c r="AE171" s="20"/>
      <c r="AF171" s="21">
        <f t="shared" si="231"/>
        <v>0</v>
      </c>
      <c r="AG171" s="25"/>
      <c r="AH171" s="20"/>
      <c r="AI171" s="21">
        <f t="shared" si="232"/>
        <v>0</v>
      </c>
      <c r="AJ171" s="25"/>
      <c r="AK171" s="25">
        <v>100000</v>
      </c>
      <c r="AL171" s="25">
        <v>276000</v>
      </c>
      <c r="AM171" s="25"/>
      <c r="AN171" s="20"/>
      <c r="AO171" s="21">
        <f t="shared" si="233"/>
        <v>376000</v>
      </c>
      <c r="AP171" s="4">
        <f t="shared" si="234"/>
        <v>0</v>
      </c>
      <c r="AQ171" s="4">
        <f t="shared" si="234"/>
        <v>100000</v>
      </c>
      <c r="AR171" s="4">
        <f t="shared" si="234"/>
        <v>276000</v>
      </c>
      <c r="AS171" s="4">
        <f t="shared" si="235"/>
        <v>0</v>
      </c>
      <c r="AT171" s="94">
        <f t="shared" si="235"/>
        <v>0</v>
      </c>
      <c r="AU171" s="9">
        <f t="shared" si="236"/>
        <v>376000</v>
      </c>
    </row>
    <row r="172" spans="1:47">
      <c r="A172" s="186"/>
      <c r="B172" s="8">
        <v>4</v>
      </c>
      <c r="C172" s="1" t="s">
        <v>314</v>
      </c>
      <c r="D172" s="12" t="s">
        <v>26</v>
      </c>
      <c r="E172" s="4" t="s">
        <v>24</v>
      </c>
      <c r="F172" s="4"/>
      <c r="G172" s="4">
        <v>155000</v>
      </c>
      <c r="H172" s="4">
        <f>368500+47500+82500</f>
        <v>498500</v>
      </c>
      <c r="I172" s="4">
        <f>100000+120000</f>
        <v>220000</v>
      </c>
      <c r="J172" s="4"/>
      <c r="K172" s="9">
        <f t="shared" si="227"/>
        <v>873500</v>
      </c>
      <c r="L172" s="4"/>
      <c r="M172" s="4"/>
      <c r="N172" s="4"/>
      <c r="O172" s="4"/>
      <c r="P172" s="4"/>
      <c r="Q172" s="9">
        <f t="shared" si="228"/>
        <v>0</v>
      </c>
      <c r="R172" s="20"/>
      <c r="S172" s="20"/>
      <c r="T172" s="20"/>
      <c r="U172" s="20"/>
      <c r="V172" s="20"/>
      <c r="W172" s="9">
        <f t="shared" si="229"/>
        <v>0</v>
      </c>
      <c r="X172" s="20"/>
      <c r="Y172" s="25">
        <v>607050</v>
      </c>
      <c r="Z172" s="24">
        <v>506100</v>
      </c>
      <c r="AA172" s="24">
        <v>180000</v>
      </c>
      <c r="AB172" s="20"/>
      <c r="AC172" s="21">
        <f t="shared" si="230"/>
        <v>1293150</v>
      </c>
      <c r="AD172" s="25">
        <v>921500</v>
      </c>
      <c r="AE172" s="20">
        <f>310500+309000+305500+307500+203500</f>
        <v>1436000</v>
      </c>
      <c r="AF172" s="21">
        <f t="shared" si="231"/>
        <v>2357500</v>
      </c>
      <c r="AG172" s="25"/>
      <c r="AH172" s="20"/>
      <c r="AI172" s="21">
        <f t="shared" si="232"/>
        <v>0</v>
      </c>
      <c r="AJ172" s="25"/>
      <c r="AK172" s="25"/>
      <c r="AL172" s="25"/>
      <c r="AM172" s="25"/>
      <c r="AN172" s="20"/>
      <c r="AO172" s="21">
        <f t="shared" si="233"/>
        <v>0</v>
      </c>
      <c r="AP172" s="4">
        <f t="shared" si="234"/>
        <v>0</v>
      </c>
      <c r="AQ172" s="4">
        <f t="shared" si="234"/>
        <v>762050</v>
      </c>
      <c r="AR172" s="4">
        <f t="shared" si="234"/>
        <v>1004600</v>
      </c>
      <c r="AS172" s="4">
        <f t="shared" si="235"/>
        <v>1321500</v>
      </c>
      <c r="AT172" s="94">
        <f t="shared" si="235"/>
        <v>1436000</v>
      </c>
      <c r="AU172" s="9">
        <f t="shared" si="236"/>
        <v>4524150</v>
      </c>
    </row>
    <row r="173" spans="1:47">
      <c r="A173" s="186"/>
      <c r="B173" s="8">
        <v>5</v>
      </c>
      <c r="C173" s="1" t="s">
        <v>315</v>
      </c>
      <c r="D173" s="12" t="s">
        <v>316</v>
      </c>
      <c r="E173" s="4" t="s">
        <v>24</v>
      </c>
      <c r="F173" s="4"/>
      <c r="G173" s="4"/>
      <c r="H173" s="4">
        <v>155000</v>
      </c>
      <c r="I173" s="4">
        <f>64000+12000</f>
        <v>76000</v>
      </c>
      <c r="J173" s="4"/>
      <c r="K173" s="9">
        <f t="shared" si="227"/>
        <v>231000</v>
      </c>
      <c r="L173" s="4"/>
      <c r="M173" s="4"/>
      <c r="N173" s="4"/>
      <c r="O173" s="4"/>
      <c r="P173" s="4"/>
      <c r="Q173" s="9">
        <f t="shared" si="228"/>
        <v>0</v>
      </c>
      <c r="R173" s="20"/>
      <c r="S173" s="20"/>
      <c r="T173" s="20"/>
      <c r="U173" s="20"/>
      <c r="V173" s="20"/>
      <c r="W173" s="9">
        <f t="shared" si="229"/>
        <v>0</v>
      </c>
      <c r="X173" s="20"/>
      <c r="Y173" s="25">
        <v>195000</v>
      </c>
      <c r="Z173" s="24">
        <v>377200</v>
      </c>
      <c r="AA173" s="24">
        <v>140000</v>
      </c>
      <c r="AB173" s="20"/>
      <c r="AC173" s="21">
        <f t="shared" si="230"/>
        <v>712200</v>
      </c>
      <c r="AD173" s="25">
        <v>612500</v>
      </c>
      <c r="AE173" s="20">
        <f>56000+175000+189000+189000+126000</f>
        <v>735000</v>
      </c>
      <c r="AF173" s="21">
        <f t="shared" si="231"/>
        <v>1347500</v>
      </c>
      <c r="AG173" s="25"/>
      <c r="AH173" s="20"/>
      <c r="AI173" s="21">
        <f t="shared" si="232"/>
        <v>0</v>
      </c>
      <c r="AJ173" s="25"/>
      <c r="AK173" s="25">
        <v>100000</v>
      </c>
      <c r="AL173" s="25">
        <v>276000</v>
      </c>
      <c r="AM173" s="25"/>
      <c r="AN173" s="20"/>
      <c r="AO173" s="21">
        <f t="shared" si="233"/>
        <v>376000</v>
      </c>
      <c r="AP173" s="4">
        <f t="shared" si="234"/>
        <v>0</v>
      </c>
      <c r="AQ173" s="4">
        <f t="shared" si="234"/>
        <v>295000</v>
      </c>
      <c r="AR173" s="4">
        <f t="shared" si="234"/>
        <v>808200</v>
      </c>
      <c r="AS173" s="4">
        <f t="shared" si="235"/>
        <v>828500</v>
      </c>
      <c r="AT173" s="94">
        <f t="shared" si="235"/>
        <v>735000</v>
      </c>
      <c r="AU173" s="9">
        <f t="shared" si="236"/>
        <v>2666700</v>
      </c>
    </row>
    <row r="174" spans="1:47" ht="47.25">
      <c r="A174" s="186"/>
      <c r="B174" s="8">
        <v>6</v>
      </c>
      <c r="C174" s="44" t="s">
        <v>317</v>
      </c>
      <c r="D174" s="62" t="s">
        <v>318</v>
      </c>
      <c r="E174" s="4" t="s">
        <v>24</v>
      </c>
      <c r="F174" s="4"/>
      <c r="G174" s="4"/>
      <c r="H174" s="4"/>
      <c r="I174" s="4"/>
      <c r="J174" s="4"/>
      <c r="K174" s="9">
        <f t="shared" si="227"/>
        <v>0</v>
      </c>
      <c r="L174" s="76"/>
      <c r="M174" s="76"/>
      <c r="N174" s="76">
        <v>290000</v>
      </c>
      <c r="O174" s="76"/>
      <c r="P174" s="4"/>
      <c r="Q174" s="9">
        <f t="shared" si="228"/>
        <v>290000</v>
      </c>
      <c r="R174" s="20"/>
      <c r="S174" s="20"/>
      <c r="T174" s="20"/>
      <c r="U174" s="20"/>
      <c r="V174" s="20"/>
      <c r="W174" s="9">
        <f t="shared" si="229"/>
        <v>0</v>
      </c>
      <c r="X174" s="20"/>
      <c r="Y174" s="25"/>
      <c r="Z174" s="24"/>
      <c r="AA174" s="24"/>
      <c r="AB174" s="20"/>
      <c r="AC174" s="21">
        <f t="shared" si="230"/>
        <v>0</v>
      </c>
      <c r="AD174" s="25">
        <v>0</v>
      </c>
      <c r="AE174" s="20"/>
      <c r="AF174" s="21">
        <f t="shared" si="231"/>
        <v>0</v>
      </c>
      <c r="AG174" s="25"/>
      <c r="AH174" s="20"/>
      <c r="AI174" s="21">
        <f t="shared" si="232"/>
        <v>0</v>
      </c>
      <c r="AJ174" s="25"/>
      <c r="AK174" s="25"/>
      <c r="AL174" s="25"/>
      <c r="AM174" s="25"/>
      <c r="AN174" s="20"/>
      <c r="AO174" s="21">
        <f t="shared" si="233"/>
        <v>0</v>
      </c>
      <c r="AP174" s="4">
        <f t="shared" si="234"/>
        <v>0</v>
      </c>
      <c r="AQ174" s="4">
        <f t="shared" si="234"/>
        <v>0</v>
      </c>
      <c r="AR174" s="4">
        <f t="shared" si="234"/>
        <v>290000</v>
      </c>
      <c r="AS174" s="4">
        <f t="shared" si="235"/>
        <v>0</v>
      </c>
      <c r="AT174" s="94">
        <f t="shared" si="235"/>
        <v>0</v>
      </c>
      <c r="AU174" s="9">
        <f t="shared" si="236"/>
        <v>290000</v>
      </c>
    </row>
    <row r="175" spans="1:47">
      <c r="A175" s="186"/>
      <c r="B175" s="8">
        <v>7</v>
      </c>
      <c r="C175" s="1" t="s">
        <v>319</v>
      </c>
      <c r="D175" s="12" t="s">
        <v>320</v>
      </c>
      <c r="E175" s="4" t="s">
        <v>24</v>
      </c>
      <c r="F175" s="4"/>
      <c r="G175" s="4">
        <v>155000</v>
      </c>
      <c r="H175" s="4"/>
      <c r="I175" s="4"/>
      <c r="J175" s="4"/>
      <c r="K175" s="9">
        <f t="shared" si="227"/>
        <v>155000</v>
      </c>
      <c r="L175" s="4"/>
      <c r="M175" s="4"/>
      <c r="N175" s="4"/>
      <c r="O175" s="4"/>
      <c r="P175" s="4"/>
      <c r="Q175" s="9">
        <f t="shared" si="228"/>
        <v>0</v>
      </c>
      <c r="R175" s="20"/>
      <c r="S175" s="20"/>
      <c r="T175" s="20"/>
      <c r="U175" s="20"/>
      <c r="V175" s="20"/>
      <c r="W175" s="9">
        <f t="shared" si="229"/>
        <v>0</v>
      </c>
      <c r="X175" s="20"/>
      <c r="Y175" s="20">
        <v>345350</v>
      </c>
      <c r="Z175" s="24">
        <v>155200</v>
      </c>
      <c r="AA175" s="24"/>
      <c r="AB175" s="20"/>
      <c r="AC175" s="21">
        <f t="shared" si="230"/>
        <v>500550</v>
      </c>
      <c r="AD175" s="25">
        <v>0</v>
      </c>
      <c r="AE175" s="20"/>
      <c r="AF175" s="21">
        <f t="shared" si="231"/>
        <v>0</v>
      </c>
      <c r="AG175" s="25"/>
      <c r="AH175" s="20"/>
      <c r="AI175" s="21">
        <f t="shared" si="232"/>
        <v>0</v>
      </c>
      <c r="AJ175" s="25"/>
      <c r="AK175" s="25"/>
      <c r="AL175" s="25"/>
      <c r="AM175" s="25"/>
      <c r="AN175" s="20"/>
      <c r="AO175" s="21">
        <f t="shared" si="233"/>
        <v>0</v>
      </c>
      <c r="AP175" s="4">
        <f t="shared" si="234"/>
        <v>0</v>
      </c>
      <c r="AQ175" s="4">
        <f t="shared" si="234"/>
        <v>500350</v>
      </c>
      <c r="AR175" s="4">
        <f t="shared" si="234"/>
        <v>155200</v>
      </c>
      <c r="AS175" s="4">
        <f t="shared" si="235"/>
        <v>0</v>
      </c>
      <c r="AT175" s="94">
        <f t="shared" si="235"/>
        <v>0</v>
      </c>
      <c r="AU175" s="9">
        <f t="shared" si="236"/>
        <v>655550</v>
      </c>
    </row>
    <row r="176" spans="1:47">
      <c r="A176" s="186"/>
      <c r="B176" s="8">
        <v>8</v>
      </c>
      <c r="C176" s="1" t="s">
        <v>321</v>
      </c>
      <c r="D176" s="12" t="s">
        <v>313</v>
      </c>
      <c r="E176" s="4" t="s">
        <v>24</v>
      </c>
      <c r="F176" s="4"/>
      <c r="G176" s="4">
        <v>255000</v>
      </c>
      <c r="H176" s="4">
        <f>52000+60500+209000+77000</f>
        <v>398500</v>
      </c>
      <c r="I176" s="4">
        <f>140000+20000</f>
        <v>160000</v>
      </c>
      <c r="J176" s="4"/>
      <c r="K176" s="9">
        <f t="shared" si="227"/>
        <v>813500</v>
      </c>
      <c r="L176" s="4"/>
      <c r="M176" s="4"/>
      <c r="N176" s="4"/>
      <c r="O176" s="4"/>
      <c r="P176" s="4"/>
      <c r="Q176" s="9">
        <f t="shared" si="228"/>
        <v>0</v>
      </c>
      <c r="R176" s="20"/>
      <c r="S176" s="20"/>
      <c r="T176" s="20"/>
      <c r="U176" s="20"/>
      <c r="V176" s="20"/>
      <c r="W176" s="9">
        <f t="shared" si="229"/>
        <v>0</v>
      </c>
      <c r="X176" s="20"/>
      <c r="Y176" s="25">
        <v>392250</v>
      </c>
      <c r="Z176" s="24">
        <v>664450</v>
      </c>
      <c r="AA176" s="24">
        <v>270000</v>
      </c>
      <c r="AB176" s="20"/>
      <c r="AC176" s="21">
        <f t="shared" si="230"/>
        <v>1326700</v>
      </c>
      <c r="AD176" s="25">
        <v>1155000</v>
      </c>
      <c r="AE176" s="20">
        <f>105000+315000+315000+315000+210000</f>
        <v>1260000</v>
      </c>
      <c r="AF176" s="21">
        <f t="shared" si="231"/>
        <v>2415000</v>
      </c>
      <c r="AG176" s="25"/>
      <c r="AH176" s="20"/>
      <c r="AI176" s="21">
        <f t="shared" si="232"/>
        <v>0</v>
      </c>
      <c r="AJ176" s="25"/>
      <c r="AK176" s="25">
        <v>100000</v>
      </c>
      <c r="AL176" s="25">
        <v>276000</v>
      </c>
      <c r="AM176" s="25"/>
      <c r="AN176" s="20"/>
      <c r="AO176" s="21">
        <f t="shared" si="233"/>
        <v>376000</v>
      </c>
      <c r="AP176" s="4">
        <f t="shared" si="234"/>
        <v>0</v>
      </c>
      <c r="AQ176" s="4">
        <f t="shared" si="234"/>
        <v>747250</v>
      </c>
      <c r="AR176" s="4">
        <f t="shared" si="234"/>
        <v>1338950</v>
      </c>
      <c r="AS176" s="4">
        <f t="shared" si="235"/>
        <v>1585000</v>
      </c>
      <c r="AT176" s="94">
        <f t="shared" si="235"/>
        <v>1260000</v>
      </c>
      <c r="AU176" s="9">
        <f t="shared" si="236"/>
        <v>4931200</v>
      </c>
    </row>
    <row r="177" spans="1:47" ht="47.25">
      <c r="A177" s="186"/>
      <c r="B177" s="8">
        <v>9</v>
      </c>
      <c r="C177" s="1" t="s">
        <v>322</v>
      </c>
      <c r="D177" s="12" t="s">
        <v>323</v>
      </c>
      <c r="E177" s="4" t="s">
        <v>24</v>
      </c>
      <c r="F177" s="4">
        <v>155000</v>
      </c>
      <c r="G177" s="4">
        <v>137500</v>
      </c>
      <c r="H177" s="4">
        <f>115500+38500+44000+33000</f>
        <v>231000</v>
      </c>
      <c r="I177" s="4"/>
      <c r="J177" s="4"/>
      <c r="K177" s="9">
        <f t="shared" si="227"/>
        <v>523500</v>
      </c>
      <c r="L177" s="4"/>
      <c r="M177" s="4"/>
      <c r="N177" s="4"/>
      <c r="O177" s="4"/>
      <c r="P177" s="4"/>
      <c r="Q177" s="9">
        <f t="shared" si="228"/>
        <v>0</v>
      </c>
      <c r="R177" s="20">
        <v>290000</v>
      </c>
      <c r="S177" s="20"/>
      <c r="T177" s="4">
        <v>1218000</v>
      </c>
      <c r="U177" s="22"/>
      <c r="V177" s="22"/>
      <c r="W177" s="9">
        <f t="shared" si="229"/>
        <v>1508000</v>
      </c>
      <c r="X177" s="20">
        <v>195000</v>
      </c>
      <c r="Y177" s="25">
        <v>359450</v>
      </c>
      <c r="Z177" s="24">
        <v>55200</v>
      </c>
      <c r="AA177" s="24"/>
      <c r="AB177" s="20"/>
      <c r="AC177" s="21">
        <f t="shared" si="230"/>
        <v>609650</v>
      </c>
      <c r="AD177" s="25">
        <v>0</v>
      </c>
      <c r="AE177" s="20"/>
      <c r="AF177" s="21">
        <f t="shared" si="231"/>
        <v>0</v>
      </c>
      <c r="AG177" s="25"/>
      <c r="AH177" s="20"/>
      <c r="AI177" s="21">
        <f t="shared" si="232"/>
        <v>0</v>
      </c>
      <c r="AJ177" s="25"/>
      <c r="AK177" s="25"/>
      <c r="AL177" s="25"/>
      <c r="AM177" s="25"/>
      <c r="AN177" s="20"/>
      <c r="AO177" s="21">
        <f t="shared" si="233"/>
        <v>0</v>
      </c>
      <c r="AP177" s="4">
        <f t="shared" si="234"/>
        <v>640000</v>
      </c>
      <c r="AQ177" s="4">
        <f t="shared" si="234"/>
        <v>496950</v>
      </c>
      <c r="AR177" s="4">
        <f t="shared" si="234"/>
        <v>1504200</v>
      </c>
      <c r="AS177" s="4">
        <f t="shared" si="235"/>
        <v>0</v>
      </c>
      <c r="AT177" s="94">
        <f t="shared" si="235"/>
        <v>0</v>
      </c>
      <c r="AU177" s="9">
        <f t="shared" si="236"/>
        <v>2641150</v>
      </c>
    </row>
    <row r="178" spans="1:47">
      <c r="A178" s="186"/>
      <c r="B178" s="8">
        <v>10</v>
      </c>
      <c r="C178" s="1" t="s">
        <v>324</v>
      </c>
      <c r="D178" s="12" t="s">
        <v>26</v>
      </c>
      <c r="E178" s="4" t="s">
        <v>24</v>
      </c>
      <c r="F178" s="4"/>
      <c r="G178" s="4"/>
      <c r="H178" s="4"/>
      <c r="I178" s="4"/>
      <c r="J178" s="4"/>
      <c r="K178" s="9">
        <f t="shared" si="227"/>
        <v>0</v>
      </c>
      <c r="L178" s="4"/>
      <c r="M178" s="4"/>
      <c r="N178" s="4"/>
      <c r="O178" s="4"/>
      <c r="P178" s="4"/>
      <c r="Q178" s="9">
        <f t="shared" si="228"/>
        <v>0</v>
      </c>
      <c r="R178" s="20">
        <v>290000</v>
      </c>
      <c r="S178" s="20"/>
      <c r="T178" s="4">
        <v>252000</v>
      </c>
      <c r="U178" s="22"/>
      <c r="V178" s="22"/>
      <c r="W178" s="9">
        <f t="shared" si="229"/>
        <v>542000</v>
      </c>
      <c r="X178" s="20"/>
      <c r="Y178" s="25"/>
      <c r="Z178" s="24"/>
      <c r="AA178" s="24"/>
      <c r="AB178" s="20"/>
      <c r="AC178" s="21">
        <f t="shared" si="230"/>
        <v>0</v>
      </c>
      <c r="AD178" s="25">
        <v>0</v>
      </c>
      <c r="AE178" s="20"/>
      <c r="AF178" s="21">
        <f t="shared" si="231"/>
        <v>0</v>
      </c>
      <c r="AG178" s="25"/>
      <c r="AH178" s="20"/>
      <c r="AI178" s="21">
        <f t="shared" si="232"/>
        <v>0</v>
      </c>
      <c r="AJ178" s="25"/>
      <c r="AK178" s="25"/>
      <c r="AL178" s="25"/>
      <c r="AM178" s="25"/>
      <c r="AN178" s="20"/>
      <c r="AO178" s="21">
        <f t="shared" si="233"/>
        <v>0</v>
      </c>
      <c r="AP178" s="4">
        <f t="shared" si="234"/>
        <v>290000</v>
      </c>
      <c r="AQ178" s="4">
        <f t="shared" si="234"/>
        <v>0</v>
      </c>
      <c r="AR178" s="4">
        <f t="shared" si="234"/>
        <v>252000</v>
      </c>
      <c r="AS178" s="4">
        <f t="shared" si="235"/>
        <v>0</v>
      </c>
      <c r="AT178" s="94">
        <f t="shared" si="235"/>
        <v>0</v>
      </c>
      <c r="AU178" s="9">
        <f t="shared" si="236"/>
        <v>542000</v>
      </c>
    </row>
    <row r="179" spans="1:47">
      <c r="A179" s="186"/>
      <c r="B179" s="8">
        <v>11</v>
      </c>
      <c r="C179" s="1" t="s">
        <v>325</v>
      </c>
      <c r="D179" s="61" t="s">
        <v>326</v>
      </c>
      <c r="E179" s="4" t="s">
        <v>24</v>
      </c>
      <c r="F179" s="4"/>
      <c r="G179" s="4"/>
      <c r="H179" s="4"/>
      <c r="I179" s="4"/>
      <c r="J179" s="4"/>
      <c r="K179" s="9">
        <f t="shared" si="227"/>
        <v>0</v>
      </c>
      <c r="L179" s="4"/>
      <c r="M179" s="4"/>
      <c r="N179" s="4"/>
      <c r="O179" s="4"/>
      <c r="P179" s="4"/>
      <c r="Q179" s="9">
        <f t="shared" si="228"/>
        <v>0</v>
      </c>
      <c r="R179" s="20">
        <v>290000</v>
      </c>
      <c r="S179" s="22">
        <v>931000</v>
      </c>
      <c r="T179" s="4">
        <v>112000</v>
      </c>
      <c r="U179" s="73">
        <v>720000</v>
      </c>
      <c r="V179" s="73">
        <f>1125000+225000+225000+150000</f>
        <v>1725000</v>
      </c>
      <c r="W179" s="9">
        <f t="shared" si="229"/>
        <v>3778000</v>
      </c>
      <c r="X179" s="20">
        <v>195000</v>
      </c>
      <c r="Y179" s="25">
        <v>557300</v>
      </c>
      <c r="Z179" s="24">
        <v>216700</v>
      </c>
      <c r="AA179" s="24">
        <v>96000</v>
      </c>
      <c r="AB179" s="20"/>
      <c r="AC179" s="21">
        <f t="shared" si="230"/>
        <v>1065000</v>
      </c>
      <c r="AD179" s="25">
        <v>0</v>
      </c>
      <c r="AE179" s="20"/>
      <c r="AF179" s="21">
        <f t="shared" si="231"/>
        <v>0</v>
      </c>
      <c r="AG179" s="25"/>
      <c r="AH179" s="20"/>
      <c r="AI179" s="21">
        <f t="shared" si="232"/>
        <v>0</v>
      </c>
      <c r="AJ179" s="25"/>
      <c r="AK179" s="25"/>
      <c r="AL179" s="25"/>
      <c r="AM179" s="25"/>
      <c r="AN179" s="20"/>
      <c r="AO179" s="21">
        <f t="shared" si="233"/>
        <v>0</v>
      </c>
      <c r="AP179" s="4">
        <f t="shared" si="234"/>
        <v>485000</v>
      </c>
      <c r="AQ179" s="4">
        <f t="shared" si="234"/>
        <v>1488300</v>
      </c>
      <c r="AR179" s="4">
        <f t="shared" si="234"/>
        <v>328700</v>
      </c>
      <c r="AS179" s="4">
        <f t="shared" si="235"/>
        <v>816000</v>
      </c>
      <c r="AT179" s="94">
        <f t="shared" si="235"/>
        <v>1725000</v>
      </c>
      <c r="AU179" s="9">
        <f t="shared" si="236"/>
        <v>4843000</v>
      </c>
    </row>
    <row r="180" spans="1:47">
      <c r="A180" s="186"/>
      <c r="B180" s="8">
        <v>12</v>
      </c>
      <c r="C180" s="1" t="s">
        <v>327</v>
      </c>
      <c r="D180" s="12" t="s">
        <v>313</v>
      </c>
      <c r="E180" s="4" t="s">
        <v>24</v>
      </c>
      <c r="F180" s="4"/>
      <c r="G180" s="4">
        <v>155000</v>
      </c>
      <c r="H180" s="4">
        <f>155000+64000+60000</f>
        <v>279000</v>
      </c>
      <c r="I180" s="4">
        <f>80000+20000</f>
        <v>100000</v>
      </c>
      <c r="J180" s="4"/>
      <c r="K180" s="9">
        <f t="shared" si="227"/>
        <v>534000</v>
      </c>
      <c r="L180" s="4"/>
      <c r="M180" s="4"/>
      <c r="N180" s="4"/>
      <c r="O180" s="4"/>
      <c r="P180" s="4"/>
      <c r="Q180" s="9">
        <f t="shared" si="228"/>
        <v>0</v>
      </c>
      <c r="R180" s="20"/>
      <c r="S180" s="20"/>
      <c r="T180" s="4"/>
      <c r="U180" s="20"/>
      <c r="V180" s="20"/>
      <c r="W180" s="9">
        <f t="shared" si="229"/>
        <v>0</v>
      </c>
      <c r="X180" s="20"/>
      <c r="Y180" s="20">
        <v>258750</v>
      </c>
      <c r="Z180" s="24">
        <v>388150</v>
      </c>
      <c r="AA180" s="24">
        <v>150000</v>
      </c>
      <c r="AB180" s="20"/>
      <c r="AC180" s="21">
        <f t="shared" si="230"/>
        <v>796900</v>
      </c>
      <c r="AD180" s="25">
        <v>945000</v>
      </c>
      <c r="AE180" s="20">
        <f>294000+315000+315000+315000+210000</f>
        <v>1449000</v>
      </c>
      <c r="AF180" s="21">
        <f t="shared" si="231"/>
        <v>2394000</v>
      </c>
      <c r="AG180" s="25"/>
      <c r="AH180" s="20"/>
      <c r="AI180" s="21">
        <f t="shared" si="232"/>
        <v>0</v>
      </c>
      <c r="AJ180" s="25"/>
      <c r="AK180" s="25"/>
      <c r="AL180" s="25"/>
      <c r="AM180" s="25"/>
      <c r="AN180" s="20"/>
      <c r="AO180" s="21">
        <f t="shared" si="233"/>
        <v>0</v>
      </c>
      <c r="AP180" s="4">
        <f t="shared" si="234"/>
        <v>0</v>
      </c>
      <c r="AQ180" s="4">
        <f t="shared" si="234"/>
        <v>413750</v>
      </c>
      <c r="AR180" s="4">
        <f t="shared" si="234"/>
        <v>667150</v>
      </c>
      <c r="AS180" s="4">
        <f t="shared" si="235"/>
        <v>1195000</v>
      </c>
      <c r="AT180" s="94">
        <f t="shared" si="235"/>
        <v>1449000</v>
      </c>
      <c r="AU180" s="9">
        <f t="shared" si="236"/>
        <v>3724900</v>
      </c>
    </row>
    <row r="181" spans="1:47">
      <c r="A181" s="186"/>
      <c r="B181" s="8">
        <v>13</v>
      </c>
      <c r="C181" s="1" t="s">
        <v>329</v>
      </c>
      <c r="D181" s="12" t="s">
        <v>330</v>
      </c>
      <c r="E181" s="4" t="s">
        <v>24</v>
      </c>
      <c r="F181" s="4">
        <v>155000</v>
      </c>
      <c r="G181" s="4">
        <v>1039000</v>
      </c>
      <c r="H181" s="4">
        <f>220000+297000+80000</f>
        <v>597000</v>
      </c>
      <c r="I181" s="4">
        <f>60000+40000</f>
        <v>100000</v>
      </c>
      <c r="J181" s="4"/>
      <c r="K181" s="9">
        <f t="shared" si="227"/>
        <v>1891000</v>
      </c>
      <c r="L181" s="76"/>
      <c r="M181" s="76">
        <v>1010000</v>
      </c>
      <c r="N181" s="76">
        <v>1670000</v>
      </c>
      <c r="O181" s="76">
        <v>250000</v>
      </c>
      <c r="P181" s="4"/>
      <c r="Q181" s="9">
        <f t="shared" si="228"/>
        <v>2930000</v>
      </c>
      <c r="R181" s="20"/>
      <c r="S181" s="22">
        <v>899000</v>
      </c>
      <c r="T181" s="4">
        <v>870000</v>
      </c>
      <c r="U181" s="32">
        <v>300000</v>
      </c>
      <c r="V181" s="32"/>
      <c r="W181" s="9">
        <f t="shared" si="229"/>
        <v>2069000</v>
      </c>
      <c r="X181" s="20">
        <v>195000</v>
      </c>
      <c r="Y181" s="25">
        <v>1164700</v>
      </c>
      <c r="Z181" s="24">
        <v>483750</v>
      </c>
      <c r="AA181" s="24">
        <v>150000</v>
      </c>
      <c r="AB181" s="20"/>
      <c r="AC181" s="21">
        <f t="shared" si="230"/>
        <v>1993450</v>
      </c>
      <c r="AD181" s="25">
        <v>0</v>
      </c>
      <c r="AE181" s="20"/>
      <c r="AF181" s="21">
        <f t="shared" si="231"/>
        <v>0</v>
      </c>
      <c r="AG181" s="24">
        <v>900000</v>
      </c>
      <c r="AH181" s="20">
        <f>300000+300000+300000+300000+200000</f>
        <v>1400000</v>
      </c>
      <c r="AI181" s="21">
        <f t="shared" si="232"/>
        <v>2300000</v>
      </c>
      <c r="AJ181" s="25"/>
      <c r="AK181" s="24">
        <f>100000+276000</f>
        <v>376000</v>
      </c>
      <c r="AL181" s="25"/>
      <c r="AM181" s="25"/>
      <c r="AN181" s="20"/>
      <c r="AO181" s="21">
        <f t="shared" si="233"/>
        <v>376000</v>
      </c>
      <c r="AP181" s="4">
        <f t="shared" si="234"/>
        <v>350000</v>
      </c>
      <c r="AQ181" s="4">
        <f t="shared" si="234"/>
        <v>4488700</v>
      </c>
      <c r="AR181" s="4">
        <f t="shared" si="234"/>
        <v>3620750</v>
      </c>
      <c r="AS181" s="4">
        <f t="shared" si="235"/>
        <v>1700000</v>
      </c>
      <c r="AT181" s="94">
        <f t="shared" si="235"/>
        <v>1400000</v>
      </c>
      <c r="AU181" s="9">
        <f t="shared" si="236"/>
        <v>11559450</v>
      </c>
    </row>
    <row r="182" spans="1:47" ht="31.5">
      <c r="A182" s="186"/>
      <c r="B182" s="8">
        <v>14</v>
      </c>
      <c r="C182" s="1" t="s">
        <v>331</v>
      </c>
      <c r="D182" s="5" t="s">
        <v>421</v>
      </c>
      <c r="E182" s="4" t="s">
        <v>24</v>
      </c>
      <c r="F182" s="4"/>
      <c r="G182" s="4"/>
      <c r="H182" s="4"/>
      <c r="I182" s="4"/>
      <c r="J182" s="4"/>
      <c r="K182" s="9">
        <f t="shared" si="227"/>
        <v>0</v>
      </c>
      <c r="L182" s="4"/>
      <c r="M182" s="4"/>
      <c r="N182" s="4"/>
      <c r="O182" s="4"/>
      <c r="P182" s="4"/>
      <c r="Q182" s="9">
        <f t="shared" si="228"/>
        <v>0</v>
      </c>
      <c r="R182" s="20"/>
      <c r="S182" s="20"/>
      <c r="T182" s="4"/>
      <c r="U182" s="20"/>
      <c r="V182" s="20"/>
      <c r="W182" s="9">
        <f t="shared" si="229"/>
        <v>0</v>
      </c>
      <c r="X182" s="20"/>
      <c r="Y182" s="25">
        <v>195000</v>
      </c>
      <c r="Z182" s="24">
        <v>275000</v>
      </c>
      <c r="AA182" s="24">
        <v>1010000</v>
      </c>
      <c r="AB182" s="20">
        <f>70000+210000+210000+210000+140000</f>
        <v>840000</v>
      </c>
      <c r="AC182" s="21">
        <f t="shared" si="230"/>
        <v>2320000</v>
      </c>
      <c r="AD182" s="25">
        <v>0</v>
      </c>
      <c r="AE182" s="20"/>
      <c r="AF182" s="21">
        <f t="shared" si="231"/>
        <v>0</v>
      </c>
      <c r="AG182" s="25"/>
      <c r="AH182" s="20"/>
      <c r="AI182" s="21">
        <f t="shared" si="232"/>
        <v>0</v>
      </c>
      <c r="AJ182" s="25"/>
      <c r="AK182" s="25">
        <v>100000</v>
      </c>
      <c r="AL182" s="25">
        <v>239200</v>
      </c>
      <c r="AM182" s="25"/>
      <c r="AN182" s="20"/>
      <c r="AO182" s="21">
        <f t="shared" si="233"/>
        <v>339200</v>
      </c>
      <c r="AP182" s="4">
        <f t="shared" si="234"/>
        <v>0</v>
      </c>
      <c r="AQ182" s="4">
        <f t="shared" si="234"/>
        <v>295000</v>
      </c>
      <c r="AR182" s="4">
        <f t="shared" si="234"/>
        <v>514200</v>
      </c>
      <c r="AS182" s="4">
        <f t="shared" si="235"/>
        <v>1010000</v>
      </c>
      <c r="AT182" s="94">
        <f t="shared" si="235"/>
        <v>840000</v>
      </c>
      <c r="AU182" s="9">
        <f t="shared" si="236"/>
        <v>2659200</v>
      </c>
    </row>
    <row r="183" spans="1:47">
      <c r="A183" s="186"/>
      <c r="B183" s="8">
        <v>15</v>
      </c>
      <c r="C183" s="1" t="s">
        <v>332</v>
      </c>
      <c r="D183" s="4" t="s">
        <v>333</v>
      </c>
      <c r="E183" s="4" t="s">
        <v>24</v>
      </c>
      <c r="F183" s="4"/>
      <c r="G183" s="4">
        <v>741983</v>
      </c>
      <c r="H183" s="4">
        <f>88000+110000+220000</f>
        <v>418000</v>
      </c>
      <c r="I183" s="4"/>
      <c r="J183" s="4"/>
      <c r="K183" s="9">
        <f t="shared" si="227"/>
        <v>1159983</v>
      </c>
      <c r="L183" s="4"/>
      <c r="M183" s="4"/>
      <c r="N183" s="4"/>
      <c r="O183" s="4"/>
      <c r="P183" s="4"/>
      <c r="Q183" s="9">
        <f t="shared" si="228"/>
        <v>0</v>
      </c>
      <c r="R183" s="20"/>
      <c r="S183" s="22">
        <v>1078065</v>
      </c>
      <c r="T183" s="4">
        <v>2130000</v>
      </c>
      <c r="U183" s="32"/>
      <c r="V183" s="32"/>
      <c r="W183" s="9">
        <f t="shared" si="229"/>
        <v>3208065</v>
      </c>
      <c r="X183" s="20"/>
      <c r="Y183" s="25">
        <v>1012650</v>
      </c>
      <c r="Z183" s="24">
        <v>477000</v>
      </c>
      <c r="AA183" s="24"/>
      <c r="AB183" s="20"/>
      <c r="AC183" s="21">
        <f t="shared" si="230"/>
        <v>1489650</v>
      </c>
      <c r="AD183" s="25">
        <v>0</v>
      </c>
      <c r="AE183" s="20"/>
      <c r="AF183" s="21">
        <f t="shared" si="231"/>
        <v>0</v>
      </c>
      <c r="AG183" s="25"/>
      <c r="AH183" s="20"/>
      <c r="AI183" s="21">
        <f t="shared" si="232"/>
        <v>0</v>
      </c>
      <c r="AJ183" s="25"/>
      <c r="AK183" s="25"/>
      <c r="AL183" s="25"/>
      <c r="AM183" s="25"/>
      <c r="AN183" s="20"/>
      <c r="AO183" s="21">
        <f t="shared" si="233"/>
        <v>0</v>
      </c>
      <c r="AP183" s="4">
        <f t="shared" si="234"/>
        <v>0</v>
      </c>
      <c r="AQ183" s="4">
        <f t="shared" si="234"/>
        <v>2832698</v>
      </c>
      <c r="AR183" s="4">
        <f t="shared" si="234"/>
        <v>3025000</v>
      </c>
      <c r="AS183" s="4">
        <f t="shared" si="235"/>
        <v>0</v>
      </c>
      <c r="AT183" s="94">
        <f t="shared" si="235"/>
        <v>0</v>
      </c>
      <c r="AU183" s="9">
        <f t="shared" si="236"/>
        <v>5857698</v>
      </c>
    </row>
    <row r="184" spans="1:47">
      <c r="A184" s="186"/>
      <c r="B184" s="8">
        <v>16</v>
      </c>
      <c r="C184" s="1" t="s">
        <v>334</v>
      </c>
      <c r="D184" s="4" t="s">
        <v>335</v>
      </c>
      <c r="E184" s="4" t="s">
        <v>24</v>
      </c>
      <c r="F184" s="4"/>
      <c r="G184" s="4">
        <v>155000</v>
      </c>
      <c r="H184" s="4"/>
      <c r="I184" s="4"/>
      <c r="J184" s="4"/>
      <c r="K184" s="9">
        <f t="shared" si="227"/>
        <v>155000</v>
      </c>
      <c r="L184" s="4"/>
      <c r="M184" s="4"/>
      <c r="N184" s="4"/>
      <c r="O184" s="4"/>
      <c r="P184" s="4"/>
      <c r="Q184" s="9">
        <f t="shared" si="228"/>
        <v>0</v>
      </c>
      <c r="R184" s="20"/>
      <c r="S184" s="20"/>
      <c r="T184" s="20"/>
      <c r="U184" s="20"/>
      <c r="V184" s="20"/>
      <c r="W184" s="9">
        <f t="shared" si="229"/>
        <v>0</v>
      </c>
      <c r="X184" s="20"/>
      <c r="Y184" s="25">
        <v>841750</v>
      </c>
      <c r="Z184" s="20"/>
      <c r="AA184" s="20"/>
      <c r="AB184" s="20"/>
      <c r="AC184" s="21">
        <f t="shared" si="230"/>
        <v>841750</v>
      </c>
      <c r="AD184" s="25">
        <v>0</v>
      </c>
      <c r="AE184" s="20"/>
      <c r="AF184" s="21">
        <f t="shared" si="231"/>
        <v>0</v>
      </c>
      <c r="AG184" s="25"/>
      <c r="AH184" s="20"/>
      <c r="AI184" s="21">
        <f t="shared" si="232"/>
        <v>0</v>
      </c>
      <c r="AJ184" s="25"/>
      <c r="AK184" s="25">
        <v>100000</v>
      </c>
      <c r="AL184" s="25"/>
      <c r="AM184" s="25"/>
      <c r="AN184" s="20"/>
      <c r="AO184" s="21">
        <f t="shared" si="233"/>
        <v>100000</v>
      </c>
      <c r="AP184" s="4">
        <f t="shared" si="234"/>
        <v>0</v>
      </c>
      <c r="AQ184" s="4">
        <f t="shared" si="234"/>
        <v>1096750</v>
      </c>
      <c r="AR184" s="4">
        <f t="shared" si="234"/>
        <v>0</v>
      </c>
      <c r="AS184" s="4">
        <f t="shared" si="235"/>
        <v>0</v>
      </c>
      <c r="AT184" s="94">
        <f t="shared" si="235"/>
        <v>0</v>
      </c>
      <c r="AU184" s="9">
        <f t="shared" si="236"/>
        <v>1096750</v>
      </c>
    </row>
    <row r="185" spans="1:47">
      <c r="A185" s="186"/>
      <c r="B185" s="8">
        <v>17</v>
      </c>
      <c r="C185" s="1" t="s">
        <v>336</v>
      </c>
      <c r="D185" s="4" t="s">
        <v>26</v>
      </c>
      <c r="E185" s="4" t="s">
        <v>24</v>
      </c>
      <c r="F185" s="4">
        <v>155000</v>
      </c>
      <c r="G185" s="4">
        <v>412000</v>
      </c>
      <c r="H185" s="4">
        <f>38500+209000</f>
        <v>247500</v>
      </c>
      <c r="I185" s="4"/>
      <c r="J185" s="4"/>
      <c r="K185" s="9">
        <f t="shared" si="227"/>
        <v>814500</v>
      </c>
      <c r="L185" s="4"/>
      <c r="M185" s="4"/>
      <c r="N185" s="4"/>
      <c r="O185" s="4"/>
      <c r="P185" s="4"/>
      <c r="Q185" s="9">
        <f t="shared" si="228"/>
        <v>0</v>
      </c>
      <c r="R185" s="20"/>
      <c r="S185" s="20"/>
      <c r="T185" s="20"/>
      <c r="U185" s="20"/>
      <c r="V185" s="20"/>
      <c r="W185" s="9">
        <f t="shared" si="229"/>
        <v>0</v>
      </c>
      <c r="X185" s="20">
        <v>195000</v>
      </c>
      <c r="Y185" s="25">
        <v>689400</v>
      </c>
      <c r="Z185" s="24">
        <v>235500</v>
      </c>
      <c r="AA185" s="25"/>
      <c r="AB185" s="20"/>
      <c r="AC185" s="21">
        <f t="shared" si="230"/>
        <v>1119900</v>
      </c>
      <c r="AD185" s="25">
        <v>0</v>
      </c>
      <c r="AE185" s="20"/>
      <c r="AF185" s="21">
        <f t="shared" si="231"/>
        <v>0</v>
      </c>
      <c r="AG185" s="25"/>
      <c r="AH185" s="20"/>
      <c r="AI185" s="21">
        <f t="shared" si="232"/>
        <v>0</v>
      </c>
      <c r="AJ185" s="25"/>
      <c r="AK185" s="25">
        <v>100000</v>
      </c>
      <c r="AL185" s="25">
        <v>432000</v>
      </c>
      <c r="AM185" s="25"/>
      <c r="AN185" s="20"/>
      <c r="AO185" s="21">
        <f t="shared" si="233"/>
        <v>532000</v>
      </c>
      <c r="AP185" s="4">
        <f t="shared" si="234"/>
        <v>350000</v>
      </c>
      <c r="AQ185" s="4">
        <f t="shared" si="234"/>
        <v>1201400</v>
      </c>
      <c r="AR185" s="4">
        <f t="shared" si="234"/>
        <v>915000</v>
      </c>
      <c r="AS185" s="4">
        <f t="shared" si="235"/>
        <v>0</v>
      </c>
      <c r="AT185" s="94">
        <f t="shared" si="235"/>
        <v>0</v>
      </c>
      <c r="AU185" s="9">
        <f t="shared" si="236"/>
        <v>2466400</v>
      </c>
    </row>
    <row r="186" spans="1:47">
      <c r="A186" s="186"/>
      <c r="B186" s="8">
        <v>18</v>
      </c>
      <c r="C186" s="1" t="s">
        <v>337</v>
      </c>
      <c r="D186" s="5" t="s">
        <v>335</v>
      </c>
      <c r="E186" s="4" t="s">
        <v>24</v>
      </c>
      <c r="F186" s="4"/>
      <c r="G186" s="4"/>
      <c r="H186" s="4"/>
      <c r="I186" s="4"/>
      <c r="J186" s="4"/>
      <c r="K186" s="9">
        <f t="shared" si="227"/>
        <v>0</v>
      </c>
      <c r="L186" s="4"/>
      <c r="M186" s="4"/>
      <c r="N186" s="4"/>
      <c r="O186" s="4"/>
      <c r="P186" s="4"/>
      <c r="Q186" s="9">
        <f t="shared" si="228"/>
        <v>0</v>
      </c>
      <c r="R186" s="20"/>
      <c r="S186" s="20"/>
      <c r="T186" s="20"/>
      <c r="U186" s="20"/>
      <c r="V186" s="20"/>
      <c r="W186" s="9">
        <f t="shared" si="229"/>
        <v>0</v>
      </c>
      <c r="X186" s="20"/>
      <c r="Y186" s="25">
        <v>195000</v>
      </c>
      <c r="Z186" s="20"/>
      <c r="AA186" s="20"/>
      <c r="AB186" s="20"/>
      <c r="AC186" s="21">
        <f t="shared" si="230"/>
        <v>195000</v>
      </c>
      <c r="AD186" s="25">
        <v>0</v>
      </c>
      <c r="AE186" s="20"/>
      <c r="AF186" s="21">
        <f t="shared" si="231"/>
        <v>0</v>
      </c>
      <c r="AG186" s="25"/>
      <c r="AH186" s="20"/>
      <c r="AI186" s="21">
        <f t="shared" si="232"/>
        <v>0</v>
      </c>
      <c r="AJ186" s="25"/>
      <c r="AK186" s="25"/>
      <c r="AL186" s="25"/>
      <c r="AM186" s="25"/>
      <c r="AN186" s="20"/>
      <c r="AO186" s="21">
        <f t="shared" si="233"/>
        <v>0</v>
      </c>
      <c r="AP186" s="4">
        <f t="shared" si="234"/>
        <v>0</v>
      </c>
      <c r="AQ186" s="4">
        <f t="shared" si="234"/>
        <v>195000</v>
      </c>
      <c r="AR186" s="4">
        <f t="shared" si="234"/>
        <v>0</v>
      </c>
      <c r="AS186" s="4">
        <f t="shared" si="235"/>
        <v>0</v>
      </c>
      <c r="AT186" s="94">
        <f t="shared" si="235"/>
        <v>0</v>
      </c>
      <c r="AU186" s="9">
        <f t="shared" si="236"/>
        <v>195000</v>
      </c>
    </row>
    <row r="187" spans="1:47" ht="31.5">
      <c r="A187" s="186"/>
      <c r="B187" s="8">
        <v>19</v>
      </c>
      <c r="C187" s="1" t="s">
        <v>338</v>
      </c>
      <c r="D187" s="4" t="s">
        <v>26</v>
      </c>
      <c r="E187" s="4" t="s">
        <v>24</v>
      </c>
      <c r="F187" s="4">
        <v>155000</v>
      </c>
      <c r="G187" s="4">
        <v>343000</v>
      </c>
      <c r="H187" s="4">
        <f>77000+38500</f>
        <v>115500</v>
      </c>
      <c r="I187" s="4">
        <f>126000+14000</f>
        <v>140000</v>
      </c>
      <c r="J187" s="4"/>
      <c r="K187" s="9">
        <f t="shared" si="227"/>
        <v>753500</v>
      </c>
      <c r="L187" s="4"/>
      <c r="M187" s="4"/>
      <c r="N187" s="4"/>
      <c r="O187" s="4"/>
      <c r="P187" s="4"/>
      <c r="Q187" s="9">
        <f t="shared" si="228"/>
        <v>0</v>
      </c>
      <c r="R187" s="20"/>
      <c r="S187" s="20"/>
      <c r="T187" s="20"/>
      <c r="U187" s="20"/>
      <c r="V187" s="20"/>
      <c r="W187" s="9">
        <f t="shared" si="229"/>
        <v>0</v>
      </c>
      <c r="X187" s="20">
        <v>195000</v>
      </c>
      <c r="Y187" s="25">
        <v>835150</v>
      </c>
      <c r="Z187" s="24">
        <v>494400</v>
      </c>
      <c r="AA187" s="25">
        <v>150000</v>
      </c>
      <c r="AB187" s="20"/>
      <c r="AC187" s="21">
        <f t="shared" si="230"/>
        <v>1674550</v>
      </c>
      <c r="AD187" s="25">
        <v>946000</v>
      </c>
      <c r="AE187" s="20">
        <f>101000+301500+200000+100500+300000+201000</f>
        <v>1204000</v>
      </c>
      <c r="AF187" s="21">
        <f t="shared" si="231"/>
        <v>2150000</v>
      </c>
      <c r="AG187" s="25"/>
      <c r="AH187" s="20"/>
      <c r="AI187" s="21">
        <f t="shared" si="232"/>
        <v>0</v>
      </c>
      <c r="AJ187" s="25"/>
      <c r="AK187" s="25"/>
      <c r="AL187" s="25"/>
      <c r="AM187" s="25"/>
      <c r="AN187" s="20"/>
      <c r="AO187" s="21">
        <f t="shared" si="233"/>
        <v>0</v>
      </c>
      <c r="AP187" s="4">
        <f t="shared" si="234"/>
        <v>350000</v>
      </c>
      <c r="AQ187" s="4">
        <f t="shared" si="234"/>
        <v>1178150</v>
      </c>
      <c r="AR187" s="4">
        <f t="shared" si="234"/>
        <v>609900</v>
      </c>
      <c r="AS187" s="4">
        <f t="shared" si="235"/>
        <v>1236000</v>
      </c>
      <c r="AT187" s="94">
        <f t="shared" si="235"/>
        <v>1204000</v>
      </c>
      <c r="AU187" s="9">
        <f t="shared" si="236"/>
        <v>4578050</v>
      </c>
    </row>
    <row r="188" spans="1:47">
      <c r="A188" s="186"/>
      <c r="B188" s="8">
        <v>20</v>
      </c>
      <c r="C188" s="1" t="s">
        <v>339</v>
      </c>
      <c r="D188" s="4" t="s">
        <v>335</v>
      </c>
      <c r="E188" s="4" t="s">
        <v>24</v>
      </c>
      <c r="F188" s="4"/>
      <c r="G188" s="4">
        <v>155000</v>
      </c>
      <c r="H188" s="4">
        <f>397500+88000</f>
        <v>485500</v>
      </c>
      <c r="I188" s="4">
        <v>420000</v>
      </c>
      <c r="J188" s="4">
        <f>210000+210000+210000+210000+140000</f>
        <v>980000</v>
      </c>
      <c r="K188" s="9">
        <f t="shared" si="227"/>
        <v>2040500</v>
      </c>
      <c r="L188" s="4"/>
      <c r="M188" s="4"/>
      <c r="N188" s="4"/>
      <c r="O188" s="4"/>
      <c r="P188" s="4"/>
      <c r="Q188" s="9">
        <f t="shared" si="228"/>
        <v>0</v>
      </c>
      <c r="R188" s="20"/>
      <c r="S188" s="20"/>
      <c r="T188" s="20"/>
      <c r="U188" s="20"/>
      <c r="V188" s="20"/>
      <c r="W188" s="9">
        <f t="shared" si="229"/>
        <v>0</v>
      </c>
      <c r="X188" s="20"/>
      <c r="Y188" s="20"/>
      <c r="Z188" s="20"/>
      <c r="AA188" s="20"/>
      <c r="AB188" s="20"/>
      <c r="AC188" s="21">
        <f t="shared" si="230"/>
        <v>0</v>
      </c>
      <c r="AD188" s="25">
        <v>0</v>
      </c>
      <c r="AE188" s="20"/>
      <c r="AF188" s="21">
        <f t="shared" si="231"/>
        <v>0</v>
      </c>
      <c r="AG188" s="25"/>
      <c r="AH188" s="20"/>
      <c r="AI188" s="21">
        <f t="shared" si="232"/>
        <v>0</v>
      </c>
      <c r="AJ188" s="25"/>
      <c r="AK188" s="25"/>
      <c r="AL188" s="25">
        <v>100000</v>
      </c>
      <c r="AM188" s="25">
        <v>150000</v>
      </c>
      <c r="AN188" s="20"/>
      <c r="AO188" s="21">
        <f t="shared" si="233"/>
        <v>250000</v>
      </c>
      <c r="AP188" s="4">
        <f t="shared" si="234"/>
        <v>0</v>
      </c>
      <c r="AQ188" s="4">
        <f t="shared" si="234"/>
        <v>155000</v>
      </c>
      <c r="AR188" s="4">
        <f t="shared" si="234"/>
        <v>585500</v>
      </c>
      <c r="AS188" s="4">
        <f t="shared" si="235"/>
        <v>570000</v>
      </c>
      <c r="AT188" s="94">
        <f t="shared" si="235"/>
        <v>980000</v>
      </c>
      <c r="AU188" s="9">
        <f t="shared" si="236"/>
        <v>2290500</v>
      </c>
    </row>
    <row r="189" spans="1:47">
      <c r="A189" s="186"/>
      <c r="B189" s="8">
        <v>21</v>
      </c>
      <c r="C189" s="1" t="s">
        <v>340</v>
      </c>
      <c r="D189" s="4" t="s">
        <v>341</v>
      </c>
      <c r="E189" s="4" t="s">
        <v>24</v>
      </c>
      <c r="F189" s="4">
        <v>155000</v>
      </c>
      <c r="G189" s="4">
        <v>762000</v>
      </c>
      <c r="H189" s="4">
        <f>93500+187000+291500</f>
        <v>572000</v>
      </c>
      <c r="I189" s="4">
        <v>225500</v>
      </c>
      <c r="J189" s="4"/>
      <c r="K189" s="9">
        <f t="shared" si="227"/>
        <v>1714500</v>
      </c>
      <c r="L189" s="76"/>
      <c r="M189" s="76">
        <v>290000</v>
      </c>
      <c r="N189" s="76">
        <v>800000</v>
      </c>
      <c r="O189" s="76">
        <v>925000</v>
      </c>
      <c r="P189" s="4">
        <f>225000+225000+225000+225000+150000</f>
        <v>1050000</v>
      </c>
      <c r="Q189" s="9">
        <f t="shared" si="228"/>
        <v>3065000</v>
      </c>
      <c r="R189" s="20"/>
      <c r="S189" s="20"/>
      <c r="T189" s="20"/>
      <c r="U189" s="20"/>
      <c r="V189" s="20"/>
      <c r="W189" s="9">
        <f t="shared" si="229"/>
        <v>0</v>
      </c>
      <c r="X189" s="20">
        <v>195000</v>
      </c>
      <c r="Y189" s="25">
        <v>953000</v>
      </c>
      <c r="Z189" s="24">
        <v>722650</v>
      </c>
      <c r="AA189" s="25">
        <v>270000</v>
      </c>
      <c r="AB189" s="20"/>
      <c r="AC189" s="21">
        <f t="shared" si="230"/>
        <v>2140650</v>
      </c>
      <c r="AD189" s="25">
        <v>0</v>
      </c>
      <c r="AE189" s="20"/>
      <c r="AF189" s="21">
        <f t="shared" si="231"/>
        <v>0</v>
      </c>
      <c r="AG189" s="25"/>
      <c r="AH189" s="20"/>
      <c r="AI189" s="21">
        <f t="shared" si="232"/>
        <v>0</v>
      </c>
      <c r="AJ189" s="25"/>
      <c r="AK189" s="25"/>
      <c r="AL189" s="25"/>
      <c r="AM189" s="25"/>
      <c r="AN189" s="20"/>
      <c r="AO189" s="21">
        <f t="shared" si="233"/>
        <v>0</v>
      </c>
      <c r="AP189" s="4">
        <f t="shared" si="234"/>
        <v>350000</v>
      </c>
      <c r="AQ189" s="4">
        <f t="shared" si="234"/>
        <v>2005000</v>
      </c>
      <c r="AR189" s="4">
        <f t="shared" si="234"/>
        <v>2094650</v>
      </c>
      <c r="AS189" s="4">
        <f t="shared" si="235"/>
        <v>1420500</v>
      </c>
      <c r="AT189" s="94">
        <f t="shared" si="235"/>
        <v>1050000</v>
      </c>
      <c r="AU189" s="9">
        <f t="shared" si="236"/>
        <v>6920150</v>
      </c>
    </row>
    <row r="190" spans="1:47" ht="31.5">
      <c r="A190" s="186"/>
      <c r="B190" s="8">
        <v>22</v>
      </c>
      <c r="C190" s="1" t="s">
        <v>342</v>
      </c>
      <c r="D190" s="4" t="s">
        <v>343</v>
      </c>
      <c r="E190" s="4" t="s">
        <v>24</v>
      </c>
      <c r="F190" s="4"/>
      <c r="G190" s="4">
        <v>155000</v>
      </c>
      <c r="H190" s="4">
        <f>341000+214500</f>
        <v>555500</v>
      </c>
      <c r="I190" s="4">
        <v>180000</v>
      </c>
      <c r="J190" s="4"/>
      <c r="K190" s="9">
        <f t="shared" si="227"/>
        <v>890500</v>
      </c>
      <c r="L190" s="76"/>
      <c r="M190" s="76">
        <v>1140000</v>
      </c>
      <c r="N190" s="76">
        <v>670000</v>
      </c>
      <c r="O190" s="76">
        <v>975000</v>
      </c>
      <c r="P190" s="4">
        <f>225000+225000+225000+225000+150000</f>
        <v>1050000</v>
      </c>
      <c r="Q190" s="9">
        <f t="shared" si="228"/>
        <v>3835000</v>
      </c>
      <c r="R190" s="20"/>
      <c r="S190" s="20"/>
      <c r="T190" s="20"/>
      <c r="U190" s="20"/>
      <c r="V190" s="20"/>
      <c r="W190" s="9">
        <f t="shared" si="229"/>
        <v>0</v>
      </c>
      <c r="X190" s="20"/>
      <c r="Y190" s="20"/>
      <c r="Z190" s="20"/>
      <c r="AA190" s="20"/>
      <c r="AB190" s="20"/>
      <c r="AC190" s="21">
        <f t="shared" si="230"/>
        <v>0</v>
      </c>
      <c r="AD190" s="25">
        <v>0</v>
      </c>
      <c r="AE190" s="20"/>
      <c r="AF190" s="21">
        <f t="shared" si="231"/>
        <v>0</v>
      </c>
      <c r="AG190" s="25"/>
      <c r="AH190" s="20"/>
      <c r="AI190" s="21">
        <f t="shared" si="232"/>
        <v>0</v>
      </c>
      <c r="AJ190" s="25"/>
      <c r="AK190" s="25"/>
      <c r="AL190" s="25"/>
      <c r="AM190" s="25"/>
      <c r="AN190" s="20"/>
      <c r="AO190" s="21">
        <f t="shared" si="233"/>
        <v>0</v>
      </c>
      <c r="AP190" s="4">
        <f t="shared" si="234"/>
        <v>0</v>
      </c>
      <c r="AQ190" s="4">
        <f t="shared" si="234"/>
        <v>1295000</v>
      </c>
      <c r="AR190" s="4">
        <f t="shared" si="234"/>
        <v>1225500</v>
      </c>
      <c r="AS190" s="4">
        <f t="shared" si="235"/>
        <v>1155000</v>
      </c>
      <c r="AT190" s="94">
        <f t="shared" si="235"/>
        <v>1050000</v>
      </c>
      <c r="AU190" s="9">
        <f t="shared" si="236"/>
        <v>4725500</v>
      </c>
    </row>
    <row r="191" spans="1:47" ht="47.25">
      <c r="A191" s="186"/>
      <c r="B191" s="8">
        <v>23</v>
      </c>
      <c r="C191" s="1" t="s">
        <v>344</v>
      </c>
      <c r="D191" s="4" t="s">
        <v>345</v>
      </c>
      <c r="E191" s="4" t="s">
        <v>24</v>
      </c>
      <c r="F191" s="4"/>
      <c r="G191" s="4"/>
      <c r="H191" s="4">
        <v>155000</v>
      </c>
      <c r="I191" s="4"/>
      <c r="J191" s="4"/>
      <c r="K191" s="9">
        <f t="shared" si="227"/>
        <v>155000</v>
      </c>
      <c r="L191" s="4"/>
      <c r="M191" s="4"/>
      <c r="N191" s="4"/>
      <c r="O191" s="4"/>
      <c r="P191" s="4"/>
      <c r="Q191" s="9">
        <f t="shared" si="228"/>
        <v>0</v>
      </c>
      <c r="R191" s="20"/>
      <c r="S191" s="20"/>
      <c r="T191" s="20"/>
      <c r="U191" s="20"/>
      <c r="V191" s="20"/>
      <c r="W191" s="9">
        <f t="shared" si="229"/>
        <v>0</v>
      </c>
      <c r="X191" s="20"/>
      <c r="Y191" s="20">
        <v>195000</v>
      </c>
      <c r="Z191" s="20"/>
      <c r="AA191" s="20"/>
      <c r="AB191" s="20"/>
      <c r="AC191" s="21">
        <f t="shared" si="230"/>
        <v>195000</v>
      </c>
      <c r="AD191" s="25">
        <v>0</v>
      </c>
      <c r="AE191" s="20"/>
      <c r="AF191" s="21">
        <f t="shared" si="231"/>
        <v>0</v>
      </c>
      <c r="AG191" s="25"/>
      <c r="AH191" s="20"/>
      <c r="AI191" s="21">
        <f t="shared" si="232"/>
        <v>0</v>
      </c>
      <c r="AJ191" s="25"/>
      <c r="AK191" s="25"/>
      <c r="AL191" s="25"/>
      <c r="AM191" s="25"/>
      <c r="AN191" s="20"/>
      <c r="AO191" s="21">
        <f t="shared" si="233"/>
        <v>0</v>
      </c>
      <c r="AP191" s="4">
        <f t="shared" si="234"/>
        <v>0</v>
      </c>
      <c r="AQ191" s="4">
        <f t="shared" si="234"/>
        <v>195000</v>
      </c>
      <c r="AR191" s="4">
        <f t="shared" si="234"/>
        <v>155000</v>
      </c>
      <c r="AS191" s="4">
        <f t="shared" si="235"/>
        <v>0</v>
      </c>
      <c r="AT191" s="94">
        <f t="shared" si="235"/>
        <v>0</v>
      </c>
      <c r="AU191" s="9">
        <f t="shared" si="236"/>
        <v>350000</v>
      </c>
    </row>
    <row r="192" spans="1:47">
      <c r="A192" s="186"/>
      <c r="B192" s="8">
        <v>24</v>
      </c>
      <c r="C192" s="1" t="s">
        <v>346</v>
      </c>
      <c r="D192" s="4" t="s">
        <v>347</v>
      </c>
      <c r="E192" s="4" t="s">
        <v>24</v>
      </c>
      <c r="F192" s="4">
        <v>155000</v>
      </c>
      <c r="G192" s="4">
        <v>927000</v>
      </c>
      <c r="H192" s="4">
        <f>209000+313500</f>
        <v>522500</v>
      </c>
      <c r="I192" s="4">
        <f>160000+20000</f>
        <v>180000</v>
      </c>
      <c r="J192" s="4"/>
      <c r="K192" s="9">
        <f t="shared" si="227"/>
        <v>1784500</v>
      </c>
      <c r="L192" s="76"/>
      <c r="M192" s="76">
        <v>1340000</v>
      </c>
      <c r="N192" s="76">
        <v>980000</v>
      </c>
      <c r="O192" s="76">
        <v>250000</v>
      </c>
      <c r="P192" s="4"/>
      <c r="Q192" s="9">
        <f t="shared" si="228"/>
        <v>2570000</v>
      </c>
      <c r="R192" s="20">
        <v>290000</v>
      </c>
      <c r="S192" s="22">
        <v>1323000</v>
      </c>
      <c r="T192" s="4">
        <v>741000</v>
      </c>
      <c r="U192" s="32">
        <v>300000</v>
      </c>
      <c r="V192" s="32"/>
      <c r="W192" s="9">
        <f t="shared" si="229"/>
        <v>2654000</v>
      </c>
      <c r="X192" s="20"/>
      <c r="Y192" s="20">
        <v>195000</v>
      </c>
      <c r="Z192" s="24">
        <v>297250</v>
      </c>
      <c r="AA192" s="25">
        <v>142000</v>
      </c>
      <c r="AB192" s="20"/>
      <c r="AC192" s="21">
        <f t="shared" si="230"/>
        <v>634250</v>
      </c>
      <c r="AD192" s="25">
        <v>0</v>
      </c>
      <c r="AE192" s="20"/>
      <c r="AF192" s="21">
        <f t="shared" si="231"/>
        <v>0</v>
      </c>
      <c r="AG192" s="24">
        <v>890000</v>
      </c>
      <c r="AH192" s="20">
        <f>300000+300000+280000+285000+190000</f>
        <v>1355000</v>
      </c>
      <c r="AI192" s="21">
        <f t="shared" si="232"/>
        <v>2245000</v>
      </c>
      <c r="AJ192" s="25"/>
      <c r="AK192" s="25">
        <v>100000</v>
      </c>
      <c r="AL192" s="25">
        <v>220800</v>
      </c>
      <c r="AM192" s="25"/>
      <c r="AN192" s="20"/>
      <c r="AO192" s="21">
        <f t="shared" si="233"/>
        <v>320800</v>
      </c>
      <c r="AP192" s="4">
        <f t="shared" si="234"/>
        <v>445000</v>
      </c>
      <c r="AQ192" s="4">
        <f t="shared" si="234"/>
        <v>3885000</v>
      </c>
      <c r="AR192" s="4">
        <f t="shared" si="234"/>
        <v>2761550</v>
      </c>
      <c r="AS192" s="4">
        <f t="shared" si="235"/>
        <v>1762000</v>
      </c>
      <c r="AT192" s="94">
        <f t="shared" si="235"/>
        <v>1355000</v>
      </c>
      <c r="AU192" s="9">
        <f t="shared" si="236"/>
        <v>10208550</v>
      </c>
    </row>
    <row r="193" spans="1:47">
      <c r="A193" s="186"/>
      <c r="B193" s="8">
        <v>25</v>
      </c>
      <c r="C193" s="1" t="s">
        <v>348</v>
      </c>
      <c r="D193" s="5" t="s">
        <v>422</v>
      </c>
      <c r="E193" s="4" t="s">
        <v>24</v>
      </c>
      <c r="F193" s="4"/>
      <c r="G193" s="4"/>
      <c r="H193" s="4"/>
      <c r="I193" s="4"/>
      <c r="J193" s="4"/>
      <c r="K193" s="9">
        <f t="shared" si="227"/>
        <v>0</v>
      </c>
      <c r="L193" s="4"/>
      <c r="M193" s="4"/>
      <c r="N193" s="4"/>
      <c r="O193" s="4"/>
      <c r="P193" s="4"/>
      <c r="Q193" s="9">
        <f t="shared" si="228"/>
        <v>0</v>
      </c>
      <c r="R193" s="20"/>
      <c r="S193" s="20"/>
      <c r="T193" s="20"/>
      <c r="U193" s="20"/>
      <c r="V193" s="20"/>
      <c r="W193" s="9">
        <f t="shared" si="229"/>
        <v>0</v>
      </c>
      <c r="X193" s="20"/>
      <c r="Y193" s="20">
        <v>195000</v>
      </c>
      <c r="Z193" s="24"/>
      <c r="AA193" s="25"/>
      <c r="AB193" s="20"/>
      <c r="AC193" s="21">
        <f t="shared" si="230"/>
        <v>195000</v>
      </c>
      <c r="AD193" s="25">
        <v>0</v>
      </c>
      <c r="AE193" s="20"/>
      <c r="AF193" s="21">
        <f t="shared" si="231"/>
        <v>0</v>
      </c>
      <c r="AG193" s="25"/>
      <c r="AH193" s="20"/>
      <c r="AI193" s="21">
        <f t="shared" si="232"/>
        <v>0</v>
      </c>
      <c r="AJ193" s="25"/>
      <c r="AK193" s="25"/>
      <c r="AL193" s="25"/>
      <c r="AM193" s="25"/>
      <c r="AN193" s="20"/>
      <c r="AO193" s="21">
        <f t="shared" si="233"/>
        <v>0</v>
      </c>
      <c r="AP193" s="4">
        <f t="shared" si="234"/>
        <v>0</v>
      </c>
      <c r="AQ193" s="4">
        <f t="shared" si="234"/>
        <v>195000</v>
      </c>
      <c r="AR193" s="4">
        <f t="shared" si="234"/>
        <v>0</v>
      </c>
      <c r="AS193" s="4">
        <f t="shared" si="235"/>
        <v>0</v>
      </c>
      <c r="AT193" s="94">
        <f t="shared" si="235"/>
        <v>0</v>
      </c>
      <c r="AU193" s="9">
        <f t="shared" si="236"/>
        <v>195000</v>
      </c>
    </row>
    <row r="194" spans="1:47">
      <c r="A194" s="186"/>
      <c r="B194" s="8">
        <v>26</v>
      </c>
      <c r="C194" s="63" t="s">
        <v>349</v>
      </c>
      <c r="D194" s="5" t="s">
        <v>423</v>
      </c>
      <c r="E194" s="4" t="s">
        <v>24</v>
      </c>
      <c r="F194" s="4"/>
      <c r="G194" s="4"/>
      <c r="H194" s="4"/>
      <c r="I194" s="4"/>
      <c r="J194" s="4"/>
      <c r="K194" s="9">
        <f t="shared" si="227"/>
        <v>0</v>
      </c>
      <c r="L194" s="4"/>
      <c r="M194" s="4"/>
      <c r="N194" s="4"/>
      <c r="O194" s="4"/>
      <c r="P194" s="4"/>
      <c r="Q194" s="9">
        <f t="shared" si="228"/>
        <v>0</v>
      </c>
      <c r="R194" s="20"/>
      <c r="S194" s="20"/>
      <c r="T194" s="20"/>
      <c r="U194" s="20"/>
      <c r="V194" s="20"/>
      <c r="W194" s="9">
        <f t="shared" si="229"/>
        <v>0</v>
      </c>
      <c r="X194" s="20"/>
      <c r="Y194" s="20">
        <v>258750</v>
      </c>
      <c r="Z194" s="24">
        <v>359000</v>
      </c>
      <c r="AA194" s="25">
        <v>876000</v>
      </c>
      <c r="AB194" s="20">
        <v>742000</v>
      </c>
      <c r="AC194" s="21">
        <f t="shared" si="230"/>
        <v>2235750</v>
      </c>
      <c r="AD194" s="25">
        <v>0</v>
      </c>
      <c r="AE194" s="20"/>
      <c r="AF194" s="21">
        <f t="shared" si="231"/>
        <v>0</v>
      </c>
      <c r="AG194" s="25"/>
      <c r="AH194" s="20"/>
      <c r="AI194" s="21">
        <f t="shared" si="232"/>
        <v>0</v>
      </c>
      <c r="AJ194" s="25"/>
      <c r="AK194" s="25"/>
      <c r="AL194" s="25"/>
      <c r="AM194" s="25"/>
      <c r="AN194" s="20"/>
      <c r="AO194" s="21">
        <f t="shared" si="233"/>
        <v>0</v>
      </c>
      <c r="AP194" s="4">
        <f t="shared" si="234"/>
        <v>0</v>
      </c>
      <c r="AQ194" s="4">
        <f t="shared" si="234"/>
        <v>258750</v>
      </c>
      <c r="AR194" s="4">
        <f t="shared" si="234"/>
        <v>359000</v>
      </c>
      <c r="AS194" s="4">
        <f t="shared" si="235"/>
        <v>876000</v>
      </c>
      <c r="AT194" s="94">
        <f t="shared" si="235"/>
        <v>742000</v>
      </c>
      <c r="AU194" s="9">
        <f t="shared" si="236"/>
        <v>2235750</v>
      </c>
    </row>
    <row r="195" spans="1:47">
      <c r="A195" s="186"/>
      <c r="B195" s="8">
        <v>27</v>
      </c>
      <c r="C195" s="2" t="s">
        <v>350</v>
      </c>
      <c r="D195" s="4" t="s">
        <v>347</v>
      </c>
      <c r="E195" s="4" t="s">
        <v>24</v>
      </c>
      <c r="F195" s="4"/>
      <c r="G195" s="4"/>
      <c r="H195" s="4"/>
      <c r="I195" s="4"/>
      <c r="J195" s="4"/>
      <c r="K195" s="9">
        <f t="shared" si="227"/>
        <v>0</v>
      </c>
      <c r="L195" s="4"/>
      <c r="M195" s="4"/>
      <c r="N195" s="4"/>
      <c r="O195" s="4"/>
      <c r="P195" s="4"/>
      <c r="Q195" s="9">
        <f t="shared" si="228"/>
        <v>0</v>
      </c>
      <c r="R195" s="20"/>
      <c r="S195" s="20"/>
      <c r="T195" s="20"/>
      <c r="U195" s="20"/>
      <c r="V195" s="20"/>
      <c r="W195" s="9">
        <f t="shared" si="229"/>
        <v>0</v>
      </c>
      <c r="X195" s="20"/>
      <c r="Y195" s="20"/>
      <c r="Z195" s="24"/>
      <c r="AA195" s="25"/>
      <c r="AB195" s="20"/>
      <c r="AC195" s="21">
        <f t="shared" si="230"/>
        <v>0</v>
      </c>
      <c r="AD195" s="25">
        <v>0</v>
      </c>
      <c r="AE195" s="20"/>
      <c r="AF195" s="21">
        <f t="shared" si="231"/>
        <v>0</v>
      </c>
      <c r="AG195" s="25"/>
      <c r="AH195" s="20"/>
      <c r="AI195" s="21">
        <f t="shared" si="232"/>
        <v>0</v>
      </c>
      <c r="AJ195" s="25"/>
      <c r="AK195" s="25">
        <v>100000</v>
      </c>
      <c r="AL195" s="25">
        <v>540000</v>
      </c>
      <c r="AM195" s="25"/>
      <c r="AN195" s="20"/>
      <c r="AO195" s="21">
        <f t="shared" si="233"/>
        <v>640000</v>
      </c>
      <c r="AP195" s="4">
        <f t="shared" si="234"/>
        <v>0</v>
      </c>
      <c r="AQ195" s="4">
        <f t="shared" si="234"/>
        <v>100000</v>
      </c>
      <c r="AR195" s="4">
        <f t="shared" si="234"/>
        <v>540000</v>
      </c>
      <c r="AS195" s="4">
        <f t="shared" si="235"/>
        <v>0</v>
      </c>
      <c r="AT195" s="94">
        <f t="shared" si="235"/>
        <v>0</v>
      </c>
      <c r="AU195" s="9">
        <f t="shared" si="236"/>
        <v>640000</v>
      </c>
    </row>
    <row r="196" spans="1:47" ht="31.5">
      <c r="A196" s="186"/>
      <c r="B196" s="8">
        <v>28</v>
      </c>
      <c r="C196" s="1" t="s">
        <v>351</v>
      </c>
      <c r="D196" s="5" t="s">
        <v>424</v>
      </c>
      <c r="E196" s="4" t="s">
        <v>24</v>
      </c>
      <c r="F196" s="4"/>
      <c r="G196" s="4"/>
      <c r="H196" s="4"/>
      <c r="I196" s="4"/>
      <c r="J196" s="4"/>
      <c r="K196" s="9">
        <f t="shared" si="227"/>
        <v>0</v>
      </c>
      <c r="L196" s="4"/>
      <c r="M196" s="4"/>
      <c r="N196" s="4"/>
      <c r="O196" s="4"/>
      <c r="P196" s="4"/>
      <c r="Q196" s="9">
        <f t="shared" si="228"/>
        <v>0</v>
      </c>
      <c r="R196" s="20"/>
      <c r="S196" s="20"/>
      <c r="T196" s="20"/>
      <c r="U196" s="20"/>
      <c r="V196" s="20"/>
      <c r="W196" s="9">
        <f t="shared" si="229"/>
        <v>0</v>
      </c>
      <c r="X196" s="20"/>
      <c r="Y196" s="20"/>
      <c r="Z196" s="24">
        <v>195000</v>
      </c>
      <c r="AA196" s="25">
        <v>959500</v>
      </c>
      <c r="AB196" s="20">
        <f>140000+210000+171500+210000+140000</f>
        <v>871500</v>
      </c>
      <c r="AC196" s="21">
        <f t="shared" si="230"/>
        <v>2026000</v>
      </c>
      <c r="AD196" s="25">
        <v>0</v>
      </c>
      <c r="AE196" s="20"/>
      <c r="AF196" s="21">
        <f t="shared" si="231"/>
        <v>0</v>
      </c>
      <c r="AG196" s="25"/>
      <c r="AH196" s="20"/>
      <c r="AI196" s="21">
        <f t="shared" si="232"/>
        <v>0</v>
      </c>
      <c r="AJ196" s="25"/>
      <c r="AK196" s="25"/>
      <c r="AL196" s="25"/>
      <c r="AM196" s="25"/>
      <c r="AN196" s="20"/>
      <c r="AO196" s="21">
        <f t="shared" si="233"/>
        <v>0</v>
      </c>
      <c r="AP196" s="4">
        <f t="shared" si="234"/>
        <v>0</v>
      </c>
      <c r="AQ196" s="4">
        <f t="shared" si="234"/>
        <v>0</v>
      </c>
      <c r="AR196" s="4">
        <f t="shared" si="234"/>
        <v>195000</v>
      </c>
      <c r="AS196" s="4">
        <f t="shared" si="235"/>
        <v>959500</v>
      </c>
      <c r="AT196" s="94">
        <f t="shared" si="235"/>
        <v>871500</v>
      </c>
      <c r="AU196" s="9">
        <f t="shared" si="236"/>
        <v>2026000</v>
      </c>
    </row>
    <row r="197" spans="1:47" ht="31.5">
      <c r="A197" s="186"/>
      <c r="B197" s="8">
        <v>29</v>
      </c>
      <c r="C197" s="1" t="s">
        <v>352</v>
      </c>
      <c r="D197" s="4" t="s">
        <v>309</v>
      </c>
      <c r="E197" s="4" t="s">
        <v>24</v>
      </c>
      <c r="F197" s="4"/>
      <c r="G197" s="4"/>
      <c r="H197" s="4">
        <v>155000</v>
      </c>
      <c r="I197" s="4"/>
      <c r="J197" s="4"/>
      <c r="K197" s="9">
        <f t="shared" si="227"/>
        <v>155000</v>
      </c>
      <c r="L197" s="4"/>
      <c r="M197" s="4"/>
      <c r="N197" s="4"/>
      <c r="O197" s="4"/>
      <c r="P197" s="4"/>
      <c r="Q197" s="9">
        <f t="shared" si="228"/>
        <v>0</v>
      </c>
      <c r="R197" s="20"/>
      <c r="S197" s="20"/>
      <c r="T197" s="20"/>
      <c r="U197" s="20"/>
      <c r="V197" s="20"/>
      <c r="W197" s="9">
        <f t="shared" si="229"/>
        <v>0</v>
      </c>
      <c r="X197" s="20"/>
      <c r="Y197" s="20"/>
      <c r="Z197" s="20">
        <v>195000</v>
      </c>
      <c r="AA197" s="20"/>
      <c r="AB197" s="20"/>
      <c r="AC197" s="21">
        <f t="shared" si="230"/>
        <v>195000</v>
      </c>
      <c r="AD197" s="25">
        <v>0</v>
      </c>
      <c r="AE197" s="20"/>
      <c r="AF197" s="21">
        <f t="shared" si="231"/>
        <v>0</v>
      </c>
      <c r="AG197" s="25"/>
      <c r="AH197" s="20"/>
      <c r="AI197" s="21">
        <f t="shared" si="232"/>
        <v>0</v>
      </c>
      <c r="AJ197" s="25"/>
      <c r="AK197" s="25"/>
      <c r="AL197" s="25">
        <v>100000</v>
      </c>
      <c r="AM197" s="25"/>
      <c r="AN197" s="20"/>
      <c r="AO197" s="21">
        <f t="shared" si="233"/>
        <v>100000</v>
      </c>
      <c r="AP197" s="4">
        <f t="shared" si="234"/>
        <v>0</v>
      </c>
      <c r="AQ197" s="4">
        <f t="shared" si="234"/>
        <v>0</v>
      </c>
      <c r="AR197" s="4">
        <f t="shared" si="234"/>
        <v>450000</v>
      </c>
      <c r="AS197" s="4">
        <f t="shared" si="235"/>
        <v>0</v>
      </c>
      <c r="AT197" s="94">
        <f t="shared" si="235"/>
        <v>0</v>
      </c>
      <c r="AU197" s="9">
        <f t="shared" si="236"/>
        <v>450000</v>
      </c>
    </row>
    <row r="198" spans="1:47" ht="31.5">
      <c r="A198" s="186"/>
      <c r="B198" s="8">
        <v>30</v>
      </c>
      <c r="C198" s="1" t="s">
        <v>353</v>
      </c>
      <c r="D198" s="46" t="s">
        <v>354</v>
      </c>
      <c r="E198" s="4" t="s">
        <v>24</v>
      </c>
      <c r="F198" s="4"/>
      <c r="G198" s="4"/>
      <c r="H198" s="4"/>
      <c r="I198" s="4"/>
      <c r="J198" s="4"/>
      <c r="K198" s="9">
        <f t="shared" si="227"/>
        <v>0</v>
      </c>
      <c r="L198" s="4"/>
      <c r="M198" s="4"/>
      <c r="N198" s="4"/>
      <c r="O198" s="4"/>
      <c r="P198" s="4"/>
      <c r="Q198" s="9">
        <f t="shared" si="228"/>
        <v>0</v>
      </c>
      <c r="R198" s="20">
        <v>290000</v>
      </c>
      <c r="S198" s="22">
        <v>1092000</v>
      </c>
      <c r="T198" s="4">
        <v>196000</v>
      </c>
      <c r="U198" s="32"/>
      <c r="V198" s="32"/>
      <c r="W198" s="9">
        <f t="shared" si="229"/>
        <v>1578000</v>
      </c>
      <c r="X198" s="20">
        <v>195000</v>
      </c>
      <c r="Y198" s="25">
        <v>1321050</v>
      </c>
      <c r="Z198" s="24">
        <v>562600</v>
      </c>
      <c r="AA198" s="25">
        <v>490000</v>
      </c>
      <c r="AB198" s="20">
        <f>140000+210000+210000+210000+140000</f>
        <v>910000</v>
      </c>
      <c r="AC198" s="21">
        <f t="shared" si="230"/>
        <v>3478650</v>
      </c>
      <c r="AD198" s="25">
        <v>0</v>
      </c>
      <c r="AE198" s="20"/>
      <c r="AF198" s="21">
        <f t="shared" si="231"/>
        <v>0</v>
      </c>
      <c r="AG198" s="25"/>
      <c r="AH198" s="20"/>
      <c r="AI198" s="21">
        <f t="shared" si="232"/>
        <v>0</v>
      </c>
      <c r="AJ198" s="25"/>
      <c r="AK198" s="25"/>
      <c r="AL198" s="25"/>
      <c r="AM198" s="25"/>
      <c r="AN198" s="20"/>
      <c r="AO198" s="21">
        <f t="shared" si="233"/>
        <v>0</v>
      </c>
      <c r="AP198" s="4">
        <f t="shared" si="234"/>
        <v>485000</v>
      </c>
      <c r="AQ198" s="4">
        <f t="shared" si="234"/>
        <v>2413050</v>
      </c>
      <c r="AR198" s="4">
        <f t="shared" si="234"/>
        <v>758600</v>
      </c>
      <c r="AS198" s="4">
        <f t="shared" si="235"/>
        <v>490000</v>
      </c>
      <c r="AT198" s="94">
        <f t="shared" si="235"/>
        <v>910000</v>
      </c>
      <c r="AU198" s="9">
        <f t="shared" si="236"/>
        <v>5056650</v>
      </c>
    </row>
    <row r="199" spans="1:47" ht="31.5">
      <c r="A199" s="186"/>
      <c r="B199" s="8">
        <v>31</v>
      </c>
      <c r="C199" s="1" t="s">
        <v>355</v>
      </c>
      <c r="D199" s="4" t="s">
        <v>335</v>
      </c>
      <c r="E199" s="4" t="s">
        <v>24</v>
      </c>
      <c r="F199" s="4">
        <v>155000</v>
      </c>
      <c r="G199" s="4">
        <v>247000</v>
      </c>
      <c r="H199" s="4"/>
      <c r="I199" s="4"/>
      <c r="J199" s="4"/>
      <c r="K199" s="9">
        <f t="shared" si="227"/>
        <v>402000</v>
      </c>
      <c r="L199" s="76">
        <v>290000</v>
      </c>
      <c r="M199" s="76">
        <v>990000</v>
      </c>
      <c r="N199" s="76"/>
      <c r="O199" s="76"/>
      <c r="P199" s="4"/>
      <c r="Q199" s="9">
        <f t="shared" si="228"/>
        <v>1280000</v>
      </c>
      <c r="R199" s="20">
        <v>290000</v>
      </c>
      <c r="S199" s="22">
        <v>177414</v>
      </c>
      <c r="T199" s="4"/>
      <c r="U199" s="20"/>
      <c r="V199" s="20"/>
      <c r="W199" s="9">
        <f t="shared" si="229"/>
        <v>467414</v>
      </c>
      <c r="X199" s="20">
        <v>195000</v>
      </c>
      <c r="Y199" s="25">
        <v>1144000</v>
      </c>
      <c r="Z199" s="20"/>
      <c r="AA199" s="20"/>
      <c r="AB199" s="20"/>
      <c r="AC199" s="21">
        <f t="shared" si="230"/>
        <v>1339000</v>
      </c>
      <c r="AD199" s="25">
        <v>0</v>
      </c>
      <c r="AE199" s="20"/>
      <c r="AF199" s="21">
        <f t="shared" si="231"/>
        <v>0</v>
      </c>
      <c r="AG199" s="25"/>
      <c r="AH199" s="20"/>
      <c r="AI199" s="21">
        <f t="shared" si="232"/>
        <v>0</v>
      </c>
      <c r="AJ199" s="25"/>
      <c r="AK199" s="25">
        <v>100000</v>
      </c>
      <c r="AL199" s="25"/>
      <c r="AM199" s="25"/>
      <c r="AN199" s="20"/>
      <c r="AO199" s="21">
        <f t="shared" si="233"/>
        <v>100000</v>
      </c>
      <c r="AP199" s="4">
        <f t="shared" si="234"/>
        <v>930000</v>
      </c>
      <c r="AQ199" s="4">
        <f t="shared" si="234"/>
        <v>2658414</v>
      </c>
      <c r="AR199" s="4">
        <f t="shared" si="234"/>
        <v>0</v>
      </c>
      <c r="AS199" s="4">
        <f t="shared" si="235"/>
        <v>0</v>
      </c>
      <c r="AT199" s="94">
        <f t="shared" si="235"/>
        <v>0</v>
      </c>
      <c r="AU199" s="9">
        <f t="shared" si="236"/>
        <v>3588414</v>
      </c>
    </row>
    <row r="200" spans="1:47">
      <c r="A200" s="186"/>
      <c r="B200" s="8">
        <v>32</v>
      </c>
      <c r="C200" s="1" t="s">
        <v>356</v>
      </c>
      <c r="D200" s="4" t="s">
        <v>313</v>
      </c>
      <c r="E200" s="4" t="s">
        <v>24</v>
      </c>
      <c r="F200" s="4"/>
      <c r="G200" s="4"/>
      <c r="H200" s="4">
        <v>155000</v>
      </c>
      <c r="I200" s="4"/>
      <c r="J200" s="4"/>
      <c r="K200" s="9">
        <f t="shared" si="227"/>
        <v>155000</v>
      </c>
      <c r="L200" s="4"/>
      <c r="M200" s="4"/>
      <c r="N200" s="4"/>
      <c r="O200" s="4"/>
      <c r="P200" s="4"/>
      <c r="Q200" s="9">
        <f t="shared" si="228"/>
        <v>0</v>
      </c>
      <c r="R200" s="20"/>
      <c r="S200" s="20"/>
      <c r="T200" s="4"/>
      <c r="U200" s="20"/>
      <c r="V200" s="20"/>
      <c r="W200" s="9">
        <f t="shared" si="229"/>
        <v>0</v>
      </c>
      <c r="X200" s="20"/>
      <c r="Y200" s="20">
        <v>195000</v>
      </c>
      <c r="Z200" s="20"/>
      <c r="AA200" s="20"/>
      <c r="AB200" s="20"/>
      <c r="AC200" s="21">
        <f t="shared" si="230"/>
        <v>195000</v>
      </c>
      <c r="AD200" s="25">
        <v>0</v>
      </c>
      <c r="AE200" s="20"/>
      <c r="AF200" s="21">
        <f t="shared" si="231"/>
        <v>0</v>
      </c>
      <c r="AG200" s="25"/>
      <c r="AH200" s="20"/>
      <c r="AI200" s="21">
        <f t="shared" si="232"/>
        <v>0</v>
      </c>
      <c r="AJ200" s="25"/>
      <c r="AK200" s="25"/>
      <c r="AL200" s="25"/>
      <c r="AM200" s="25"/>
      <c r="AN200" s="20"/>
      <c r="AO200" s="21">
        <f t="shared" si="233"/>
        <v>0</v>
      </c>
      <c r="AP200" s="4">
        <f t="shared" si="234"/>
        <v>0</v>
      </c>
      <c r="AQ200" s="4">
        <f t="shared" si="234"/>
        <v>195000</v>
      </c>
      <c r="AR200" s="4">
        <f t="shared" si="234"/>
        <v>155000</v>
      </c>
      <c r="AS200" s="4">
        <f t="shared" si="235"/>
        <v>0</v>
      </c>
      <c r="AT200" s="94">
        <f t="shared" si="235"/>
        <v>0</v>
      </c>
      <c r="AU200" s="9">
        <f t="shared" si="236"/>
        <v>350000</v>
      </c>
    </row>
    <row r="201" spans="1:47">
      <c r="A201" s="186"/>
      <c r="B201" s="8">
        <v>33</v>
      </c>
      <c r="C201" s="1" t="s">
        <v>119</v>
      </c>
      <c r="D201" s="4" t="s">
        <v>309</v>
      </c>
      <c r="E201" s="4" t="s">
        <v>24</v>
      </c>
      <c r="F201" s="4"/>
      <c r="G201" s="4">
        <v>155000</v>
      </c>
      <c r="H201" s="4"/>
      <c r="I201" s="4"/>
      <c r="J201" s="4"/>
      <c r="K201" s="9">
        <f t="shared" ref="K201" si="237">SUM(F201:J201)</f>
        <v>155000</v>
      </c>
      <c r="L201" s="4"/>
      <c r="M201" s="4"/>
      <c r="N201" s="4"/>
      <c r="O201" s="4"/>
      <c r="P201" s="4"/>
      <c r="Q201" s="9">
        <f t="shared" si="228"/>
        <v>0</v>
      </c>
      <c r="R201" s="20"/>
      <c r="S201" s="20"/>
      <c r="T201" s="20"/>
      <c r="U201" s="20"/>
      <c r="V201" s="20"/>
      <c r="W201" s="9">
        <f t="shared" si="229"/>
        <v>0</v>
      </c>
      <c r="X201" s="20"/>
      <c r="Y201" s="20"/>
      <c r="Z201" s="20"/>
      <c r="AA201" s="20"/>
      <c r="AB201" s="20"/>
      <c r="AC201" s="21">
        <f t="shared" ref="AC201" si="238">SUM(X201:AB201)</f>
        <v>0</v>
      </c>
      <c r="AD201" s="25"/>
      <c r="AE201" s="20"/>
      <c r="AF201" s="21">
        <f t="shared" ref="AF201" si="239">SUM(AD201:AE201)</f>
        <v>0</v>
      </c>
      <c r="AG201" s="25"/>
      <c r="AH201" s="20"/>
      <c r="AI201" s="21">
        <f t="shared" ref="AI201" si="240">SUM(AG201:AH201)</f>
        <v>0</v>
      </c>
      <c r="AJ201" s="25"/>
      <c r="AK201" s="25">
        <v>100000</v>
      </c>
      <c r="AL201" s="25">
        <v>239200</v>
      </c>
      <c r="AM201" s="25"/>
      <c r="AN201" s="20"/>
      <c r="AO201" s="21">
        <f t="shared" ref="AO201" si="241">SUM(AJ201:AN201)</f>
        <v>339200</v>
      </c>
      <c r="AP201" s="4">
        <f t="shared" si="234"/>
        <v>0</v>
      </c>
      <c r="AQ201" s="4">
        <f t="shared" si="234"/>
        <v>255000</v>
      </c>
      <c r="AR201" s="4">
        <f t="shared" si="234"/>
        <v>239200</v>
      </c>
      <c r="AS201" s="4">
        <f t="shared" si="235"/>
        <v>0</v>
      </c>
      <c r="AT201" s="94">
        <f t="shared" si="235"/>
        <v>0</v>
      </c>
      <c r="AU201" s="9">
        <f t="shared" si="236"/>
        <v>494200</v>
      </c>
    </row>
    <row r="202" spans="1:47" ht="31.5">
      <c r="A202" s="186"/>
      <c r="B202" s="8">
        <v>34</v>
      </c>
      <c r="C202" s="1" t="s">
        <v>357</v>
      </c>
      <c r="D202" s="12" t="s">
        <v>358</v>
      </c>
      <c r="E202" s="4" t="s">
        <v>24</v>
      </c>
      <c r="F202" s="4">
        <v>155000</v>
      </c>
      <c r="G202" s="4">
        <v>566000</v>
      </c>
      <c r="H202" s="4">
        <f>88000+93500+308000+20000</f>
        <v>509500</v>
      </c>
      <c r="I202" s="4">
        <f>120000+40000</f>
        <v>160000</v>
      </c>
      <c r="J202" s="4"/>
      <c r="K202" s="9">
        <f t="shared" si="227"/>
        <v>1390500</v>
      </c>
      <c r="L202" s="76">
        <v>290000</v>
      </c>
      <c r="M202" s="76">
        <v>1620000</v>
      </c>
      <c r="N202" s="76">
        <v>1490000</v>
      </c>
      <c r="O202" s="76">
        <v>925000</v>
      </c>
      <c r="P202" s="4">
        <f>225000+225000+220000+225000+150000</f>
        <v>1045000</v>
      </c>
      <c r="Q202" s="9">
        <f t="shared" si="228"/>
        <v>5370000</v>
      </c>
      <c r="R202" s="20"/>
      <c r="S202" s="20"/>
      <c r="T202" s="4"/>
      <c r="U202" s="20"/>
      <c r="V202" s="20"/>
      <c r="W202" s="9">
        <f t="shared" si="229"/>
        <v>0</v>
      </c>
      <c r="X202" s="20">
        <v>195000</v>
      </c>
      <c r="Y202" s="25">
        <v>840750</v>
      </c>
      <c r="Z202" s="24">
        <v>537100</v>
      </c>
      <c r="AA202" s="25">
        <v>150000</v>
      </c>
      <c r="AB202" s="20"/>
      <c r="AC202" s="21">
        <f t="shared" si="230"/>
        <v>1722850</v>
      </c>
      <c r="AD202" s="25">
        <v>0</v>
      </c>
      <c r="AE202" s="20"/>
      <c r="AF202" s="21">
        <f t="shared" si="231"/>
        <v>0</v>
      </c>
      <c r="AG202" s="25"/>
      <c r="AH202" s="20"/>
      <c r="AI202" s="21">
        <f t="shared" si="232"/>
        <v>0</v>
      </c>
      <c r="AJ202" s="25"/>
      <c r="AK202" s="25"/>
      <c r="AL202" s="25"/>
      <c r="AM202" s="25"/>
      <c r="AN202" s="20"/>
      <c r="AO202" s="21">
        <f t="shared" si="233"/>
        <v>0</v>
      </c>
      <c r="AP202" s="4">
        <f t="shared" si="234"/>
        <v>640000</v>
      </c>
      <c r="AQ202" s="4">
        <f t="shared" si="234"/>
        <v>3026750</v>
      </c>
      <c r="AR202" s="4">
        <f t="shared" si="234"/>
        <v>2536600</v>
      </c>
      <c r="AS202" s="4">
        <f t="shared" si="235"/>
        <v>1235000</v>
      </c>
      <c r="AT202" s="94">
        <f t="shared" si="235"/>
        <v>1045000</v>
      </c>
      <c r="AU202" s="9">
        <f t="shared" si="236"/>
        <v>8483350</v>
      </c>
    </row>
    <row r="203" spans="1:47">
      <c r="A203" s="186"/>
      <c r="B203" s="8">
        <v>35</v>
      </c>
      <c r="C203" s="42" t="s">
        <v>359</v>
      </c>
      <c r="D203" s="64" t="s">
        <v>360</v>
      </c>
      <c r="E203" s="4" t="s">
        <v>24</v>
      </c>
      <c r="F203" s="4"/>
      <c r="G203" s="4"/>
      <c r="H203" s="4"/>
      <c r="I203" s="4"/>
      <c r="J203" s="4"/>
      <c r="K203" s="9">
        <f t="shared" si="227"/>
        <v>0</v>
      </c>
      <c r="L203" s="4"/>
      <c r="M203" s="4"/>
      <c r="N203" s="4"/>
      <c r="O203" s="4"/>
      <c r="P203" s="4"/>
      <c r="Q203" s="9">
        <f t="shared" si="228"/>
        <v>0</v>
      </c>
      <c r="R203" s="20"/>
      <c r="S203" s="22">
        <v>1550000</v>
      </c>
      <c r="T203" s="4">
        <v>2160000</v>
      </c>
      <c r="U203" s="32">
        <v>420000</v>
      </c>
      <c r="V203" s="32">
        <f>225000+75000+120000+120000+120000+40000</f>
        <v>700000</v>
      </c>
      <c r="W203" s="9">
        <f t="shared" si="229"/>
        <v>4830000</v>
      </c>
      <c r="X203" s="20"/>
      <c r="Y203" s="25"/>
      <c r="Z203" s="24"/>
      <c r="AA203" s="25"/>
      <c r="AB203" s="20"/>
      <c r="AC203" s="21">
        <f t="shared" si="230"/>
        <v>0</v>
      </c>
      <c r="AD203" s="25">
        <v>0</v>
      </c>
      <c r="AE203" s="20"/>
      <c r="AF203" s="21">
        <f t="shared" si="231"/>
        <v>0</v>
      </c>
      <c r="AG203" s="25"/>
      <c r="AH203" s="20"/>
      <c r="AI203" s="21">
        <f t="shared" si="232"/>
        <v>0</v>
      </c>
      <c r="AJ203" s="25"/>
      <c r="AK203" s="25"/>
      <c r="AL203" s="25"/>
      <c r="AM203" s="25"/>
      <c r="AN203" s="20"/>
      <c r="AO203" s="21">
        <f t="shared" si="233"/>
        <v>0</v>
      </c>
      <c r="AP203" s="4">
        <f t="shared" si="234"/>
        <v>0</v>
      </c>
      <c r="AQ203" s="4">
        <f t="shared" si="234"/>
        <v>1550000</v>
      </c>
      <c r="AR203" s="4">
        <f t="shared" si="234"/>
        <v>2160000</v>
      </c>
      <c r="AS203" s="4">
        <f t="shared" si="235"/>
        <v>420000</v>
      </c>
      <c r="AT203" s="94">
        <f t="shared" si="235"/>
        <v>700000</v>
      </c>
      <c r="AU203" s="9">
        <f t="shared" si="236"/>
        <v>4830000</v>
      </c>
    </row>
    <row r="204" spans="1:47">
      <c r="A204" s="186"/>
      <c r="B204" s="8">
        <v>36</v>
      </c>
      <c r="C204" s="2" t="s">
        <v>14</v>
      </c>
      <c r="D204" s="13" t="s">
        <v>26</v>
      </c>
      <c r="E204" s="4" t="s">
        <v>24</v>
      </c>
      <c r="F204" s="4"/>
      <c r="G204" s="4"/>
      <c r="H204" s="4"/>
      <c r="I204" s="4"/>
      <c r="J204" s="4"/>
      <c r="K204" s="9">
        <f t="shared" si="227"/>
        <v>0</v>
      </c>
      <c r="L204" s="4"/>
      <c r="M204" s="4"/>
      <c r="N204" s="4"/>
      <c r="O204" s="4"/>
      <c r="P204" s="4"/>
      <c r="Q204" s="9">
        <f t="shared" si="228"/>
        <v>0</v>
      </c>
      <c r="R204" s="20"/>
      <c r="S204" s="26"/>
      <c r="T204" s="32"/>
      <c r="U204" s="32">
        <v>128000</v>
      </c>
      <c r="V204" s="32"/>
      <c r="W204" s="9">
        <f t="shared" si="229"/>
        <v>128000</v>
      </c>
      <c r="X204" s="20"/>
      <c r="Y204" s="25"/>
      <c r="Z204" s="24"/>
      <c r="AA204" s="25"/>
      <c r="AB204" s="20"/>
      <c r="AC204" s="21">
        <f t="shared" si="230"/>
        <v>0</v>
      </c>
      <c r="AD204" s="25">
        <v>0</v>
      </c>
      <c r="AE204" s="20"/>
      <c r="AF204" s="21">
        <f t="shared" si="231"/>
        <v>0</v>
      </c>
      <c r="AG204" s="25"/>
      <c r="AH204" s="20"/>
      <c r="AI204" s="21">
        <f t="shared" si="232"/>
        <v>0</v>
      </c>
      <c r="AJ204" s="25"/>
      <c r="AK204" s="25">
        <v>100000</v>
      </c>
      <c r="AL204" s="25"/>
      <c r="AM204" s="25"/>
      <c r="AN204" s="20"/>
      <c r="AO204" s="21">
        <f t="shared" si="233"/>
        <v>100000</v>
      </c>
      <c r="AP204" s="4">
        <f t="shared" si="234"/>
        <v>0</v>
      </c>
      <c r="AQ204" s="4">
        <f t="shared" si="234"/>
        <v>100000</v>
      </c>
      <c r="AR204" s="4">
        <f t="shared" si="234"/>
        <v>0</v>
      </c>
      <c r="AS204" s="4">
        <f t="shared" si="235"/>
        <v>128000</v>
      </c>
      <c r="AT204" s="94">
        <f t="shared" si="235"/>
        <v>0</v>
      </c>
      <c r="AU204" s="9">
        <f t="shared" si="236"/>
        <v>228000</v>
      </c>
    </row>
    <row r="205" spans="1:47" ht="18.75">
      <c r="A205" s="187"/>
      <c r="B205" s="8">
        <v>37</v>
      </c>
      <c r="C205" s="1" t="s">
        <v>361</v>
      </c>
      <c r="D205" s="91" t="s">
        <v>425</v>
      </c>
      <c r="E205" s="4" t="s">
        <v>24</v>
      </c>
      <c r="F205" s="4"/>
      <c r="G205" s="4"/>
      <c r="H205" s="4"/>
      <c r="I205" s="4"/>
      <c r="J205" s="4"/>
      <c r="K205" s="9">
        <f t="shared" si="227"/>
        <v>0</v>
      </c>
      <c r="L205" s="4"/>
      <c r="M205" s="4"/>
      <c r="N205" s="4"/>
      <c r="O205" s="4"/>
      <c r="P205" s="4"/>
      <c r="Q205" s="9">
        <f t="shared" si="228"/>
        <v>0</v>
      </c>
      <c r="R205" s="20"/>
      <c r="S205" s="20"/>
      <c r="T205" s="20"/>
      <c r="U205" s="20"/>
      <c r="V205" s="20"/>
      <c r="W205" s="9">
        <f t="shared" si="229"/>
        <v>0</v>
      </c>
      <c r="X205" s="20"/>
      <c r="Y205" s="25"/>
      <c r="Z205" s="24">
        <v>627400</v>
      </c>
      <c r="AA205" s="25">
        <v>950000</v>
      </c>
      <c r="AB205" s="20">
        <f>70000+207000+208500+208500+139000</f>
        <v>833000</v>
      </c>
      <c r="AC205" s="21">
        <f t="shared" si="230"/>
        <v>2410400</v>
      </c>
      <c r="AD205" s="25">
        <v>0</v>
      </c>
      <c r="AE205" s="20"/>
      <c r="AF205" s="21">
        <f t="shared" si="231"/>
        <v>0</v>
      </c>
      <c r="AG205" s="25"/>
      <c r="AH205" s="20"/>
      <c r="AI205" s="21">
        <f t="shared" si="232"/>
        <v>0</v>
      </c>
      <c r="AJ205" s="25"/>
      <c r="AK205" s="25"/>
      <c r="AL205" s="25"/>
      <c r="AM205" s="25"/>
      <c r="AN205" s="20"/>
      <c r="AO205" s="21">
        <f t="shared" si="233"/>
        <v>0</v>
      </c>
      <c r="AP205" s="4">
        <f t="shared" si="234"/>
        <v>0</v>
      </c>
      <c r="AQ205" s="4">
        <f t="shared" si="234"/>
        <v>0</v>
      </c>
      <c r="AR205" s="4">
        <f t="shared" si="234"/>
        <v>627400</v>
      </c>
      <c r="AS205" s="4">
        <f t="shared" si="235"/>
        <v>950000</v>
      </c>
      <c r="AT205" s="94">
        <f t="shared" si="235"/>
        <v>833000</v>
      </c>
      <c r="AU205" s="9">
        <f t="shared" si="236"/>
        <v>2410400</v>
      </c>
    </row>
    <row r="206" spans="1:47" s="38" customFormat="1">
      <c r="A206" s="34"/>
      <c r="B206" s="34"/>
      <c r="C206" s="35" t="s">
        <v>362</v>
      </c>
      <c r="D206" s="37"/>
      <c r="E206" s="37"/>
      <c r="F206" s="37">
        <f>SUM(F169:F205)</f>
        <v>1395000</v>
      </c>
      <c r="G206" s="37">
        <f t="shared" ref="G206:AU206" si="242">SUM(G169:G205)</f>
        <v>7396483</v>
      </c>
      <c r="H206" s="37">
        <f t="shared" si="242"/>
        <v>6600000</v>
      </c>
      <c r="I206" s="37">
        <f t="shared" si="242"/>
        <v>2141500</v>
      </c>
      <c r="J206" s="37">
        <f t="shared" si="242"/>
        <v>980000</v>
      </c>
      <c r="K206" s="37">
        <f t="shared" si="242"/>
        <v>18512983</v>
      </c>
      <c r="L206" s="37">
        <f t="shared" si="242"/>
        <v>580000</v>
      </c>
      <c r="M206" s="37">
        <f t="shared" si="242"/>
        <v>6390000</v>
      </c>
      <c r="N206" s="37">
        <f t="shared" si="242"/>
        <v>5900000</v>
      </c>
      <c r="O206" s="37">
        <f t="shared" si="242"/>
        <v>3325000</v>
      </c>
      <c r="P206" s="37">
        <f t="shared" si="242"/>
        <v>3145000</v>
      </c>
      <c r="Q206" s="37">
        <f t="shared" si="242"/>
        <v>19340000</v>
      </c>
      <c r="R206" s="37">
        <f t="shared" si="242"/>
        <v>1740000</v>
      </c>
      <c r="S206" s="37">
        <f t="shared" si="242"/>
        <v>7050479</v>
      </c>
      <c r="T206" s="37">
        <f t="shared" si="242"/>
        <v>7679000</v>
      </c>
      <c r="U206" s="37">
        <f t="shared" si="242"/>
        <v>1868000</v>
      </c>
      <c r="V206" s="37">
        <f t="shared" si="242"/>
        <v>2425000</v>
      </c>
      <c r="W206" s="37">
        <f t="shared" si="242"/>
        <v>20762479</v>
      </c>
      <c r="X206" s="37">
        <f t="shared" si="242"/>
        <v>1950000</v>
      </c>
      <c r="Y206" s="37">
        <f t="shared" si="242"/>
        <v>14238850</v>
      </c>
      <c r="Z206" s="37">
        <f t="shared" si="242"/>
        <v>8484650</v>
      </c>
      <c r="AA206" s="37">
        <f t="shared" si="242"/>
        <v>6737500</v>
      </c>
      <c r="AB206" s="37">
        <f t="shared" si="242"/>
        <v>4767000</v>
      </c>
      <c r="AC206" s="37">
        <f t="shared" si="242"/>
        <v>36178000</v>
      </c>
      <c r="AD206" s="37">
        <f t="shared" si="242"/>
        <v>5735000</v>
      </c>
      <c r="AE206" s="37">
        <f t="shared" si="242"/>
        <v>7340500</v>
      </c>
      <c r="AF206" s="37">
        <f t="shared" si="242"/>
        <v>13075500</v>
      </c>
      <c r="AG206" s="37">
        <f t="shared" si="242"/>
        <v>1790000</v>
      </c>
      <c r="AH206" s="37">
        <f t="shared" si="242"/>
        <v>2755000</v>
      </c>
      <c r="AI206" s="37">
        <f t="shared" si="242"/>
        <v>4545000</v>
      </c>
      <c r="AJ206" s="37">
        <f t="shared" si="242"/>
        <v>0</v>
      </c>
      <c r="AK206" s="37">
        <f t="shared" si="242"/>
        <v>1576000</v>
      </c>
      <c r="AL206" s="37">
        <f t="shared" si="242"/>
        <v>3174950</v>
      </c>
      <c r="AM206" s="37">
        <f t="shared" si="242"/>
        <v>150000</v>
      </c>
      <c r="AN206" s="37">
        <f t="shared" si="242"/>
        <v>0</v>
      </c>
      <c r="AO206" s="37">
        <f t="shared" si="242"/>
        <v>4900950</v>
      </c>
      <c r="AP206" s="37">
        <f t="shared" si="242"/>
        <v>5665000</v>
      </c>
      <c r="AQ206" s="37">
        <f t="shared" si="242"/>
        <v>36651812</v>
      </c>
      <c r="AR206" s="37">
        <f t="shared" si="242"/>
        <v>31838600</v>
      </c>
      <c r="AS206" s="37">
        <f t="shared" si="242"/>
        <v>21747000</v>
      </c>
      <c r="AT206" s="37">
        <f t="shared" si="242"/>
        <v>21412500</v>
      </c>
      <c r="AU206" s="37">
        <f t="shared" si="242"/>
        <v>117314912</v>
      </c>
    </row>
    <row r="207" spans="1:47" ht="31.5">
      <c r="A207" s="104" t="s">
        <v>62</v>
      </c>
      <c r="B207" s="8">
        <v>1</v>
      </c>
      <c r="C207" s="1" t="s">
        <v>8</v>
      </c>
      <c r="D207" s="5" t="s">
        <v>426</v>
      </c>
      <c r="E207" s="4" t="s">
        <v>62</v>
      </c>
      <c r="F207" s="4"/>
      <c r="G207" s="4"/>
      <c r="H207" s="5"/>
      <c r="I207" s="4"/>
      <c r="J207" s="4"/>
      <c r="K207" s="9">
        <f>SUM(F207:J207)</f>
        <v>0</v>
      </c>
      <c r="L207" s="76"/>
      <c r="M207" s="76"/>
      <c r="N207" s="76">
        <v>351999</v>
      </c>
      <c r="O207" s="76">
        <v>450000</v>
      </c>
      <c r="P207" s="4">
        <f>1050000+75000+225000+225000+150000</f>
        <v>1725000</v>
      </c>
      <c r="Q207" s="9">
        <f>SUM(L207:P207)</f>
        <v>2526999</v>
      </c>
      <c r="R207" s="20"/>
      <c r="S207" s="20"/>
      <c r="T207" s="20"/>
      <c r="U207" s="20"/>
      <c r="V207" s="20"/>
      <c r="W207" s="9">
        <f>SUM(R207:V207)</f>
        <v>0</v>
      </c>
      <c r="X207" s="20"/>
      <c r="Y207" s="25">
        <v>195000</v>
      </c>
      <c r="Z207" s="20"/>
      <c r="AA207" s="20">
        <v>42000</v>
      </c>
      <c r="AB207" s="20"/>
      <c r="AC207" s="21">
        <f>SUM(X207:AB207)</f>
        <v>237000</v>
      </c>
      <c r="AD207" s="25"/>
      <c r="AE207" s="20"/>
      <c r="AF207" s="21">
        <f>SUM(AD207:AE207)</f>
        <v>0</v>
      </c>
      <c r="AG207" s="25"/>
      <c r="AH207" s="20"/>
      <c r="AI207" s="21">
        <f>SUM(AG207:AH207)</f>
        <v>0</v>
      </c>
      <c r="AJ207" s="25"/>
      <c r="AK207" s="25"/>
      <c r="AL207" s="25"/>
      <c r="AM207" s="25"/>
      <c r="AN207" s="20"/>
      <c r="AO207" s="21">
        <f>SUM(AJ207:AN207)</f>
        <v>0</v>
      </c>
      <c r="AP207" s="4">
        <f>F207+L207+R207+X207+AJ207</f>
        <v>0</v>
      </c>
      <c r="AQ207" s="4">
        <f>G207+M207+S207+Y207+AK207</f>
        <v>195000</v>
      </c>
      <c r="AR207" s="4">
        <f>H207+N207+T207+Z207+AL207</f>
        <v>351999</v>
      </c>
      <c r="AS207" s="4">
        <f>I207+O207+U207+AA207+AD207+AG207+AM207</f>
        <v>492000</v>
      </c>
      <c r="AT207" s="94">
        <f>1050000+75000</f>
        <v>1125000</v>
      </c>
      <c r="AU207" s="9">
        <f>SUM(AP207:AT207)</f>
        <v>2163999</v>
      </c>
    </row>
    <row r="208" spans="1:47" s="38" customFormat="1">
      <c r="A208" s="34"/>
      <c r="B208" s="34"/>
      <c r="C208" s="35" t="s">
        <v>363</v>
      </c>
      <c r="D208" s="37"/>
      <c r="E208" s="37"/>
      <c r="F208" s="37">
        <f>SUM(F207)</f>
        <v>0</v>
      </c>
      <c r="G208" s="37">
        <f t="shared" ref="G208:AU208" si="243">SUM(G207)</f>
        <v>0</v>
      </c>
      <c r="H208" s="37">
        <f t="shared" si="243"/>
        <v>0</v>
      </c>
      <c r="I208" s="37">
        <f t="shared" si="243"/>
        <v>0</v>
      </c>
      <c r="J208" s="37">
        <f t="shared" si="243"/>
        <v>0</v>
      </c>
      <c r="K208" s="37">
        <f t="shared" si="243"/>
        <v>0</v>
      </c>
      <c r="L208" s="37">
        <f t="shared" si="243"/>
        <v>0</v>
      </c>
      <c r="M208" s="37">
        <f t="shared" si="243"/>
        <v>0</v>
      </c>
      <c r="N208" s="37">
        <f t="shared" si="243"/>
        <v>351999</v>
      </c>
      <c r="O208" s="37">
        <f t="shared" si="243"/>
        <v>450000</v>
      </c>
      <c r="P208" s="37">
        <f t="shared" si="243"/>
        <v>1725000</v>
      </c>
      <c r="Q208" s="37">
        <f t="shared" si="243"/>
        <v>2526999</v>
      </c>
      <c r="R208" s="37">
        <f t="shared" si="243"/>
        <v>0</v>
      </c>
      <c r="S208" s="37">
        <f t="shared" si="243"/>
        <v>0</v>
      </c>
      <c r="T208" s="37">
        <f t="shared" si="243"/>
        <v>0</v>
      </c>
      <c r="U208" s="37">
        <f t="shared" si="243"/>
        <v>0</v>
      </c>
      <c r="V208" s="37">
        <f t="shared" si="243"/>
        <v>0</v>
      </c>
      <c r="W208" s="37">
        <f t="shared" si="243"/>
        <v>0</v>
      </c>
      <c r="X208" s="37">
        <f t="shared" si="243"/>
        <v>0</v>
      </c>
      <c r="Y208" s="37">
        <f t="shared" si="243"/>
        <v>195000</v>
      </c>
      <c r="Z208" s="37">
        <f t="shared" si="243"/>
        <v>0</v>
      </c>
      <c r="AA208" s="37">
        <f t="shared" si="243"/>
        <v>42000</v>
      </c>
      <c r="AB208" s="37">
        <f t="shared" si="243"/>
        <v>0</v>
      </c>
      <c r="AC208" s="37">
        <f t="shared" si="243"/>
        <v>237000</v>
      </c>
      <c r="AD208" s="37">
        <f t="shared" si="243"/>
        <v>0</v>
      </c>
      <c r="AE208" s="37">
        <f t="shared" si="243"/>
        <v>0</v>
      </c>
      <c r="AF208" s="37">
        <f t="shared" si="243"/>
        <v>0</v>
      </c>
      <c r="AG208" s="37">
        <f t="shared" si="243"/>
        <v>0</v>
      </c>
      <c r="AH208" s="37">
        <f t="shared" si="243"/>
        <v>0</v>
      </c>
      <c r="AI208" s="37">
        <f t="shared" si="243"/>
        <v>0</v>
      </c>
      <c r="AJ208" s="37">
        <f t="shared" si="243"/>
        <v>0</v>
      </c>
      <c r="AK208" s="37">
        <f t="shared" si="243"/>
        <v>0</v>
      </c>
      <c r="AL208" s="37">
        <f t="shared" si="243"/>
        <v>0</v>
      </c>
      <c r="AM208" s="37">
        <f t="shared" si="243"/>
        <v>0</v>
      </c>
      <c r="AN208" s="37">
        <f t="shared" si="243"/>
        <v>0</v>
      </c>
      <c r="AO208" s="37">
        <f t="shared" si="243"/>
        <v>0</v>
      </c>
      <c r="AP208" s="37">
        <f t="shared" si="243"/>
        <v>0</v>
      </c>
      <c r="AQ208" s="37">
        <f t="shared" si="243"/>
        <v>195000</v>
      </c>
      <c r="AR208" s="37">
        <f t="shared" si="243"/>
        <v>351999</v>
      </c>
      <c r="AS208" s="37">
        <f t="shared" si="243"/>
        <v>492000</v>
      </c>
      <c r="AT208" s="37">
        <f t="shared" si="243"/>
        <v>1125000</v>
      </c>
      <c r="AU208" s="37">
        <f t="shared" si="243"/>
        <v>2163999</v>
      </c>
    </row>
    <row r="209" spans="1:47">
      <c r="A209" s="185" t="s">
        <v>23</v>
      </c>
      <c r="B209" s="8">
        <v>1</v>
      </c>
      <c r="C209" s="1" t="s">
        <v>0</v>
      </c>
      <c r="D209" s="4" t="s">
        <v>22</v>
      </c>
      <c r="E209" s="4" t="s">
        <v>23</v>
      </c>
      <c r="F209" s="4"/>
      <c r="G209" s="4"/>
      <c r="H209" s="4">
        <v>155000</v>
      </c>
      <c r="I209" s="4">
        <v>172000</v>
      </c>
      <c r="J209" s="4">
        <f>828000+140000+420000+140000</f>
        <v>1528000</v>
      </c>
      <c r="K209" s="9">
        <f t="shared" ref="K209:K221" si="244">SUM(F209:J209)</f>
        <v>1855000</v>
      </c>
      <c r="L209" s="76"/>
      <c r="M209" s="76"/>
      <c r="N209" s="76"/>
      <c r="O209" s="76"/>
      <c r="P209" s="4"/>
      <c r="Q209" s="9">
        <f t="shared" ref="Q209:Q221" si="245">SUM(L209:P209)</f>
        <v>0</v>
      </c>
      <c r="R209" s="20"/>
      <c r="S209" s="20"/>
      <c r="T209" s="20"/>
      <c r="U209" s="20"/>
      <c r="V209" s="20"/>
      <c r="W209" s="9">
        <f t="shared" ref="W209:W221" si="246">SUM(R209:V209)</f>
        <v>0</v>
      </c>
      <c r="X209" s="20"/>
      <c r="Y209" s="20"/>
      <c r="Z209" s="20"/>
      <c r="AA209" s="20"/>
      <c r="AB209" s="20"/>
      <c r="AC209" s="21">
        <f t="shared" ref="AC209:AC221" si="247">SUM(X209:AB209)</f>
        <v>0</v>
      </c>
      <c r="AD209" s="25">
        <v>0</v>
      </c>
      <c r="AE209" s="20"/>
      <c r="AF209" s="21">
        <f t="shared" ref="AF209:AF221" si="248">SUM(AD209:AE209)</f>
        <v>0</v>
      </c>
      <c r="AG209" s="25"/>
      <c r="AH209" s="20"/>
      <c r="AI209" s="21">
        <f t="shared" ref="AI209:AI221" si="249">SUM(AG209:AH209)</f>
        <v>0</v>
      </c>
      <c r="AJ209" s="25"/>
      <c r="AK209" s="25"/>
      <c r="AL209" s="25">
        <v>100000</v>
      </c>
      <c r="AM209" s="25">
        <v>125000</v>
      </c>
      <c r="AN209" s="20"/>
      <c r="AO209" s="21">
        <f t="shared" ref="AO209:AO221" si="250">SUM(AJ209:AN209)</f>
        <v>225000</v>
      </c>
      <c r="AP209" s="4">
        <f t="shared" ref="AP209:AR221" si="251">F209+L209+R209+X209+AJ209</f>
        <v>0</v>
      </c>
      <c r="AQ209" s="4">
        <f t="shared" si="251"/>
        <v>0</v>
      </c>
      <c r="AR209" s="4">
        <f t="shared" si="251"/>
        <v>255000</v>
      </c>
      <c r="AS209" s="4">
        <f t="shared" ref="AS209:AT221" si="252">I209+O209+U209+AA209+AD209+AG209+AM209</f>
        <v>297000</v>
      </c>
      <c r="AT209" s="94">
        <f t="shared" si="252"/>
        <v>1528000</v>
      </c>
      <c r="AU209" s="9">
        <f t="shared" ref="AU209:AU221" si="253">SUM(AP209:AT209)</f>
        <v>2080000</v>
      </c>
    </row>
    <row r="210" spans="1:47" ht="31.5">
      <c r="A210" s="186"/>
      <c r="B210" s="8">
        <v>2</v>
      </c>
      <c r="C210" s="1" t="s">
        <v>364</v>
      </c>
      <c r="D210" s="4" t="s">
        <v>365</v>
      </c>
      <c r="E210" s="4" t="s">
        <v>23</v>
      </c>
      <c r="F210" s="4"/>
      <c r="G210" s="4">
        <f>399694+3753</f>
        <v>403447</v>
      </c>
      <c r="H210" s="4">
        <f>114500+65000+219000</f>
        <v>398500</v>
      </c>
      <c r="I210" s="4"/>
      <c r="J210" s="4"/>
      <c r="K210" s="9">
        <f t="shared" si="244"/>
        <v>801947</v>
      </c>
      <c r="L210" s="4"/>
      <c r="M210" s="4"/>
      <c r="N210" s="4"/>
      <c r="O210" s="4"/>
      <c r="P210" s="4"/>
      <c r="Q210" s="9">
        <f t="shared" si="245"/>
        <v>0</v>
      </c>
      <c r="R210" s="20"/>
      <c r="S210" s="20"/>
      <c r="T210" s="20"/>
      <c r="U210" s="20"/>
      <c r="V210" s="20"/>
      <c r="W210" s="9">
        <f t="shared" si="246"/>
        <v>0</v>
      </c>
      <c r="X210" s="20">
        <v>195000</v>
      </c>
      <c r="Y210" s="25">
        <v>1079050</v>
      </c>
      <c r="Z210" s="25">
        <v>1013650</v>
      </c>
      <c r="AA210" s="24">
        <v>150000</v>
      </c>
      <c r="AB210" s="20"/>
      <c r="AC210" s="21">
        <f t="shared" si="247"/>
        <v>2437700</v>
      </c>
      <c r="AD210" s="25">
        <v>838000</v>
      </c>
      <c r="AE210" s="20">
        <f>105000+315000+315000+315000+210000</f>
        <v>1260000</v>
      </c>
      <c r="AF210" s="21">
        <f t="shared" si="248"/>
        <v>2098000</v>
      </c>
      <c r="AG210" s="25"/>
      <c r="AH210" s="20"/>
      <c r="AI210" s="21">
        <f t="shared" si="249"/>
        <v>0</v>
      </c>
      <c r="AJ210" s="25"/>
      <c r="AK210" s="25"/>
      <c r="AL210" s="25"/>
      <c r="AM210" s="25"/>
      <c r="AN210" s="20"/>
      <c r="AO210" s="21">
        <f t="shared" si="250"/>
        <v>0</v>
      </c>
      <c r="AP210" s="4">
        <f t="shared" si="251"/>
        <v>195000</v>
      </c>
      <c r="AQ210" s="4">
        <f t="shared" si="251"/>
        <v>1482497</v>
      </c>
      <c r="AR210" s="4">
        <f t="shared" si="251"/>
        <v>1412150</v>
      </c>
      <c r="AS210" s="4">
        <f t="shared" si="252"/>
        <v>988000</v>
      </c>
      <c r="AT210" s="94">
        <f t="shared" si="252"/>
        <v>1260000</v>
      </c>
      <c r="AU210" s="9">
        <f t="shared" si="253"/>
        <v>5337647</v>
      </c>
    </row>
    <row r="211" spans="1:47">
      <c r="A211" s="186"/>
      <c r="B211" s="8">
        <v>3</v>
      </c>
      <c r="C211" s="1" t="s">
        <v>366</v>
      </c>
      <c r="D211" s="4" t="s">
        <v>367</v>
      </c>
      <c r="E211" s="4" t="s">
        <v>23</v>
      </c>
      <c r="F211" s="4"/>
      <c r="G211" s="4"/>
      <c r="H211" s="4">
        <v>155000</v>
      </c>
      <c r="I211" s="4"/>
      <c r="J211" s="4"/>
      <c r="K211" s="9">
        <f t="shared" si="244"/>
        <v>155000</v>
      </c>
      <c r="L211" s="4"/>
      <c r="M211" s="4"/>
      <c r="N211" s="4"/>
      <c r="O211" s="4"/>
      <c r="P211" s="4"/>
      <c r="Q211" s="9">
        <f t="shared" si="245"/>
        <v>0</v>
      </c>
      <c r="R211" s="20"/>
      <c r="S211" s="20"/>
      <c r="T211" s="20"/>
      <c r="U211" s="20"/>
      <c r="V211" s="20"/>
      <c r="W211" s="9">
        <f t="shared" si="246"/>
        <v>0</v>
      </c>
      <c r="X211" s="20"/>
      <c r="Y211" s="20"/>
      <c r="Z211" s="20"/>
      <c r="AA211" s="20"/>
      <c r="AB211" s="20"/>
      <c r="AC211" s="21">
        <f t="shared" si="247"/>
        <v>0</v>
      </c>
      <c r="AD211" s="25">
        <v>0</v>
      </c>
      <c r="AE211" s="20"/>
      <c r="AF211" s="21">
        <f t="shared" si="248"/>
        <v>0</v>
      </c>
      <c r="AG211" s="25"/>
      <c r="AH211" s="20"/>
      <c r="AI211" s="21">
        <f t="shared" si="249"/>
        <v>0</v>
      </c>
      <c r="AJ211" s="25"/>
      <c r="AK211" s="25"/>
      <c r="AL211" s="25"/>
      <c r="AM211" s="25"/>
      <c r="AN211" s="20"/>
      <c r="AO211" s="21">
        <f t="shared" si="250"/>
        <v>0</v>
      </c>
      <c r="AP211" s="4">
        <f t="shared" si="251"/>
        <v>0</v>
      </c>
      <c r="AQ211" s="4">
        <f t="shared" si="251"/>
        <v>0</v>
      </c>
      <c r="AR211" s="4">
        <f t="shared" si="251"/>
        <v>155000</v>
      </c>
      <c r="AS211" s="4">
        <f t="shared" si="252"/>
        <v>0</v>
      </c>
      <c r="AT211" s="94">
        <f t="shared" si="252"/>
        <v>0</v>
      </c>
      <c r="AU211" s="9">
        <f t="shared" si="253"/>
        <v>155000</v>
      </c>
    </row>
    <row r="212" spans="1:47">
      <c r="A212" s="186"/>
      <c r="B212" s="8">
        <v>4</v>
      </c>
      <c r="C212" s="1" t="s">
        <v>368</v>
      </c>
      <c r="D212" s="4" t="s">
        <v>369</v>
      </c>
      <c r="E212" s="4" t="s">
        <v>23</v>
      </c>
      <c r="F212" s="4"/>
      <c r="G212" s="4"/>
      <c r="H212" s="4">
        <v>155000</v>
      </c>
      <c r="I212" s="4"/>
      <c r="J212" s="4"/>
      <c r="K212" s="9">
        <f t="shared" si="244"/>
        <v>155000</v>
      </c>
      <c r="L212" s="4"/>
      <c r="M212" s="4"/>
      <c r="N212" s="4"/>
      <c r="O212" s="4"/>
      <c r="P212" s="4"/>
      <c r="Q212" s="9">
        <f t="shared" si="245"/>
        <v>0</v>
      </c>
      <c r="R212" s="20"/>
      <c r="S212" s="20"/>
      <c r="T212" s="20"/>
      <c r="U212" s="20"/>
      <c r="V212" s="20"/>
      <c r="W212" s="9">
        <f t="shared" si="246"/>
        <v>0</v>
      </c>
      <c r="X212" s="20"/>
      <c r="Y212" s="20">
        <v>195000</v>
      </c>
      <c r="Z212" s="25">
        <v>710800</v>
      </c>
      <c r="AA212" s="24">
        <v>210000</v>
      </c>
      <c r="AB212" s="20"/>
      <c r="AC212" s="21">
        <f t="shared" si="247"/>
        <v>1115800</v>
      </c>
      <c r="AD212" s="25">
        <v>0</v>
      </c>
      <c r="AE212" s="20">
        <f>945000+315000+315000+315000+210000</f>
        <v>2100000</v>
      </c>
      <c r="AF212" s="21">
        <f t="shared" si="248"/>
        <v>2100000</v>
      </c>
      <c r="AG212" s="25"/>
      <c r="AH212" s="20"/>
      <c r="AI212" s="21">
        <f t="shared" si="249"/>
        <v>0</v>
      </c>
      <c r="AJ212" s="25"/>
      <c r="AK212" s="25">
        <v>100000</v>
      </c>
      <c r="AL212" s="25">
        <v>540000</v>
      </c>
      <c r="AM212" s="25"/>
      <c r="AN212" s="20"/>
      <c r="AO212" s="21">
        <f t="shared" si="250"/>
        <v>640000</v>
      </c>
      <c r="AP212" s="4">
        <f t="shared" si="251"/>
        <v>0</v>
      </c>
      <c r="AQ212" s="4">
        <f t="shared" si="251"/>
        <v>295000</v>
      </c>
      <c r="AR212" s="4">
        <f t="shared" si="251"/>
        <v>1405800</v>
      </c>
      <c r="AS212" s="4">
        <f t="shared" si="252"/>
        <v>210000</v>
      </c>
      <c r="AT212" s="94">
        <f t="shared" si="252"/>
        <v>2100000</v>
      </c>
      <c r="AU212" s="9">
        <f t="shared" si="253"/>
        <v>4010800</v>
      </c>
    </row>
    <row r="213" spans="1:47">
      <c r="A213" s="186"/>
      <c r="B213" s="8">
        <v>5</v>
      </c>
      <c r="C213" s="1" t="s">
        <v>370</v>
      </c>
      <c r="D213" s="4" t="s">
        <v>371</v>
      </c>
      <c r="E213" s="4" t="s">
        <v>23</v>
      </c>
      <c r="F213" s="4"/>
      <c r="G213" s="4">
        <v>453500</v>
      </c>
      <c r="H213" s="4">
        <f>99000+203500</f>
        <v>302500</v>
      </c>
      <c r="I213" s="4">
        <v>160000</v>
      </c>
      <c r="J213" s="4"/>
      <c r="K213" s="9">
        <f t="shared" si="244"/>
        <v>916000</v>
      </c>
      <c r="L213" s="4"/>
      <c r="M213" s="4"/>
      <c r="N213" s="4"/>
      <c r="O213" s="4"/>
      <c r="P213" s="4"/>
      <c r="Q213" s="9">
        <f t="shared" si="245"/>
        <v>0</v>
      </c>
      <c r="R213" s="20"/>
      <c r="S213" s="20"/>
      <c r="T213" s="20"/>
      <c r="U213" s="20"/>
      <c r="V213" s="20"/>
      <c r="W213" s="9">
        <f t="shared" si="246"/>
        <v>0</v>
      </c>
      <c r="X213" s="20"/>
      <c r="Y213" s="25">
        <v>636450</v>
      </c>
      <c r="Z213" s="25">
        <v>252200</v>
      </c>
      <c r="AA213" s="24">
        <v>180000</v>
      </c>
      <c r="AB213" s="20"/>
      <c r="AC213" s="21">
        <f t="shared" si="247"/>
        <v>1068650</v>
      </c>
      <c r="AD213" s="25">
        <v>823000</v>
      </c>
      <c r="AE213" s="20">
        <f>283500+273000+291500+293500+196000</f>
        <v>1337500</v>
      </c>
      <c r="AF213" s="21">
        <f t="shared" si="248"/>
        <v>2160500</v>
      </c>
      <c r="AG213" s="25"/>
      <c r="AH213" s="20"/>
      <c r="AI213" s="21">
        <f t="shared" si="249"/>
        <v>0</v>
      </c>
      <c r="AJ213" s="25"/>
      <c r="AK213" s="25">
        <v>100000</v>
      </c>
      <c r="AL213" s="25">
        <v>230000</v>
      </c>
      <c r="AM213" s="25"/>
      <c r="AN213" s="20"/>
      <c r="AO213" s="21">
        <f t="shared" si="250"/>
        <v>330000</v>
      </c>
      <c r="AP213" s="4">
        <f t="shared" si="251"/>
        <v>0</v>
      </c>
      <c r="AQ213" s="4">
        <f t="shared" si="251"/>
        <v>1189950</v>
      </c>
      <c r="AR213" s="4">
        <f t="shared" si="251"/>
        <v>784700</v>
      </c>
      <c r="AS213" s="4">
        <f t="shared" si="252"/>
        <v>1163000</v>
      </c>
      <c r="AT213" s="94">
        <f t="shared" si="252"/>
        <v>1337500</v>
      </c>
      <c r="AU213" s="9">
        <f t="shared" si="253"/>
        <v>4475150</v>
      </c>
    </row>
    <row r="214" spans="1:47">
      <c r="A214" s="186"/>
      <c r="B214" s="8">
        <v>6</v>
      </c>
      <c r="C214" s="1" t="s">
        <v>372</v>
      </c>
      <c r="D214" s="4" t="s">
        <v>371</v>
      </c>
      <c r="E214" s="4" t="s">
        <v>23</v>
      </c>
      <c r="F214" s="4"/>
      <c r="G214" s="4">
        <v>155000</v>
      </c>
      <c r="H214" s="4">
        <v>88000</v>
      </c>
      <c r="I214" s="4"/>
      <c r="J214" s="4"/>
      <c r="K214" s="9">
        <f t="shared" si="244"/>
        <v>243000</v>
      </c>
      <c r="L214" s="4"/>
      <c r="M214" s="4"/>
      <c r="N214" s="4"/>
      <c r="O214" s="4"/>
      <c r="P214" s="4"/>
      <c r="Q214" s="9">
        <f t="shared" si="245"/>
        <v>0</v>
      </c>
      <c r="R214" s="20"/>
      <c r="S214" s="20"/>
      <c r="T214" s="20"/>
      <c r="U214" s="20"/>
      <c r="V214" s="20"/>
      <c r="W214" s="9">
        <f t="shared" si="246"/>
        <v>0</v>
      </c>
      <c r="X214" s="20"/>
      <c r="Y214" s="25">
        <v>238650</v>
      </c>
      <c r="Z214" s="25">
        <v>601400</v>
      </c>
      <c r="AA214" s="24"/>
      <c r="AB214" s="20">
        <v>630000</v>
      </c>
      <c r="AC214" s="21">
        <f t="shared" si="247"/>
        <v>1470050</v>
      </c>
      <c r="AD214" s="25">
        <v>0</v>
      </c>
      <c r="AE214" s="20">
        <f>850500+196000</f>
        <v>1046500</v>
      </c>
      <c r="AF214" s="21">
        <f t="shared" si="248"/>
        <v>1046500</v>
      </c>
      <c r="AG214" s="25"/>
      <c r="AH214" s="20"/>
      <c r="AI214" s="21">
        <f t="shared" si="249"/>
        <v>0</v>
      </c>
      <c r="AJ214" s="25"/>
      <c r="AK214" s="25"/>
      <c r="AL214" s="25"/>
      <c r="AM214" s="25"/>
      <c r="AN214" s="20"/>
      <c r="AO214" s="21">
        <f t="shared" si="250"/>
        <v>0</v>
      </c>
      <c r="AP214" s="4">
        <f t="shared" si="251"/>
        <v>0</v>
      </c>
      <c r="AQ214" s="4">
        <f t="shared" si="251"/>
        <v>393650</v>
      </c>
      <c r="AR214" s="4">
        <f t="shared" si="251"/>
        <v>689400</v>
      </c>
      <c r="AS214" s="4">
        <f t="shared" si="252"/>
        <v>0</v>
      </c>
      <c r="AT214" s="94">
        <f t="shared" si="252"/>
        <v>1676500</v>
      </c>
      <c r="AU214" s="9">
        <f t="shared" si="253"/>
        <v>2759550</v>
      </c>
    </row>
    <row r="215" spans="1:47">
      <c r="A215" s="186"/>
      <c r="B215" s="8">
        <v>7</v>
      </c>
      <c r="C215" s="1" t="s">
        <v>373</v>
      </c>
      <c r="D215" s="4" t="s">
        <v>374</v>
      </c>
      <c r="E215" s="4" t="s">
        <v>23</v>
      </c>
      <c r="F215" s="4"/>
      <c r="G215" s="4">
        <v>719000</v>
      </c>
      <c r="H215" s="4">
        <f>282000+188000+80500+85000+80000</f>
        <v>715500</v>
      </c>
      <c r="I215" s="4">
        <v>673500</v>
      </c>
      <c r="J215" s="4">
        <f>181500+186000+186000+186000+121500</f>
        <v>861000</v>
      </c>
      <c r="K215" s="9">
        <f t="shared" si="244"/>
        <v>2969000</v>
      </c>
      <c r="L215" s="4"/>
      <c r="M215" s="4"/>
      <c r="N215" s="4"/>
      <c r="O215" s="4"/>
      <c r="P215" s="4"/>
      <c r="Q215" s="9">
        <f t="shared" si="245"/>
        <v>0</v>
      </c>
      <c r="R215" s="20"/>
      <c r="S215" s="20"/>
      <c r="T215" s="20"/>
      <c r="U215" s="20"/>
      <c r="V215" s="20"/>
      <c r="W215" s="9">
        <f t="shared" si="246"/>
        <v>0</v>
      </c>
      <c r="X215" s="20"/>
      <c r="Y215" s="20"/>
      <c r="Z215" s="20"/>
      <c r="AA215" s="20"/>
      <c r="AB215" s="20"/>
      <c r="AC215" s="21">
        <f t="shared" si="247"/>
        <v>0</v>
      </c>
      <c r="AD215" s="25">
        <v>0</v>
      </c>
      <c r="AE215" s="20"/>
      <c r="AF215" s="21">
        <f t="shared" si="248"/>
        <v>0</v>
      </c>
      <c r="AG215" s="25"/>
      <c r="AH215" s="20"/>
      <c r="AI215" s="21">
        <f t="shared" si="249"/>
        <v>0</v>
      </c>
      <c r="AJ215" s="25"/>
      <c r="AK215" s="25">
        <v>100000</v>
      </c>
      <c r="AL215" s="25">
        <v>257600</v>
      </c>
      <c r="AM215" s="25"/>
      <c r="AN215" s="20"/>
      <c r="AO215" s="21">
        <f t="shared" si="250"/>
        <v>357600</v>
      </c>
      <c r="AP215" s="4">
        <f t="shared" si="251"/>
        <v>0</v>
      </c>
      <c r="AQ215" s="4">
        <f t="shared" si="251"/>
        <v>819000</v>
      </c>
      <c r="AR215" s="4">
        <f t="shared" si="251"/>
        <v>973100</v>
      </c>
      <c r="AS215" s="4">
        <f t="shared" si="252"/>
        <v>673500</v>
      </c>
      <c r="AT215" s="94">
        <f t="shared" si="252"/>
        <v>861000</v>
      </c>
      <c r="AU215" s="9">
        <f t="shared" si="253"/>
        <v>3326600</v>
      </c>
    </row>
    <row r="216" spans="1:47">
      <c r="A216" s="186"/>
      <c r="B216" s="8">
        <v>8</v>
      </c>
      <c r="C216" s="1" t="s">
        <v>375</v>
      </c>
      <c r="D216" s="4" t="s">
        <v>376</v>
      </c>
      <c r="E216" s="4" t="s">
        <v>23</v>
      </c>
      <c r="F216" s="4"/>
      <c r="G216" s="4">
        <v>155000</v>
      </c>
      <c r="H216" s="4">
        <f>96000+48000</f>
        <v>144000</v>
      </c>
      <c r="I216" s="4">
        <f>68000+58000</f>
        <v>126000</v>
      </c>
      <c r="J216" s="4"/>
      <c r="K216" s="9">
        <f t="shared" si="244"/>
        <v>425000</v>
      </c>
      <c r="L216" s="4"/>
      <c r="M216" s="4"/>
      <c r="N216" s="4"/>
      <c r="O216" s="4"/>
      <c r="P216" s="4"/>
      <c r="Q216" s="9">
        <f t="shared" si="245"/>
        <v>0</v>
      </c>
      <c r="R216" s="20"/>
      <c r="S216" s="20"/>
      <c r="T216" s="20"/>
      <c r="U216" s="20"/>
      <c r="V216" s="20"/>
      <c r="W216" s="9">
        <f t="shared" si="246"/>
        <v>0</v>
      </c>
      <c r="X216" s="20"/>
      <c r="Y216" s="20">
        <v>195000</v>
      </c>
      <c r="Z216" s="25">
        <v>267300</v>
      </c>
      <c r="AA216" s="24">
        <v>262000</v>
      </c>
      <c r="AB216" s="20"/>
      <c r="AC216" s="21">
        <f t="shared" si="247"/>
        <v>724300</v>
      </c>
      <c r="AD216" s="25">
        <v>910500</v>
      </c>
      <c r="AE216" s="20">
        <f>306500+310500+312000+312000+208000</f>
        <v>1449000</v>
      </c>
      <c r="AF216" s="21">
        <f t="shared" si="248"/>
        <v>2359500</v>
      </c>
      <c r="AG216" s="25"/>
      <c r="AH216" s="20"/>
      <c r="AI216" s="21">
        <f t="shared" si="249"/>
        <v>0</v>
      </c>
      <c r="AJ216" s="25"/>
      <c r="AK216" s="25">
        <v>100000</v>
      </c>
      <c r="AL216" s="25">
        <v>230000</v>
      </c>
      <c r="AM216" s="25">
        <v>145000</v>
      </c>
      <c r="AN216" s="20"/>
      <c r="AO216" s="21">
        <f t="shared" si="250"/>
        <v>475000</v>
      </c>
      <c r="AP216" s="4">
        <f t="shared" si="251"/>
        <v>0</v>
      </c>
      <c r="AQ216" s="4">
        <f t="shared" si="251"/>
        <v>450000</v>
      </c>
      <c r="AR216" s="4">
        <f t="shared" si="251"/>
        <v>641300</v>
      </c>
      <c r="AS216" s="4">
        <f t="shared" si="252"/>
        <v>1443500</v>
      </c>
      <c r="AT216" s="94">
        <f t="shared" si="252"/>
        <v>1449000</v>
      </c>
      <c r="AU216" s="9">
        <f t="shared" si="253"/>
        <v>3983800</v>
      </c>
    </row>
    <row r="217" spans="1:47" ht="31.5">
      <c r="A217" s="186"/>
      <c r="B217" s="8">
        <v>9</v>
      </c>
      <c r="C217" s="1" t="s">
        <v>377</v>
      </c>
      <c r="D217" s="4" t="s">
        <v>378</v>
      </c>
      <c r="E217" s="4" t="s">
        <v>23</v>
      </c>
      <c r="F217" s="4"/>
      <c r="G217" s="4">
        <v>529000</v>
      </c>
      <c r="H217" s="4">
        <v>330000</v>
      </c>
      <c r="I217" s="4"/>
      <c r="J217" s="4"/>
      <c r="K217" s="9">
        <f t="shared" si="244"/>
        <v>859000</v>
      </c>
      <c r="L217" s="4"/>
      <c r="M217" s="4"/>
      <c r="N217" s="4"/>
      <c r="O217" s="4"/>
      <c r="P217" s="4"/>
      <c r="Q217" s="9">
        <f t="shared" si="245"/>
        <v>0</v>
      </c>
      <c r="R217" s="20"/>
      <c r="S217" s="20"/>
      <c r="T217" s="4">
        <v>290000</v>
      </c>
      <c r="U217" s="23"/>
      <c r="V217" s="23"/>
      <c r="W217" s="9">
        <f t="shared" si="246"/>
        <v>290000</v>
      </c>
      <c r="X217" s="20"/>
      <c r="Y217" s="25">
        <v>787400</v>
      </c>
      <c r="Z217" s="25">
        <v>518950</v>
      </c>
      <c r="AA217" s="25"/>
      <c r="AB217" s="20"/>
      <c r="AC217" s="21">
        <f t="shared" si="247"/>
        <v>1306350</v>
      </c>
      <c r="AD217" s="25">
        <v>0</v>
      </c>
      <c r="AE217" s="20">
        <f>525000+315000+315000+315000+210000</f>
        <v>1680000</v>
      </c>
      <c r="AF217" s="21">
        <f t="shared" si="248"/>
        <v>1680000</v>
      </c>
      <c r="AG217" s="25"/>
      <c r="AH217" s="20"/>
      <c r="AI217" s="21">
        <f t="shared" si="249"/>
        <v>0</v>
      </c>
      <c r="AJ217" s="25"/>
      <c r="AK217" s="25"/>
      <c r="AL217" s="25"/>
      <c r="AM217" s="25"/>
      <c r="AN217" s="20"/>
      <c r="AO217" s="21">
        <f t="shared" si="250"/>
        <v>0</v>
      </c>
      <c r="AP217" s="4">
        <f t="shared" si="251"/>
        <v>0</v>
      </c>
      <c r="AQ217" s="4">
        <f t="shared" si="251"/>
        <v>1316400</v>
      </c>
      <c r="AR217" s="4">
        <f t="shared" si="251"/>
        <v>1138950</v>
      </c>
      <c r="AS217" s="4">
        <f t="shared" si="252"/>
        <v>0</v>
      </c>
      <c r="AT217" s="94">
        <f t="shared" si="252"/>
        <v>1680000</v>
      </c>
      <c r="AU217" s="9">
        <f t="shared" si="253"/>
        <v>4135350</v>
      </c>
    </row>
    <row r="218" spans="1:47">
      <c r="A218" s="186"/>
      <c r="B218" s="8">
        <v>10</v>
      </c>
      <c r="C218" s="40" t="s">
        <v>379</v>
      </c>
      <c r="D218" s="41" t="s">
        <v>380</v>
      </c>
      <c r="E218" s="4" t="s">
        <v>23</v>
      </c>
      <c r="F218" s="4"/>
      <c r="G218" s="4"/>
      <c r="H218" s="4"/>
      <c r="I218" s="4"/>
      <c r="J218" s="4"/>
      <c r="K218" s="9">
        <f t="shared" si="244"/>
        <v>0</v>
      </c>
      <c r="L218" s="76">
        <v>290000</v>
      </c>
      <c r="M218" s="76">
        <f>1200000+70000</f>
        <v>1270000</v>
      </c>
      <c r="N218" s="76">
        <f>910000-60000</f>
        <v>850000</v>
      </c>
      <c r="O218" s="76">
        <v>835000</v>
      </c>
      <c r="P218" s="4">
        <f>195000+130000+65000+195000+195000+130000</f>
        <v>910000</v>
      </c>
      <c r="Q218" s="9">
        <f t="shared" si="245"/>
        <v>4155000</v>
      </c>
      <c r="R218" s="20"/>
      <c r="S218" s="20"/>
      <c r="T218" s="20"/>
      <c r="U218" s="20"/>
      <c r="V218" s="20"/>
      <c r="W218" s="9">
        <f t="shared" si="246"/>
        <v>0</v>
      </c>
      <c r="X218" s="20"/>
      <c r="Y218" s="25"/>
      <c r="Z218" s="20"/>
      <c r="AA218" s="20"/>
      <c r="AB218" s="20"/>
      <c r="AC218" s="21">
        <f t="shared" si="247"/>
        <v>0</v>
      </c>
      <c r="AD218" s="25">
        <v>0</v>
      </c>
      <c r="AE218" s="20"/>
      <c r="AF218" s="21">
        <f t="shared" si="248"/>
        <v>0</v>
      </c>
      <c r="AG218" s="25"/>
      <c r="AH218" s="20"/>
      <c r="AI218" s="21">
        <f t="shared" si="249"/>
        <v>0</v>
      </c>
      <c r="AJ218" s="25"/>
      <c r="AK218" s="25"/>
      <c r="AL218" s="25">
        <f>330000</f>
        <v>330000</v>
      </c>
      <c r="AM218" s="25"/>
      <c r="AN218" s="20"/>
      <c r="AO218" s="21">
        <f t="shared" si="250"/>
        <v>330000</v>
      </c>
      <c r="AP218" s="4">
        <f t="shared" si="251"/>
        <v>290000</v>
      </c>
      <c r="AQ218" s="4">
        <f t="shared" si="251"/>
        <v>1270000</v>
      </c>
      <c r="AR218" s="4">
        <f t="shared" si="251"/>
        <v>1180000</v>
      </c>
      <c r="AS218" s="4">
        <f t="shared" si="252"/>
        <v>835000</v>
      </c>
      <c r="AT218" s="94">
        <f t="shared" si="252"/>
        <v>910000</v>
      </c>
      <c r="AU218" s="9">
        <f t="shared" si="253"/>
        <v>4485000</v>
      </c>
    </row>
    <row r="219" spans="1:47" ht="31.5">
      <c r="A219" s="186"/>
      <c r="B219" s="8">
        <v>11</v>
      </c>
      <c r="C219" s="1" t="s">
        <v>383</v>
      </c>
      <c r="D219" s="4" t="s">
        <v>380</v>
      </c>
      <c r="E219" s="4" t="s">
        <v>23</v>
      </c>
      <c r="F219" s="4">
        <v>155000</v>
      </c>
      <c r="G219" s="4">
        <v>498500</v>
      </c>
      <c r="H219" s="4">
        <f>60500+126500+137500+258500+88000</f>
        <v>671000</v>
      </c>
      <c r="I219" s="4">
        <v>491000</v>
      </c>
      <c r="J219" s="4">
        <f>374500+182000+178500+192500+129500</f>
        <v>1057000</v>
      </c>
      <c r="K219" s="9">
        <f t="shared" si="244"/>
        <v>2872500</v>
      </c>
      <c r="L219" s="4"/>
      <c r="M219" s="4"/>
      <c r="N219" s="4"/>
      <c r="O219" s="4"/>
      <c r="P219" s="4"/>
      <c r="Q219" s="9">
        <f t="shared" si="245"/>
        <v>0</v>
      </c>
      <c r="R219" s="20"/>
      <c r="S219" s="20"/>
      <c r="T219" s="20"/>
      <c r="U219" s="20"/>
      <c r="V219" s="20"/>
      <c r="W219" s="9">
        <f t="shared" si="246"/>
        <v>0</v>
      </c>
      <c r="X219" s="20"/>
      <c r="Y219" s="20"/>
      <c r="Z219" s="20"/>
      <c r="AA219" s="20"/>
      <c r="AB219" s="20"/>
      <c r="AC219" s="21">
        <f t="shared" si="247"/>
        <v>0</v>
      </c>
      <c r="AD219" s="25">
        <v>0</v>
      </c>
      <c r="AE219" s="20"/>
      <c r="AF219" s="21">
        <f t="shared" si="248"/>
        <v>0</v>
      </c>
      <c r="AG219" s="25"/>
      <c r="AH219" s="20"/>
      <c r="AI219" s="21">
        <f t="shared" si="249"/>
        <v>0</v>
      </c>
      <c r="AJ219" s="25"/>
      <c r="AK219" s="25"/>
      <c r="AL219" s="25"/>
      <c r="AM219" s="25"/>
      <c r="AN219" s="20"/>
      <c r="AO219" s="21">
        <f t="shared" si="250"/>
        <v>0</v>
      </c>
      <c r="AP219" s="4">
        <f t="shared" si="251"/>
        <v>155000</v>
      </c>
      <c r="AQ219" s="4">
        <f t="shared" si="251"/>
        <v>498500</v>
      </c>
      <c r="AR219" s="4">
        <f t="shared" si="251"/>
        <v>671000</v>
      </c>
      <c r="AS219" s="4">
        <f t="shared" si="252"/>
        <v>491000</v>
      </c>
      <c r="AT219" s="94">
        <f t="shared" si="252"/>
        <v>1057000</v>
      </c>
      <c r="AU219" s="9">
        <f t="shared" si="253"/>
        <v>2872500</v>
      </c>
    </row>
    <row r="220" spans="1:47" ht="18.75">
      <c r="A220" s="186"/>
      <c r="B220" s="8">
        <v>12</v>
      </c>
      <c r="C220" s="1" t="s">
        <v>384</v>
      </c>
      <c r="D220" s="91" t="s">
        <v>427</v>
      </c>
      <c r="E220" s="4" t="s">
        <v>23</v>
      </c>
      <c r="F220" s="4"/>
      <c r="G220" s="4"/>
      <c r="H220" s="4"/>
      <c r="I220" s="4"/>
      <c r="J220" s="4"/>
      <c r="K220" s="9">
        <f t="shared" si="244"/>
        <v>0</v>
      </c>
      <c r="L220" s="4"/>
      <c r="M220" s="4"/>
      <c r="N220" s="4"/>
      <c r="O220" s="4"/>
      <c r="P220" s="4"/>
      <c r="Q220" s="9"/>
      <c r="R220" s="20"/>
      <c r="S220" s="20"/>
      <c r="T220" s="20"/>
      <c r="U220" s="20"/>
      <c r="V220" s="20"/>
      <c r="W220" s="9"/>
      <c r="X220" s="20"/>
      <c r="Y220" s="20"/>
      <c r="Z220" s="20">
        <v>227000</v>
      </c>
      <c r="AA220" s="20">
        <v>344000</v>
      </c>
      <c r="AB220" s="20">
        <f>500500+112000</f>
        <v>612500</v>
      </c>
      <c r="AC220" s="21"/>
      <c r="AD220" s="25"/>
      <c r="AE220" s="20"/>
      <c r="AF220" s="21"/>
      <c r="AG220" s="25"/>
      <c r="AH220" s="20"/>
      <c r="AI220" s="21">
        <f t="shared" si="249"/>
        <v>0</v>
      </c>
      <c r="AJ220" s="25"/>
      <c r="AK220" s="25"/>
      <c r="AL220" s="25"/>
      <c r="AM220" s="25"/>
      <c r="AN220" s="20"/>
      <c r="AO220" s="21">
        <f t="shared" si="250"/>
        <v>0</v>
      </c>
      <c r="AP220" s="4">
        <f t="shared" si="251"/>
        <v>0</v>
      </c>
      <c r="AQ220" s="4">
        <f t="shared" si="251"/>
        <v>0</v>
      </c>
      <c r="AR220" s="4">
        <f t="shared" si="251"/>
        <v>227000</v>
      </c>
      <c r="AS220" s="4">
        <f t="shared" si="252"/>
        <v>344000</v>
      </c>
      <c r="AT220" s="94">
        <f t="shared" si="252"/>
        <v>612500</v>
      </c>
      <c r="AU220" s="9">
        <f t="shared" si="253"/>
        <v>1183500</v>
      </c>
    </row>
    <row r="221" spans="1:47">
      <c r="A221" s="187"/>
      <c r="B221" s="8">
        <v>13</v>
      </c>
      <c r="C221" s="1" t="s">
        <v>385</v>
      </c>
      <c r="D221" s="4" t="s">
        <v>386</v>
      </c>
      <c r="E221" s="4" t="s">
        <v>23</v>
      </c>
      <c r="F221" s="4"/>
      <c r="G221" s="4">
        <v>155000</v>
      </c>
      <c r="H221" s="4"/>
      <c r="I221" s="4"/>
      <c r="J221" s="4"/>
      <c r="K221" s="9">
        <f t="shared" si="244"/>
        <v>155000</v>
      </c>
      <c r="L221" s="4"/>
      <c r="M221" s="4"/>
      <c r="N221" s="4"/>
      <c r="O221" s="4"/>
      <c r="P221" s="4"/>
      <c r="Q221" s="9">
        <f t="shared" si="245"/>
        <v>0</v>
      </c>
      <c r="R221" s="20"/>
      <c r="S221" s="20"/>
      <c r="T221" s="20"/>
      <c r="U221" s="20"/>
      <c r="V221" s="20"/>
      <c r="W221" s="9">
        <f t="shared" si="246"/>
        <v>0</v>
      </c>
      <c r="X221" s="20"/>
      <c r="Y221" s="20"/>
      <c r="Z221" s="20"/>
      <c r="AA221" s="20"/>
      <c r="AB221" s="20"/>
      <c r="AC221" s="21">
        <f t="shared" si="247"/>
        <v>0</v>
      </c>
      <c r="AD221" s="25">
        <v>0</v>
      </c>
      <c r="AE221" s="20"/>
      <c r="AF221" s="21">
        <f t="shared" si="248"/>
        <v>0</v>
      </c>
      <c r="AG221" s="25"/>
      <c r="AH221" s="20"/>
      <c r="AI221" s="21">
        <f t="shared" si="249"/>
        <v>0</v>
      </c>
      <c r="AJ221" s="25"/>
      <c r="AK221" s="25"/>
      <c r="AL221" s="25"/>
      <c r="AM221" s="25"/>
      <c r="AN221" s="20"/>
      <c r="AO221" s="21">
        <f t="shared" si="250"/>
        <v>0</v>
      </c>
      <c r="AP221" s="4">
        <f t="shared" si="251"/>
        <v>0</v>
      </c>
      <c r="AQ221" s="4">
        <f t="shared" si="251"/>
        <v>155000</v>
      </c>
      <c r="AR221" s="4">
        <f t="shared" si="251"/>
        <v>0</v>
      </c>
      <c r="AS221" s="4">
        <f t="shared" si="252"/>
        <v>0</v>
      </c>
      <c r="AT221" s="94">
        <f t="shared" si="252"/>
        <v>0</v>
      </c>
      <c r="AU221" s="9">
        <f t="shared" si="253"/>
        <v>155000</v>
      </c>
    </row>
    <row r="222" spans="1:47" s="38" customFormat="1">
      <c r="A222" s="34"/>
      <c r="B222" s="34"/>
      <c r="C222" s="35" t="s">
        <v>387</v>
      </c>
      <c r="D222" s="37"/>
      <c r="E222" s="37"/>
      <c r="F222" s="37">
        <f>SUM(F209:F221)</f>
        <v>155000</v>
      </c>
      <c r="G222" s="37">
        <f t="shared" ref="G222:AU222" si="254">SUM(G209:G221)</f>
        <v>3068447</v>
      </c>
      <c r="H222" s="37">
        <f t="shared" si="254"/>
        <v>3114500</v>
      </c>
      <c r="I222" s="37">
        <f t="shared" si="254"/>
        <v>1622500</v>
      </c>
      <c r="J222" s="37">
        <f t="shared" si="254"/>
        <v>3446000</v>
      </c>
      <c r="K222" s="37">
        <f t="shared" si="254"/>
        <v>11406447</v>
      </c>
      <c r="L222" s="37">
        <f t="shared" si="254"/>
        <v>290000</v>
      </c>
      <c r="M222" s="37">
        <f t="shared" si="254"/>
        <v>1270000</v>
      </c>
      <c r="N222" s="37">
        <f t="shared" si="254"/>
        <v>850000</v>
      </c>
      <c r="O222" s="37">
        <f t="shared" si="254"/>
        <v>835000</v>
      </c>
      <c r="P222" s="37">
        <f t="shared" si="254"/>
        <v>910000</v>
      </c>
      <c r="Q222" s="37">
        <f t="shared" si="254"/>
        <v>4155000</v>
      </c>
      <c r="R222" s="37">
        <f t="shared" si="254"/>
        <v>0</v>
      </c>
      <c r="S222" s="37">
        <f t="shared" si="254"/>
        <v>0</v>
      </c>
      <c r="T222" s="37">
        <f t="shared" si="254"/>
        <v>290000</v>
      </c>
      <c r="U222" s="37">
        <f t="shared" si="254"/>
        <v>0</v>
      </c>
      <c r="V222" s="37">
        <f t="shared" si="254"/>
        <v>0</v>
      </c>
      <c r="W222" s="37">
        <f t="shared" si="254"/>
        <v>290000</v>
      </c>
      <c r="X222" s="37">
        <f t="shared" si="254"/>
        <v>195000</v>
      </c>
      <c r="Y222" s="37">
        <f t="shared" si="254"/>
        <v>3131550</v>
      </c>
      <c r="Z222" s="37">
        <f t="shared" si="254"/>
        <v>3591300</v>
      </c>
      <c r="AA222" s="37">
        <f t="shared" si="254"/>
        <v>1146000</v>
      </c>
      <c r="AB222" s="37">
        <f t="shared" si="254"/>
        <v>1242500</v>
      </c>
      <c r="AC222" s="37">
        <f t="shared" si="254"/>
        <v>8122850</v>
      </c>
      <c r="AD222" s="37">
        <f t="shared" si="254"/>
        <v>2571500</v>
      </c>
      <c r="AE222" s="37">
        <f t="shared" si="254"/>
        <v>8873000</v>
      </c>
      <c r="AF222" s="37">
        <f t="shared" si="254"/>
        <v>11444500</v>
      </c>
      <c r="AG222" s="37">
        <f t="shared" si="254"/>
        <v>0</v>
      </c>
      <c r="AH222" s="37">
        <f t="shared" si="254"/>
        <v>0</v>
      </c>
      <c r="AI222" s="37">
        <f t="shared" si="254"/>
        <v>0</v>
      </c>
      <c r="AJ222" s="37">
        <f t="shared" si="254"/>
        <v>0</v>
      </c>
      <c r="AK222" s="37">
        <f t="shared" si="254"/>
        <v>400000</v>
      </c>
      <c r="AL222" s="37">
        <f t="shared" si="254"/>
        <v>1687600</v>
      </c>
      <c r="AM222" s="37">
        <f t="shared" si="254"/>
        <v>270000</v>
      </c>
      <c r="AN222" s="37">
        <f t="shared" si="254"/>
        <v>0</v>
      </c>
      <c r="AO222" s="37">
        <f t="shared" si="254"/>
        <v>2357600</v>
      </c>
      <c r="AP222" s="37">
        <f t="shared" si="254"/>
        <v>640000</v>
      </c>
      <c r="AQ222" s="37">
        <f t="shared" si="254"/>
        <v>7869997</v>
      </c>
      <c r="AR222" s="37">
        <f t="shared" si="254"/>
        <v>9533400</v>
      </c>
      <c r="AS222" s="37">
        <f t="shared" si="254"/>
        <v>6445000</v>
      </c>
      <c r="AT222" s="37">
        <f t="shared" si="254"/>
        <v>14471500</v>
      </c>
      <c r="AU222" s="37">
        <f t="shared" si="254"/>
        <v>38959897</v>
      </c>
    </row>
    <row r="223" spans="1:47" s="14" customFormat="1">
      <c r="A223" s="65"/>
      <c r="B223" s="86"/>
      <c r="C223" s="66"/>
      <c r="D223" s="67"/>
      <c r="E223" s="67"/>
      <c r="F223" s="67"/>
      <c r="G223" s="67"/>
      <c r="H223" s="68"/>
      <c r="I223" s="67"/>
      <c r="J223" s="67"/>
      <c r="K223" s="67"/>
      <c r="L223" s="67"/>
      <c r="M223" s="67"/>
      <c r="N223" s="67"/>
      <c r="O223" s="67"/>
      <c r="P223" s="67"/>
      <c r="Q223" s="67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95"/>
      <c r="AU223" s="69"/>
    </row>
    <row r="224" spans="1:47" s="16" customFormat="1" ht="16.5" thickBot="1">
      <c r="A224" s="15"/>
      <c r="B224" s="87"/>
      <c r="C224" s="19" t="s">
        <v>63</v>
      </c>
      <c r="D224" s="15"/>
      <c r="E224" s="15"/>
      <c r="F224" s="15">
        <f t="shared" ref="F224:AN224" si="255">F16+F20+F26+F29+F34+F44+F53+F62+F67+F69+F79+F81+F113+F118+F121+F123+F125+F142+F145+F147+F153+F162+F168+F206+F208+F222</f>
        <v>5115000</v>
      </c>
      <c r="G224" s="15">
        <f t="shared" si="255"/>
        <v>31213052</v>
      </c>
      <c r="H224" s="15">
        <f t="shared" si="255"/>
        <v>33449181</v>
      </c>
      <c r="I224" s="15">
        <f t="shared" si="255"/>
        <v>16926000</v>
      </c>
      <c r="J224" s="15">
        <f t="shared" si="255"/>
        <v>12376000</v>
      </c>
      <c r="K224" s="15">
        <f t="shared" si="255"/>
        <v>99079233</v>
      </c>
      <c r="L224" s="15">
        <f t="shared" si="255"/>
        <v>3480000</v>
      </c>
      <c r="M224" s="15">
        <f t="shared" si="255"/>
        <v>36620000</v>
      </c>
      <c r="N224" s="15">
        <f t="shared" si="255"/>
        <v>40371999</v>
      </c>
      <c r="O224" s="15">
        <f t="shared" si="255"/>
        <v>18123500</v>
      </c>
      <c r="P224" s="15">
        <f t="shared" si="255"/>
        <v>13675000</v>
      </c>
      <c r="Q224" s="15">
        <f t="shared" si="255"/>
        <v>112270499</v>
      </c>
      <c r="R224" s="15">
        <f t="shared" si="255"/>
        <v>4060000</v>
      </c>
      <c r="S224" s="15">
        <f t="shared" si="255"/>
        <v>24874479</v>
      </c>
      <c r="T224" s="15">
        <f t="shared" si="255"/>
        <v>30501935</v>
      </c>
      <c r="U224" s="15">
        <f t="shared" si="255"/>
        <v>11338000</v>
      </c>
      <c r="V224" s="15">
        <f t="shared" si="255"/>
        <v>7805000</v>
      </c>
      <c r="W224" s="15">
        <f t="shared" si="255"/>
        <v>78579414</v>
      </c>
      <c r="X224" s="15">
        <f t="shared" si="255"/>
        <v>5265000</v>
      </c>
      <c r="Y224" s="15">
        <f t="shared" si="255"/>
        <v>62724231</v>
      </c>
      <c r="Z224" s="15">
        <f t="shared" si="255"/>
        <v>47459700</v>
      </c>
      <c r="AA224" s="15">
        <f t="shared" si="255"/>
        <v>28552500</v>
      </c>
      <c r="AB224" s="15">
        <f t="shared" si="255"/>
        <v>19982000</v>
      </c>
      <c r="AC224" s="15">
        <f t="shared" si="255"/>
        <v>162799931</v>
      </c>
      <c r="AD224" s="15">
        <f t="shared" si="255"/>
        <v>29535500</v>
      </c>
      <c r="AE224" s="15">
        <f t="shared" si="255"/>
        <v>42111500</v>
      </c>
      <c r="AF224" s="15">
        <f t="shared" si="255"/>
        <v>71647000</v>
      </c>
      <c r="AG224" s="15">
        <f t="shared" si="255"/>
        <v>7090000</v>
      </c>
      <c r="AH224" s="15">
        <f t="shared" si="255"/>
        <v>13055000</v>
      </c>
      <c r="AI224" s="15">
        <f t="shared" si="255"/>
        <v>20145000</v>
      </c>
      <c r="AJ224" s="15">
        <f t="shared" si="255"/>
        <v>0</v>
      </c>
      <c r="AK224" s="15">
        <f t="shared" si="255"/>
        <v>4682000</v>
      </c>
      <c r="AL224" s="15">
        <f t="shared" si="255"/>
        <v>11835750</v>
      </c>
      <c r="AM224" s="15">
        <f t="shared" si="255"/>
        <v>1463000</v>
      </c>
      <c r="AN224" s="15">
        <f t="shared" si="255"/>
        <v>0</v>
      </c>
      <c r="AO224" s="15">
        <f t="shared" ref="AO224:AU224" si="256">AO16+AO20+AO26+AO29+AO34+AO44+AO53+AO62+AO67+AO69+AO79+AO81+AO113+AO118+AO121+AO125+AO142+AO145+AO147+AO153+AO162+AO168+AO206+AO208+AO222</f>
        <v>17980750</v>
      </c>
      <c r="AP224" s="15">
        <f t="shared" si="256"/>
        <v>17920000</v>
      </c>
      <c r="AQ224" s="15">
        <f t="shared" si="256"/>
        <v>160113762</v>
      </c>
      <c r="AR224" s="15">
        <f t="shared" si="256"/>
        <v>163618565</v>
      </c>
      <c r="AS224" s="15">
        <f t="shared" si="256"/>
        <v>113028500</v>
      </c>
      <c r="AT224" s="15">
        <f t="shared" si="256"/>
        <v>108064500</v>
      </c>
      <c r="AU224" s="15">
        <f t="shared" si="256"/>
        <v>562745327</v>
      </c>
    </row>
    <row r="225" spans="1:47" ht="16.5" customHeight="1" thickTop="1">
      <c r="D225" s="183" t="s">
        <v>392</v>
      </c>
      <c r="E225" s="183"/>
      <c r="F225" s="3">
        <v>5115000</v>
      </c>
      <c r="G225" s="3">
        <v>31213052</v>
      </c>
      <c r="H225" s="31">
        <v>33449181</v>
      </c>
      <c r="I225" s="3">
        <v>16926000</v>
      </c>
      <c r="J225" s="3">
        <v>12376000</v>
      </c>
      <c r="L225" s="3">
        <v>3480000</v>
      </c>
      <c r="M225" s="3">
        <v>36620000</v>
      </c>
      <c r="N225" s="3">
        <v>40371999</v>
      </c>
      <c r="O225" s="3">
        <v>18123500</v>
      </c>
      <c r="P225" s="3">
        <v>13675000</v>
      </c>
      <c r="R225" s="3">
        <v>4060000</v>
      </c>
      <c r="S225" s="3">
        <v>24874479</v>
      </c>
      <c r="T225" s="3">
        <v>30501935</v>
      </c>
      <c r="U225" s="3">
        <v>11338000</v>
      </c>
      <c r="V225" s="3">
        <v>7805000</v>
      </c>
      <c r="X225" s="3">
        <v>5265000</v>
      </c>
      <c r="Y225" s="3">
        <v>62724231</v>
      </c>
      <c r="Z225" s="3">
        <v>47459700</v>
      </c>
      <c r="AA225" s="3">
        <v>28552500</v>
      </c>
      <c r="AB225" s="3">
        <v>19982000</v>
      </c>
      <c r="AD225" s="3">
        <v>29535500</v>
      </c>
      <c r="AE225" s="3">
        <v>42111500</v>
      </c>
      <c r="AF225" s="3"/>
      <c r="AG225" s="3">
        <v>7090000</v>
      </c>
      <c r="AH225" s="3">
        <v>13055000</v>
      </c>
      <c r="AJ225" s="3">
        <v>0</v>
      </c>
      <c r="AK225" s="3">
        <v>4682000</v>
      </c>
      <c r="AL225" s="3">
        <v>11835750</v>
      </c>
      <c r="AM225" s="3">
        <v>1463000</v>
      </c>
      <c r="AN225" s="14">
        <v>0</v>
      </c>
    </row>
    <row r="226" spans="1:47" ht="31.5">
      <c r="E226" s="74" t="s">
        <v>393</v>
      </c>
      <c r="F226" s="3">
        <f>F224-F225</f>
        <v>0</v>
      </c>
      <c r="G226" s="3">
        <f t="shared" ref="G226:AN226" si="257">G224-G225</f>
        <v>0</v>
      </c>
      <c r="H226" s="3">
        <f t="shared" si="257"/>
        <v>0</v>
      </c>
      <c r="I226" s="3">
        <f t="shared" si="257"/>
        <v>0</v>
      </c>
      <c r="J226" s="3">
        <f t="shared" si="257"/>
        <v>0</v>
      </c>
      <c r="K226" s="3"/>
      <c r="L226" s="3">
        <f t="shared" si="257"/>
        <v>0</v>
      </c>
      <c r="M226" s="3">
        <f t="shared" si="257"/>
        <v>0</v>
      </c>
      <c r="N226" s="3">
        <f t="shared" si="257"/>
        <v>0</v>
      </c>
      <c r="O226" s="3">
        <f t="shared" si="257"/>
        <v>0</v>
      </c>
      <c r="P226" s="3">
        <f t="shared" si="257"/>
        <v>0</v>
      </c>
      <c r="Q226" s="3"/>
      <c r="R226" s="3">
        <f t="shared" si="257"/>
        <v>0</v>
      </c>
      <c r="S226" s="3">
        <f t="shared" si="257"/>
        <v>0</v>
      </c>
      <c r="T226" s="3">
        <f t="shared" si="257"/>
        <v>0</v>
      </c>
      <c r="U226" s="3">
        <f t="shared" si="257"/>
        <v>0</v>
      </c>
      <c r="V226" s="3">
        <f t="shared" si="257"/>
        <v>0</v>
      </c>
      <c r="W226" s="3"/>
      <c r="X226" s="3">
        <f t="shared" si="257"/>
        <v>0</v>
      </c>
      <c r="Y226" s="3">
        <f t="shared" si="257"/>
        <v>0</v>
      </c>
      <c r="Z226" s="3">
        <f t="shared" si="257"/>
        <v>0</v>
      </c>
      <c r="AA226" s="3">
        <f t="shared" si="257"/>
        <v>0</v>
      </c>
      <c r="AB226" s="3">
        <f t="shared" si="257"/>
        <v>0</v>
      </c>
      <c r="AC226" s="3"/>
      <c r="AD226" s="3">
        <f>AD224-AD225</f>
        <v>0</v>
      </c>
      <c r="AE226" s="3">
        <f>AE224-AE225</f>
        <v>0</v>
      </c>
      <c r="AF226" s="3"/>
      <c r="AG226" s="3">
        <f t="shared" ref="AG226:AH226" si="258">AG224-AG225</f>
        <v>0</v>
      </c>
      <c r="AH226" s="3">
        <f t="shared" si="258"/>
        <v>0</v>
      </c>
      <c r="AI226" s="3"/>
      <c r="AJ226" s="3">
        <f t="shared" si="257"/>
        <v>0</v>
      </c>
      <c r="AK226" s="3">
        <f t="shared" si="257"/>
        <v>0</v>
      </c>
      <c r="AL226" s="3">
        <f t="shared" si="257"/>
        <v>0</v>
      </c>
      <c r="AM226" s="3">
        <f t="shared" si="257"/>
        <v>0</v>
      </c>
      <c r="AN226" s="3">
        <f t="shared" si="257"/>
        <v>0</v>
      </c>
      <c r="AO226" s="3"/>
      <c r="AS226" s="78" t="s">
        <v>450</v>
      </c>
      <c r="AT226" s="97"/>
      <c r="AU226" s="78" t="s">
        <v>450</v>
      </c>
    </row>
    <row r="227" spans="1:47" ht="15.75" customHeight="1">
      <c r="A227" s="3"/>
      <c r="B227" s="3"/>
      <c r="C227" s="182" t="s">
        <v>436</v>
      </c>
      <c r="D227" s="182"/>
      <c r="E227" s="88" t="s">
        <v>451</v>
      </c>
      <c r="F227" s="88"/>
      <c r="H227" s="3"/>
      <c r="J227" s="88" t="s">
        <v>451</v>
      </c>
      <c r="K227" s="3"/>
      <c r="P227" s="88" t="s">
        <v>451</v>
      </c>
      <c r="Q227" s="3"/>
      <c r="V227" s="88" t="s">
        <v>451</v>
      </c>
      <c r="W227" s="3"/>
      <c r="AB227" s="88" t="s">
        <v>451</v>
      </c>
      <c r="AC227" s="3"/>
      <c r="AE227" s="88" t="s">
        <v>451</v>
      </c>
      <c r="AF227" s="88"/>
      <c r="AH227" s="88" t="s">
        <v>451</v>
      </c>
      <c r="AI227" s="78"/>
      <c r="AN227" s="88" t="s">
        <v>451</v>
      </c>
      <c r="AO227" s="3"/>
      <c r="AT227" s="88" t="s">
        <v>451</v>
      </c>
      <c r="AU227" s="3"/>
    </row>
    <row r="228" spans="1:47" ht="283.5">
      <c r="A228" s="3"/>
      <c r="B228" s="3"/>
      <c r="C228" s="71" t="s">
        <v>390</v>
      </c>
      <c r="G228" s="80" t="s">
        <v>480</v>
      </c>
      <c r="H228" s="79" t="s">
        <v>398</v>
      </c>
      <c r="J228" s="103"/>
      <c r="N228" s="81" t="s">
        <v>437</v>
      </c>
      <c r="P228" s="79" t="s">
        <v>435</v>
      </c>
      <c r="Q228" s="75"/>
      <c r="R228" s="75"/>
      <c r="S228" s="75"/>
      <c r="T228" s="79" t="s">
        <v>398</v>
      </c>
      <c r="V228" s="75"/>
      <c r="W228" s="75"/>
      <c r="Y228" s="143"/>
      <c r="Z228" s="122"/>
      <c r="AK228" s="193"/>
      <c r="AL228" s="193"/>
      <c r="AU228" s="3"/>
    </row>
    <row r="229" spans="1:47">
      <c r="A229" s="3"/>
      <c r="B229" s="3"/>
      <c r="M229" s="75"/>
      <c r="N229" s="75"/>
      <c r="O229" s="75"/>
      <c r="P229" s="75"/>
      <c r="Q229" s="75"/>
      <c r="R229" s="75"/>
      <c r="S229" s="75"/>
      <c r="T229" s="75"/>
      <c r="U229" s="75">
        <f>290000-155000</f>
        <v>135000</v>
      </c>
      <c r="V229" s="75"/>
      <c r="W229" s="75"/>
      <c r="AU229" s="3"/>
    </row>
    <row r="231" spans="1:47">
      <c r="A231" s="3"/>
      <c r="B231" s="3"/>
      <c r="I231" s="14"/>
      <c r="AU231" s="3"/>
    </row>
  </sheetData>
  <mergeCells count="40">
    <mergeCell ref="AP2:AU2"/>
    <mergeCell ref="AJ3:AO3"/>
    <mergeCell ref="AP3:AU3"/>
    <mergeCell ref="E3:E4"/>
    <mergeCell ref="F3:K3"/>
    <mergeCell ref="L3:Q3"/>
    <mergeCell ref="R3:W3"/>
    <mergeCell ref="X3:AC3"/>
    <mergeCell ref="AK228:AL228"/>
    <mergeCell ref="AD3:AF3"/>
    <mergeCell ref="AG3:AI3"/>
    <mergeCell ref="A126:A141"/>
    <mergeCell ref="A143:A144"/>
    <mergeCell ref="A148:A152"/>
    <mergeCell ref="A154:A161"/>
    <mergeCell ref="A163:A167"/>
    <mergeCell ref="A63:A66"/>
    <mergeCell ref="A70:A78"/>
    <mergeCell ref="A82:A112"/>
    <mergeCell ref="A114:A117"/>
    <mergeCell ref="A119:A120"/>
    <mergeCell ref="A35:A43"/>
    <mergeCell ref="A45:A52"/>
    <mergeCell ref="C227:D227"/>
    <mergeCell ref="A30:A33"/>
    <mergeCell ref="A1:AM1"/>
    <mergeCell ref="A2:E2"/>
    <mergeCell ref="D225:E225"/>
    <mergeCell ref="A169:A205"/>
    <mergeCell ref="A209:A221"/>
    <mergeCell ref="A5:A15"/>
    <mergeCell ref="A17:A19"/>
    <mergeCell ref="A21:A25"/>
    <mergeCell ref="A27:A28"/>
    <mergeCell ref="A3:A4"/>
    <mergeCell ref="B3:B4"/>
    <mergeCell ref="C3:C4"/>
    <mergeCell ref="A54:A61"/>
    <mergeCell ref="D3:D4"/>
    <mergeCell ref="F2:AO2"/>
  </mergeCells>
  <conditionalFormatting sqref="C29">
    <cfRule type="duplicateValues" dxfId="80" priority="17"/>
  </conditionalFormatting>
  <conditionalFormatting sqref="C80">
    <cfRule type="duplicateValues" dxfId="79" priority="16"/>
  </conditionalFormatting>
  <conditionalFormatting sqref="D224:E226 C196:C203 C128:C129 C5:C12 C81:C82 C172:C194 C141:C152 C154:C156 C14:C27 C42:C79 C158:C170 C30:C38 C131:C135 C205:C226 C228:E1048576 C85:C126 D3:E4 C3">
    <cfRule type="duplicateValues" dxfId="78" priority="15"/>
  </conditionalFormatting>
  <conditionalFormatting sqref="C224:E226 C228:E1048576">
    <cfRule type="duplicateValues" dxfId="77" priority="14"/>
  </conditionalFormatting>
  <conditionalFormatting sqref="A3:B3">
    <cfRule type="duplicateValues" dxfId="76" priority="13"/>
  </conditionalFormatting>
  <conditionalFormatting sqref="C29">
    <cfRule type="duplicateValues" dxfId="75" priority="5"/>
  </conditionalFormatting>
  <conditionalFormatting sqref="C80">
    <cfRule type="duplicateValues" dxfId="74" priority="4"/>
  </conditionalFormatting>
  <conditionalFormatting sqref="D224:E226">
    <cfRule type="duplicateValues" dxfId="73" priority="3"/>
  </conditionalFormatting>
  <conditionalFormatting sqref="C224:E226">
    <cfRule type="duplicateValues" dxfId="72" priority="2"/>
  </conditionalFormatting>
  <conditionalFormatting sqref="A3:B3">
    <cfRule type="duplicateValues" dxfId="71" priority="1"/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35"/>
  <sheetViews>
    <sheetView workbookViewId="0">
      <pane xSplit="5" ySplit="4" topLeftCell="T133" activePane="bottomRight" state="frozen"/>
      <selection pane="topRight" activeCell="F1" sqref="F1"/>
      <selection pane="bottomLeft" activeCell="A5" sqref="A5"/>
      <selection pane="bottomRight" activeCell="AD138" sqref="AD138"/>
    </sheetView>
  </sheetViews>
  <sheetFormatPr defaultRowHeight="15.75"/>
  <cols>
    <col min="1" max="1" width="21.140625" style="74" customWidth="1"/>
    <col min="2" max="2" width="7.28515625" style="74" customWidth="1"/>
    <col min="3" max="3" width="41.42578125" style="17" customWidth="1"/>
    <col min="4" max="4" width="16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1" width="14.7109375" style="14" customWidth="1"/>
    <col min="12" max="12" width="15.140625" style="14" customWidth="1"/>
    <col min="13" max="15" width="13.140625" style="3" customWidth="1"/>
    <col min="16" max="16" width="15" style="3" customWidth="1"/>
    <col min="17" max="18" width="16.28515625" style="14" customWidth="1"/>
    <col min="19" max="19" width="13.42578125" style="14" customWidth="1"/>
    <col min="20" max="20" width="13" style="3" customWidth="1"/>
    <col min="21" max="22" width="10.7109375" style="3" customWidth="1"/>
    <col min="23" max="23" width="14.5703125" style="3" customWidth="1"/>
    <col min="24" max="25" width="15.7109375" style="14" customWidth="1"/>
    <col min="26" max="26" width="13.5703125" style="14" customWidth="1"/>
    <col min="27" max="27" width="10.7109375" style="3" customWidth="1"/>
    <col min="28" max="28" width="11" style="3" customWidth="1"/>
    <col min="29" max="29" width="10.7109375" style="3" customWidth="1"/>
    <col min="30" max="30" width="15.140625" style="3" customWidth="1"/>
    <col min="31" max="31" width="15.28515625" style="14" customWidth="1"/>
    <col min="32" max="32" width="17.7109375" style="14" customWidth="1"/>
    <col min="33" max="33" width="22.140625" style="14" customWidth="1"/>
    <col min="34" max="34" width="16.28515625" style="3" customWidth="1"/>
    <col min="35" max="35" width="15.140625" style="14" customWidth="1"/>
    <col min="36" max="36" width="14.85546875" style="14" customWidth="1"/>
    <col min="37" max="37" width="15.85546875" style="14" customWidth="1"/>
    <col min="38" max="38" width="13.140625" style="3" customWidth="1"/>
    <col min="39" max="41" width="15" style="14" customWidth="1"/>
    <col min="42" max="44" width="10.7109375" style="3" customWidth="1"/>
    <col min="45" max="45" width="12.7109375" style="3" customWidth="1"/>
    <col min="46" max="47" width="15" style="14" customWidth="1"/>
    <col min="48" max="48" width="12.5703125" style="14" customWidth="1"/>
    <col min="49" max="49" width="10.7109375" style="3" customWidth="1"/>
    <col min="50" max="51" width="14.140625" style="3" customWidth="1"/>
    <col min="52" max="52" width="15.85546875" style="3" customWidth="1"/>
    <col min="53" max="54" width="15.85546875" style="96" customWidth="1"/>
    <col min="55" max="55" width="15" style="14" customWidth="1"/>
    <col min="56" max="57" width="9.140625" style="3" customWidth="1"/>
    <col min="58" max="16384" width="9.140625" style="3"/>
  </cols>
  <sheetData>
    <row r="1" spans="1:55" s="6" customFormat="1" ht="23.25">
      <c r="A1" s="181" t="s">
        <v>465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</row>
    <row r="2" spans="1:55" s="6" customFormat="1" ht="23.25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200"/>
      <c r="AW2" s="201" t="s">
        <v>65</v>
      </c>
      <c r="AX2" s="194"/>
      <c r="AY2" s="194"/>
      <c r="AZ2" s="194"/>
      <c r="BA2" s="194"/>
      <c r="BB2" s="194"/>
      <c r="BC2" s="200"/>
    </row>
    <row r="3" spans="1:55" s="7" customFormat="1" ht="18.75">
      <c r="A3" s="185" t="s">
        <v>53</v>
      </c>
      <c r="B3" s="185" t="s">
        <v>47</v>
      </c>
      <c r="C3" s="185" t="s">
        <v>13</v>
      </c>
      <c r="D3" s="185" t="s">
        <v>46</v>
      </c>
      <c r="E3" s="185" t="s">
        <v>16</v>
      </c>
      <c r="F3" s="195" t="s">
        <v>388</v>
      </c>
      <c r="G3" s="198"/>
      <c r="H3" s="198"/>
      <c r="I3" s="198"/>
      <c r="J3" s="198"/>
      <c r="K3" s="198"/>
      <c r="L3" s="199"/>
      <c r="M3" s="195" t="s">
        <v>54</v>
      </c>
      <c r="N3" s="198"/>
      <c r="O3" s="198"/>
      <c r="P3" s="198"/>
      <c r="Q3" s="198"/>
      <c r="R3" s="198"/>
      <c r="S3" s="199"/>
      <c r="T3" s="195" t="s">
        <v>55</v>
      </c>
      <c r="U3" s="198"/>
      <c r="V3" s="198"/>
      <c r="W3" s="198"/>
      <c r="X3" s="198"/>
      <c r="Y3" s="198"/>
      <c r="Z3" s="199"/>
      <c r="AA3" s="195" t="s">
        <v>56</v>
      </c>
      <c r="AB3" s="198"/>
      <c r="AC3" s="198"/>
      <c r="AD3" s="198"/>
      <c r="AE3" s="198"/>
      <c r="AF3" s="198"/>
      <c r="AG3" s="199"/>
      <c r="AH3" s="195" t="s">
        <v>429</v>
      </c>
      <c r="AI3" s="198"/>
      <c r="AJ3" s="198"/>
      <c r="AK3" s="199"/>
      <c r="AL3" s="195" t="s">
        <v>391</v>
      </c>
      <c r="AM3" s="198"/>
      <c r="AN3" s="198"/>
      <c r="AO3" s="199"/>
      <c r="AP3" s="195" t="s">
        <v>389</v>
      </c>
      <c r="AQ3" s="198"/>
      <c r="AR3" s="198"/>
      <c r="AS3" s="198"/>
      <c r="AT3" s="198"/>
      <c r="AU3" s="198"/>
      <c r="AV3" s="199"/>
      <c r="AW3" s="202" t="s">
        <v>57</v>
      </c>
      <c r="AX3" s="203"/>
      <c r="AY3" s="203"/>
      <c r="AZ3" s="203"/>
      <c r="BA3" s="203"/>
      <c r="BB3" s="203"/>
      <c r="BC3" s="204"/>
    </row>
    <row r="4" spans="1:55" s="7" customFormat="1">
      <c r="A4" s="187"/>
      <c r="B4" s="187"/>
      <c r="C4" s="187"/>
      <c r="D4" s="187"/>
      <c r="E4" s="187"/>
      <c r="F4" s="108" t="s">
        <v>48</v>
      </c>
      <c r="G4" s="108" t="s">
        <v>49</v>
      </c>
      <c r="H4" s="30" t="s">
        <v>50</v>
      </c>
      <c r="I4" s="117" t="s">
        <v>64</v>
      </c>
      <c r="J4" s="117" t="s">
        <v>430</v>
      </c>
      <c r="K4" s="92" t="s">
        <v>456</v>
      </c>
      <c r="L4" s="109" t="s">
        <v>51</v>
      </c>
      <c r="M4" s="108" t="s">
        <v>48</v>
      </c>
      <c r="N4" s="108" t="s">
        <v>49</v>
      </c>
      <c r="O4" s="108" t="s">
        <v>50</v>
      </c>
      <c r="P4" s="110" t="s">
        <v>64</v>
      </c>
      <c r="Q4" s="108" t="s">
        <v>430</v>
      </c>
      <c r="R4" s="116" t="s">
        <v>456</v>
      </c>
      <c r="S4" s="109" t="s">
        <v>51</v>
      </c>
      <c r="T4" s="108" t="s">
        <v>48</v>
      </c>
      <c r="U4" s="108" t="s">
        <v>49</v>
      </c>
      <c r="V4" s="108" t="s">
        <v>50</v>
      </c>
      <c r="W4" s="110" t="s">
        <v>64</v>
      </c>
      <c r="X4" s="92" t="s">
        <v>430</v>
      </c>
      <c r="Y4" s="92" t="s">
        <v>456</v>
      </c>
      <c r="Z4" s="109" t="s">
        <v>51</v>
      </c>
      <c r="AA4" s="108" t="s">
        <v>48</v>
      </c>
      <c r="AB4" s="108" t="s">
        <v>49</v>
      </c>
      <c r="AC4" s="108" t="s">
        <v>50</v>
      </c>
      <c r="AD4" s="110" t="s">
        <v>400</v>
      </c>
      <c r="AE4" s="92" t="s">
        <v>430</v>
      </c>
      <c r="AF4" s="92" t="s">
        <v>456</v>
      </c>
      <c r="AG4" s="109" t="s">
        <v>51</v>
      </c>
      <c r="AH4" s="108" t="s">
        <v>64</v>
      </c>
      <c r="AI4" s="108" t="s">
        <v>430</v>
      </c>
      <c r="AJ4" s="115" t="s">
        <v>456</v>
      </c>
      <c r="AK4" s="108" t="s">
        <v>51</v>
      </c>
      <c r="AL4" s="108" t="s">
        <v>64</v>
      </c>
      <c r="AM4" s="108" t="s">
        <v>430</v>
      </c>
      <c r="AN4" s="115" t="s">
        <v>456</v>
      </c>
      <c r="AO4" s="108" t="s">
        <v>51</v>
      </c>
      <c r="AP4" s="108" t="s">
        <v>48</v>
      </c>
      <c r="AQ4" s="108" t="s">
        <v>49</v>
      </c>
      <c r="AR4" s="108" t="s">
        <v>50</v>
      </c>
      <c r="AS4" s="108" t="s">
        <v>64</v>
      </c>
      <c r="AT4" s="92" t="s">
        <v>430</v>
      </c>
      <c r="AU4" s="92" t="s">
        <v>456</v>
      </c>
      <c r="AV4" s="109" t="s">
        <v>51</v>
      </c>
      <c r="AW4" s="108" t="s">
        <v>48</v>
      </c>
      <c r="AX4" s="108" t="s">
        <v>49</v>
      </c>
      <c r="AY4" s="108" t="s">
        <v>50</v>
      </c>
      <c r="AZ4" s="111" t="s">
        <v>64</v>
      </c>
      <c r="BA4" s="93" t="s">
        <v>430</v>
      </c>
      <c r="BB4" s="93" t="s">
        <v>456</v>
      </c>
      <c r="BC4" s="108" t="s">
        <v>407</v>
      </c>
    </row>
    <row r="5" spans="1:55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4"/>
      <c r="K5" s="4"/>
      <c r="L5" s="9">
        <f>SUM(F5:K5)</f>
        <v>1085500</v>
      </c>
      <c r="M5" s="4"/>
      <c r="N5" s="4"/>
      <c r="O5" s="4"/>
      <c r="P5" s="4"/>
      <c r="Q5" s="4"/>
      <c r="R5" s="4"/>
      <c r="S5" s="9">
        <f>SUM(M5:R5)</f>
        <v>0</v>
      </c>
      <c r="T5" s="4"/>
      <c r="U5" s="4"/>
      <c r="V5" s="4"/>
      <c r="W5" s="4"/>
      <c r="X5" s="4"/>
      <c r="Y5" s="4"/>
      <c r="Z5" s="9">
        <f>SUM(T5:Y5)</f>
        <v>0</v>
      </c>
      <c r="AA5" s="4"/>
      <c r="AB5" s="4">
        <v>383150</v>
      </c>
      <c r="AC5" s="10">
        <f>805550+120000</f>
        <v>925550</v>
      </c>
      <c r="AD5" s="27">
        <v>30000</v>
      </c>
      <c r="AE5" s="20"/>
      <c r="AF5" s="20"/>
      <c r="AG5" s="21">
        <f>SUM(AA5:AF5)</f>
        <v>1338700</v>
      </c>
      <c r="AH5" s="27">
        <v>1050000</v>
      </c>
      <c r="AI5" s="20">
        <f>105000+210000+315000+315000+210000</f>
        <v>1155000</v>
      </c>
      <c r="AJ5" s="20">
        <f>1309000+312000+156000</f>
        <v>1777000</v>
      </c>
      <c r="AK5" s="21">
        <f>SUM(AH5:AJ5)</f>
        <v>3982000</v>
      </c>
      <c r="AL5" s="10"/>
      <c r="AM5" s="20"/>
      <c r="AN5" s="20"/>
      <c r="AO5" s="21">
        <f>SUM(AL5:AN5)</f>
        <v>0</v>
      </c>
      <c r="AP5" s="10"/>
      <c r="AQ5" s="10"/>
      <c r="AR5" s="10"/>
      <c r="AS5" s="10"/>
      <c r="AT5" s="20"/>
      <c r="AU5" s="20"/>
      <c r="AV5" s="21">
        <f>SUM(AP5:AU5)</f>
        <v>0</v>
      </c>
      <c r="AW5" s="4">
        <f t="shared" ref="AW5:AW15" si="0">F5+M5+T5+AA5+AP5</f>
        <v>0</v>
      </c>
      <c r="AX5" s="4">
        <f t="shared" ref="AX5:AX15" si="1">G5+N5+U5+AB5+AQ5</f>
        <v>831650</v>
      </c>
      <c r="AY5" s="4">
        <f t="shared" ref="AY5:AY15" si="2">H5+O5+V5+AC5+AR5</f>
        <v>1522550</v>
      </c>
      <c r="AZ5" s="4">
        <f>I5+P5+W5+AD5+AH5+AL5+AS5</f>
        <v>1120000</v>
      </c>
      <c r="BA5" s="94">
        <f>J5+Q5+X5+AE5+AI5+AM5+AT5</f>
        <v>1155000</v>
      </c>
      <c r="BB5" s="94">
        <f>K5+R5+Y5+AF5+AJ5+AN5+AU5</f>
        <v>1777000</v>
      </c>
      <c r="BC5" s="9">
        <f>SUM(AW5:BB5)</f>
        <v>6406200</v>
      </c>
    </row>
    <row r="6" spans="1:55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4"/>
      <c r="K6" s="4"/>
      <c r="L6" s="9">
        <f t="shared" ref="L6:L15" si="3">SUM(F6:K6)</f>
        <v>1596065</v>
      </c>
      <c r="M6" s="4"/>
      <c r="N6" s="4"/>
      <c r="O6" s="4"/>
      <c r="P6" s="4"/>
      <c r="Q6" s="4"/>
      <c r="R6" s="4"/>
      <c r="S6" s="9">
        <f t="shared" ref="S6:S15" si="4">SUM(M6:R6)</f>
        <v>0</v>
      </c>
      <c r="T6" s="4"/>
      <c r="U6" s="4"/>
      <c r="V6" s="4"/>
      <c r="W6" s="4"/>
      <c r="X6" s="4"/>
      <c r="Y6" s="4"/>
      <c r="Z6" s="9">
        <f t="shared" ref="Z6:Z15" si="5">SUM(T6:Y6)</f>
        <v>0</v>
      </c>
      <c r="AA6" s="4">
        <v>195000</v>
      </c>
      <c r="AB6" s="10">
        <v>1237100</v>
      </c>
      <c r="AC6" s="10">
        <v>145500</v>
      </c>
      <c r="AD6" s="27">
        <v>330000</v>
      </c>
      <c r="AE6" s="20"/>
      <c r="AF6" s="20"/>
      <c r="AG6" s="21">
        <f t="shared" ref="AG6:AG15" si="6">SUM(AA6:AF6)</f>
        <v>1907600</v>
      </c>
      <c r="AH6" s="10">
        <v>1043000</v>
      </c>
      <c r="AI6" s="20">
        <f>105000+210000+315000+315000+210000</f>
        <v>1155000</v>
      </c>
      <c r="AJ6" s="20">
        <f>1294254+299658+148627</f>
        <v>1742539</v>
      </c>
      <c r="AK6" s="21">
        <f t="shared" ref="AK6:AK15" si="7">SUM(AH6:AJ6)</f>
        <v>3940539</v>
      </c>
      <c r="AL6" s="10"/>
      <c r="AM6" s="20"/>
      <c r="AN6" s="20"/>
      <c r="AO6" s="21">
        <f t="shared" ref="AO6:AO15" si="8">SUM(AL6:AN6)</f>
        <v>0</v>
      </c>
      <c r="AP6" s="10"/>
      <c r="AQ6" s="10"/>
      <c r="AR6" s="10"/>
      <c r="AS6" s="10"/>
      <c r="AT6" s="20"/>
      <c r="AU6" s="20"/>
      <c r="AV6" s="21">
        <f t="shared" ref="AV6:AV15" si="9">SUM(AP6:AU6)</f>
        <v>0</v>
      </c>
      <c r="AW6" s="4">
        <f t="shared" si="0"/>
        <v>350000</v>
      </c>
      <c r="AX6" s="4">
        <f t="shared" si="1"/>
        <v>2218165</v>
      </c>
      <c r="AY6" s="4">
        <f t="shared" si="2"/>
        <v>365500</v>
      </c>
      <c r="AZ6" s="4">
        <f t="shared" ref="AZ6:AZ15" si="10">I6+P6+W6+AD6+AH6+AL6+AS6</f>
        <v>1613000</v>
      </c>
      <c r="BA6" s="94">
        <f t="shared" ref="BA6:BA15" si="11">J6+Q6+X6+AE6+AI6+AM6+AT6</f>
        <v>1155000</v>
      </c>
      <c r="BB6" s="94">
        <f t="shared" ref="BB6:BB15" si="12">K6+R6+Y6+AF6+AJ6+AN6+AU6</f>
        <v>1742539</v>
      </c>
      <c r="BC6" s="9">
        <f t="shared" ref="BC6:BC15" si="13">SUM(AW6:BB6)</f>
        <v>7444204</v>
      </c>
    </row>
    <row r="7" spans="1:55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4"/>
      <c r="K7" s="4"/>
      <c r="L7" s="9">
        <f t="shared" si="3"/>
        <v>1181345</v>
      </c>
      <c r="M7" s="4"/>
      <c r="N7" s="4"/>
      <c r="O7" s="4"/>
      <c r="P7" s="4"/>
      <c r="Q7" s="4"/>
      <c r="R7" s="4"/>
      <c r="S7" s="9">
        <f t="shared" si="4"/>
        <v>0</v>
      </c>
      <c r="T7" s="4"/>
      <c r="U7" s="4"/>
      <c r="V7" s="4"/>
      <c r="W7" s="4"/>
      <c r="X7" s="4"/>
      <c r="Y7" s="4"/>
      <c r="Z7" s="9">
        <f t="shared" si="5"/>
        <v>0</v>
      </c>
      <c r="AA7" s="4">
        <v>195000</v>
      </c>
      <c r="AB7" s="10">
        <v>1233000</v>
      </c>
      <c r="AC7" s="10">
        <f>669300+90000</f>
        <v>759300</v>
      </c>
      <c r="AD7" s="27">
        <v>120000</v>
      </c>
      <c r="AE7" s="20"/>
      <c r="AF7" s="20"/>
      <c r="AG7" s="21">
        <f t="shared" si="6"/>
        <v>2307300</v>
      </c>
      <c r="AH7" s="10">
        <v>1113000</v>
      </c>
      <c r="AI7" s="20">
        <f>101500+304500+609000+203000</f>
        <v>1218000</v>
      </c>
      <c r="AJ7" s="20">
        <f>1362660+293840+148490</f>
        <v>1804990</v>
      </c>
      <c r="AK7" s="21">
        <f t="shared" si="7"/>
        <v>4135990</v>
      </c>
      <c r="AL7" s="10"/>
      <c r="AM7" s="20"/>
      <c r="AN7" s="20"/>
      <c r="AO7" s="21">
        <f t="shared" si="8"/>
        <v>0</v>
      </c>
      <c r="AP7" s="10"/>
      <c r="AQ7" s="10"/>
      <c r="AR7" s="10"/>
      <c r="AS7" s="10"/>
      <c r="AT7" s="20"/>
      <c r="AU7" s="20"/>
      <c r="AV7" s="21">
        <f t="shared" si="9"/>
        <v>0</v>
      </c>
      <c r="AW7" s="4">
        <f t="shared" si="0"/>
        <v>350000</v>
      </c>
      <c r="AX7" s="4">
        <f t="shared" si="1"/>
        <v>1549345</v>
      </c>
      <c r="AY7" s="4">
        <f t="shared" si="2"/>
        <v>1089300</v>
      </c>
      <c r="AZ7" s="4">
        <f t="shared" si="10"/>
        <v>1613000</v>
      </c>
      <c r="BA7" s="94">
        <f t="shared" si="11"/>
        <v>1218000</v>
      </c>
      <c r="BB7" s="94">
        <f t="shared" si="12"/>
        <v>1804990</v>
      </c>
      <c r="BC7" s="9">
        <f t="shared" si="13"/>
        <v>7624635</v>
      </c>
    </row>
    <row r="8" spans="1:55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4"/>
      <c r="K8" s="4"/>
      <c r="L8" s="9">
        <f t="shared" si="3"/>
        <v>588500</v>
      </c>
      <c r="M8" s="4"/>
      <c r="N8" s="4"/>
      <c r="O8" s="4"/>
      <c r="P8" s="4"/>
      <c r="Q8" s="4"/>
      <c r="R8" s="4"/>
      <c r="S8" s="9">
        <f t="shared" si="4"/>
        <v>0</v>
      </c>
      <c r="T8" s="4"/>
      <c r="U8" s="4">
        <v>290000</v>
      </c>
      <c r="V8" s="4">
        <v>2759000</v>
      </c>
      <c r="W8" s="11">
        <v>300000</v>
      </c>
      <c r="X8" s="11"/>
      <c r="Y8" s="11"/>
      <c r="Z8" s="9">
        <f t="shared" si="5"/>
        <v>3349000</v>
      </c>
      <c r="AA8" s="4"/>
      <c r="AB8" s="4">
        <v>195000</v>
      </c>
      <c r="AC8" s="10">
        <f>620800+150000</f>
        <v>770800</v>
      </c>
      <c r="AD8" s="27">
        <v>30000</v>
      </c>
      <c r="AE8" s="20"/>
      <c r="AF8" s="20"/>
      <c r="AG8" s="21">
        <f t="shared" si="6"/>
        <v>995800</v>
      </c>
      <c r="AH8" s="10">
        <v>1155000</v>
      </c>
      <c r="AI8" s="20">
        <f>105000+315000+315000+315000+210000</f>
        <v>1260000</v>
      </c>
      <c r="AJ8" s="20">
        <f>1290400+132960+144000+144000</f>
        <v>1711360</v>
      </c>
      <c r="AK8" s="21">
        <f t="shared" si="7"/>
        <v>4126360</v>
      </c>
      <c r="AL8" s="10"/>
      <c r="AM8" s="20"/>
      <c r="AN8" s="20"/>
      <c r="AO8" s="21">
        <f t="shared" si="8"/>
        <v>0</v>
      </c>
      <c r="AP8" s="10"/>
      <c r="AQ8" s="10"/>
      <c r="AR8" s="10"/>
      <c r="AS8" s="10"/>
      <c r="AT8" s="20"/>
      <c r="AU8" s="20"/>
      <c r="AV8" s="21">
        <f t="shared" si="9"/>
        <v>0</v>
      </c>
      <c r="AW8" s="4">
        <f t="shared" si="0"/>
        <v>0</v>
      </c>
      <c r="AX8" s="4">
        <f t="shared" si="1"/>
        <v>485000</v>
      </c>
      <c r="AY8" s="4">
        <f t="shared" si="2"/>
        <v>3998300</v>
      </c>
      <c r="AZ8" s="4">
        <f t="shared" si="10"/>
        <v>1605000</v>
      </c>
      <c r="BA8" s="94">
        <f t="shared" si="11"/>
        <v>1260000</v>
      </c>
      <c r="BB8" s="94">
        <f t="shared" si="12"/>
        <v>1711360</v>
      </c>
      <c r="BC8" s="9">
        <f t="shared" si="13"/>
        <v>9059660</v>
      </c>
    </row>
    <row r="9" spans="1:55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4"/>
      <c r="K9" s="4"/>
      <c r="L9" s="9">
        <f t="shared" si="3"/>
        <v>0</v>
      </c>
      <c r="M9" s="76">
        <v>290000</v>
      </c>
      <c r="N9" s="76">
        <v>1260000</v>
      </c>
      <c r="O9" s="76">
        <v>920000</v>
      </c>
      <c r="P9" s="76">
        <v>300000</v>
      </c>
      <c r="Q9" s="4"/>
      <c r="R9" s="4"/>
      <c r="S9" s="9">
        <f t="shared" si="4"/>
        <v>2770000</v>
      </c>
      <c r="T9" s="4"/>
      <c r="U9" s="4">
        <v>1263000</v>
      </c>
      <c r="V9" s="4">
        <v>840000</v>
      </c>
      <c r="W9" s="11">
        <v>300000</v>
      </c>
      <c r="X9" s="11"/>
      <c r="Y9" s="11"/>
      <c r="Z9" s="9">
        <f t="shared" si="5"/>
        <v>2403000</v>
      </c>
      <c r="AA9" s="4"/>
      <c r="AB9" s="10">
        <v>1169850</v>
      </c>
      <c r="AC9" s="10">
        <v>1051200</v>
      </c>
      <c r="AD9" s="27">
        <v>30000</v>
      </c>
      <c r="AE9" s="20"/>
      <c r="AF9" s="20"/>
      <c r="AG9" s="21">
        <f t="shared" si="6"/>
        <v>2251050</v>
      </c>
      <c r="AH9" s="10">
        <v>0</v>
      </c>
      <c r="AI9" s="20"/>
      <c r="AJ9" s="20"/>
      <c r="AK9" s="21">
        <f t="shared" si="7"/>
        <v>0</v>
      </c>
      <c r="AL9" s="10"/>
      <c r="AM9" s="20">
        <f>1400000+300000+200000</f>
        <v>1900000</v>
      </c>
      <c r="AN9" s="20">
        <f>1621500+510000</f>
        <v>2131500</v>
      </c>
      <c r="AO9" s="21">
        <f t="shared" si="8"/>
        <v>4031500</v>
      </c>
      <c r="AP9" s="10"/>
      <c r="AQ9" s="10"/>
      <c r="AR9" s="10"/>
      <c r="AS9" s="10"/>
      <c r="AT9" s="20"/>
      <c r="AU9" s="20"/>
      <c r="AV9" s="21">
        <f t="shared" si="9"/>
        <v>0</v>
      </c>
      <c r="AW9" s="4">
        <f t="shared" si="0"/>
        <v>290000</v>
      </c>
      <c r="AX9" s="4">
        <f t="shared" si="1"/>
        <v>3692850</v>
      </c>
      <c r="AY9" s="4">
        <f t="shared" si="2"/>
        <v>2811200</v>
      </c>
      <c r="AZ9" s="4">
        <f t="shared" si="10"/>
        <v>630000</v>
      </c>
      <c r="BA9" s="94">
        <f t="shared" si="11"/>
        <v>1900000</v>
      </c>
      <c r="BB9" s="94">
        <f t="shared" si="12"/>
        <v>2131500</v>
      </c>
      <c r="BC9" s="9">
        <f t="shared" si="13"/>
        <v>11455550</v>
      </c>
    </row>
    <row r="10" spans="1:55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4"/>
      <c r="K10" s="4"/>
      <c r="L10" s="9">
        <f t="shared" si="3"/>
        <v>0</v>
      </c>
      <c r="M10" s="4"/>
      <c r="N10" s="4"/>
      <c r="O10" s="4"/>
      <c r="P10" s="4"/>
      <c r="Q10" s="4"/>
      <c r="R10" s="4"/>
      <c r="S10" s="9">
        <f t="shared" si="4"/>
        <v>0</v>
      </c>
      <c r="T10" s="4"/>
      <c r="U10" s="4"/>
      <c r="V10" s="4"/>
      <c r="W10" s="4"/>
      <c r="X10" s="4"/>
      <c r="Y10" s="4"/>
      <c r="Z10" s="9">
        <f t="shared" si="5"/>
        <v>0</v>
      </c>
      <c r="AA10" s="4"/>
      <c r="AB10" s="10">
        <v>195000</v>
      </c>
      <c r="AC10" s="10">
        <f>494700+150000</f>
        <v>644700</v>
      </c>
      <c r="AD10" s="27">
        <v>625000</v>
      </c>
      <c r="AE10" s="20">
        <f>119000+178500+178500+178500+119000</f>
        <v>773500</v>
      </c>
      <c r="AF10" s="20">
        <f>648550+130900+65450</f>
        <v>844900</v>
      </c>
      <c r="AG10" s="21">
        <f t="shared" si="6"/>
        <v>3083100</v>
      </c>
      <c r="AH10" s="10">
        <v>0</v>
      </c>
      <c r="AI10" s="20"/>
      <c r="AJ10" s="20"/>
      <c r="AK10" s="21">
        <f t="shared" si="7"/>
        <v>0</v>
      </c>
      <c r="AL10" s="10"/>
      <c r="AM10" s="20"/>
      <c r="AN10" s="20"/>
      <c r="AO10" s="21">
        <f t="shared" si="8"/>
        <v>0</v>
      </c>
      <c r="AP10" s="10"/>
      <c r="AQ10" s="10"/>
      <c r="AR10" s="10"/>
      <c r="AS10" s="10"/>
      <c r="AT10" s="20"/>
      <c r="AU10" s="20"/>
      <c r="AV10" s="21">
        <f t="shared" si="9"/>
        <v>0</v>
      </c>
      <c r="AW10" s="4">
        <f t="shared" si="0"/>
        <v>0</v>
      </c>
      <c r="AX10" s="4">
        <f t="shared" si="1"/>
        <v>195000</v>
      </c>
      <c r="AY10" s="4">
        <f t="shared" si="2"/>
        <v>644700</v>
      </c>
      <c r="AZ10" s="4">
        <f t="shared" si="10"/>
        <v>625000</v>
      </c>
      <c r="BA10" s="94">
        <f t="shared" si="11"/>
        <v>773500</v>
      </c>
      <c r="BB10" s="94">
        <f t="shared" si="12"/>
        <v>844900</v>
      </c>
      <c r="BC10" s="9">
        <f t="shared" si="13"/>
        <v>3083100</v>
      </c>
    </row>
    <row r="11" spans="1:55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4"/>
      <c r="K11" s="4"/>
      <c r="L11" s="9">
        <f t="shared" si="3"/>
        <v>1613552</v>
      </c>
      <c r="M11" s="4"/>
      <c r="N11" s="4"/>
      <c r="O11" s="4"/>
      <c r="P11" s="4"/>
      <c r="Q11" s="4"/>
      <c r="R11" s="4"/>
      <c r="S11" s="9">
        <f t="shared" si="4"/>
        <v>0</v>
      </c>
      <c r="T11" s="4"/>
      <c r="U11" s="4"/>
      <c r="V11" s="4"/>
      <c r="W11" s="4"/>
      <c r="X11" s="4"/>
      <c r="Y11" s="4"/>
      <c r="Z11" s="9">
        <f t="shared" si="5"/>
        <v>0</v>
      </c>
      <c r="AA11" s="4"/>
      <c r="AB11" s="10">
        <v>1451150</v>
      </c>
      <c r="AC11" s="10">
        <v>523800</v>
      </c>
      <c r="AD11" s="27"/>
      <c r="AE11" s="20"/>
      <c r="AF11" s="20"/>
      <c r="AG11" s="21">
        <f t="shared" si="6"/>
        <v>1974950</v>
      </c>
      <c r="AH11" s="10">
        <v>840000</v>
      </c>
      <c r="AI11" s="20">
        <f>105000+285000+315000+15000+315000+210000</f>
        <v>1245000</v>
      </c>
      <c r="AJ11" s="20">
        <f>609000+890570+129000</f>
        <v>1628570</v>
      </c>
      <c r="AK11" s="21">
        <f t="shared" si="7"/>
        <v>3713570</v>
      </c>
      <c r="AL11" s="10"/>
      <c r="AM11" s="20"/>
      <c r="AN11" s="20"/>
      <c r="AO11" s="21">
        <f t="shared" si="8"/>
        <v>0</v>
      </c>
      <c r="AP11" s="10"/>
      <c r="AQ11" s="10"/>
      <c r="AR11" s="10"/>
      <c r="AS11" s="10"/>
      <c r="AT11" s="20"/>
      <c r="AU11" s="20"/>
      <c r="AV11" s="21">
        <f t="shared" si="9"/>
        <v>0</v>
      </c>
      <c r="AW11" s="4">
        <f t="shared" si="0"/>
        <v>155000</v>
      </c>
      <c r="AX11" s="4">
        <f t="shared" si="1"/>
        <v>2689702</v>
      </c>
      <c r="AY11" s="4">
        <f t="shared" si="2"/>
        <v>743800</v>
      </c>
      <c r="AZ11" s="4">
        <f t="shared" si="10"/>
        <v>840000</v>
      </c>
      <c r="BA11" s="94">
        <f t="shared" si="11"/>
        <v>1245000</v>
      </c>
      <c r="BB11" s="94">
        <f t="shared" si="12"/>
        <v>1628570</v>
      </c>
      <c r="BC11" s="9">
        <f t="shared" si="13"/>
        <v>7302072</v>
      </c>
    </row>
    <row r="12" spans="1:55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4"/>
      <c r="K12" s="4"/>
      <c r="L12" s="9">
        <f t="shared" si="3"/>
        <v>0</v>
      </c>
      <c r="M12" s="4"/>
      <c r="N12" s="4"/>
      <c r="O12" s="4"/>
      <c r="P12" s="4"/>
      <c r="Q12" s="4"/>
      <c r="R12" s="4"/>
      <c r="S12" s="9">
        <f t="shared" si="4"/>
        <v>0</v>
      </c>
      <c r="T12" s="4"/>
      <c r="U12" s="4"/>
      <c r="V12" s="4"/>
      <c r="W12" s="4"/>
      <c r="X12" s="4"/>
      <c r="Y12" s="4"/>
      <c r="Z12" s="9">
        <f t="shared" si="5"/>
        <v>0</v>
      </c>
      <c r="AA12" s="4"/>
      <c r="AB12" s="4">
        <v>195000</v>
      </c>
      <c r="AC12" s="10">
        <f>1004850+120000</f>
        <v>1124850</v>
      </c>
      <c r="AD12" s="27">
        <v>660000</v>
      </c>
      <c r="AE12" s="20">
        <f>140000+140000+210000+210000+140000</f>
        <v>840000</v>
      </c>
      <c r="AF12" s="20">
        <f>921315+251452+126792</f>
        <v>1299559</v>
      </c>
      <c r="AG12" s="21">
        <f t="shared" si="6"/>
        <v>4119409</v>
      </c>
      <c r="AH12" s="10">
        <v>0</v>
      </c>
      <c r="AI12" s="20"/>
      <c r="AJ12" s="20"/>
      <c r="AK12" s="21">
        <f t="shared" si="7"/>
        <v>0</v>
      </c>
      <c r="AL12" s="10"/>
      <c r="AM12" s="20"/>
      <c r="AN12" s="20"/>
      <c r="AO12" s="21">
        <f t="shared" si="8"/>
        <v>0</v>
      </c>
      <c r="AP12" s="10"/>
      <c r="AQ12" s="10"/>
      <c r="AR12" s="10"/>
      <c r="AS12" s="10"/>
      <c r="AT12" s="20"/>
      <c r="AU12" s="20"/>
      <c r="AV12" s="21">
        <f t="shared" si="9"/>
        <v>0</v>
      </c>
      <c r="AW12" s="4">
        <f t="shared" si="0"/>
        <v>0</v>
      </c>
      <c r="AX12" s="4">
        <f t="shared" si="1"/>
        <v>195000</v>
      </c>
      <c r="AY12" s="4">
        <f t="shared" si="2"/>
        <v>1124850</v>
      </c>
      <c r="AZ12" s="4">
        <f t="shared" si="10"/>
        <v>660000</v>
      </c>
      <c r="BA12" s="94">
        <f t="shared" si="11"/>
        <v>840000</v>
      </c>
      <c r="BB12" s="94">
        <f t="shared" si="12"/>
        <v>1299559</v>
      </c>
      <c r="BC12" s="9">
        <f t="shared" si="13"/>
        <v>4119409</v>
      </c>
    </row>
    <row r="13" spans="1:55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4"/>
      <c r="K13" s="4"/>
      <c r="L13" s="9">
        <f t="shared" si="3"/>
        <v>0</v>
      </c>
      <c r="M13" s="76"/>
      <c r="N13" s="76"/>
      <c r="O13" s="76">
        <v>290000</v>
      </c>
      <c r="P13" s="76">
        <v>775000</v>
      </c>
      <c r="Q13" s="4">
        <f>150000+675000+225000+150000</f>
        <v>1200000</v>
      </c>
      <c r="R13" s="4">
        <f>1425000+450000</f>
        <v>1875000</v>
      </c>
      <c r="S13" s="9">
        <f t="shared" si="4"/>
        <v>4140000</v>
      </c>
      <c r="T13" s="4"/>
      <c r="U13" s="4"/>
      <c r="V13" s="4"/>
      <c r="W13" s="4"/>
      <c r="X13" s="4"/>
      <c r="Y13" s="4"/>
      <c r="Z13" s="9">
        <f t="shared" si="5"/>
        <v>0</v>
      </c>
      <c r="AA13" s="4"/>
      <c r="AB13" s="10"/>
      <c r="AC13" s="10"/>
      <c r="AD13" s="10"/>
      <c r="AE13" s="20"/>
      <c r="AF13" s="20"/>
      <c r="AG13" s="21">
        <f t="shared" si="6"/>
        <v>0</v>
      </c>
      <c r="AH13" s="10">
        <v>0</v>
      </c>
      <c r="AI13" s="20"/>
      <c r="AJ13" s="20"/>
      <c r="AK13" s="21">
        <f t="shared" si="7"/>
        <v>0</v>
      </c>
      <c r="AL13" s="10"/>
      <c r="AM13" s="20"/>
      <c r="AN13" s="20"/>
      <c r="AO13" s="21">
        <f t="shared" si="8"/>
        <v>0</v>
      </c>
      <c r="AP13" s="10"/>
      <c r="AQ13" s="10"/>
      <c r="AR13" s="10"/>
      <c r="AS13" s="10"/>
      <c r="AT13" s="20"/>
      <c r="AU13" s="20"/>
      <c r="AV13" s="21">
        <f t="shared" si="9"/>
        <v>0</v>
      </c>
      <c r="AW13" s="4">
        <f t="shared" si="0"/>
        <v>0</v>
      </c>
      <c r="AX13" s="4">
        <f t="shared" si="1"/>
        <v>0</v>
      </c>
      <c r="AY13" s="4">
        <f t="shared" si="2"/>
        <v>290000</v>
      </c>
      <c r="AZ13" s="4">
        <f t="shared" si="10"/>
        <v>775000</v>
      </c>
      <c r="BA13" s="94">
        <f t="shared" si="11"/>
        <v>1200000</v>
      </c>
      <c r="BB13" s="94">
        <f t="shared" si="12"/>
        <v>1875000</v>
      </c>
      <c r="BC13" s="9">
        <f t="shared" si="13"/>
        <v>4140000</v>
      </c>
    </row>
    <row r="14" spans="1:55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4"/>
      <c r="K14" s="4"/>
      <c r="L14" s="9">
        <f t="shared" si="3"/>
        <v>327667</v>
      </c>
      <c r="M14" s="4"/>
      <c r="N14" s="4"/>
      <c r="O14" s="4"/>
      <c r="P14" s="4"/>
      <c r="Q14" s="4"/>
      <c r="R14" s="4"/>
      <c r="S14" s="9">
        <f t="shared" si="4"/>
        <v>0</v>
      </c>
      <c r="T14" s="4"/>
      <c r="U14" s="4"/>
      <c r="V14" s="4"/>
      <c r="W14" s="4"/>
      <c r="X14" s="4"/>
      <c r="Y14" s="4"/>
      <c r="Z14" s="9">
        <f t="shared" si="5"/>
        <v>0</v>
      </c>
      <c r="AA14" s="4"/>
      <c r="AB14" s="10">
        <v>641000</v>
      </c>
      <c r="AC14" s="10">
        <f>787850+210000</f>
        <v>997850</v>
      </c>
      <c r="AD14" s="10">
        <v>60000</v>
      </c>
      <c r="AE14" s="20"/>
      <c r="AF14" s="20"/>
      <c r="AG14" s="21">
        <f t="shared" si="6"/>
        <v>1698850</v>
      </c>
      <c r="AH14" s="10">
        <v>1155000</v>
      </c>
      <c r="AI14" s="20">
        <f>105000+315000+315000+315000+210000</f>
        <v>1260000</v>
      </c>
      <c r="AJ14" s="20">
        <f>1421340+306320+156000</f>
        <v>1883660</v>
      </c>
      <c r="AK14" s="21">
        <f t="shared" si="7"/>
        <v>4298660</v>
      </c>
      <c r="AL14" s="10"/>
      <c r="AM14" s="20"/>
      <c r="AN14" s="20"/>
      <c r="AO14" s="21">
        <f t="shared" si="8"/>
        <v>0</v>
      </c>
      <c r="AP14" s="10"/>
      <c r="AQ14" s="10"/>
      <c r="AR14" s="10"/>
      <c r="AS14" s="10"/>
      <c r="AT14" s="20"/>
      <c r="AU14" s="20"/>
      <c r="AV14" s="21">
        <f t="shared" si="9"/>
        <v>0</v>
      </c>
      <c r="AW14" s="4">
        <f t="shared" si="0"/>
        <v>0</v>
      </c>
      <c r="AX14" s="4">
        <f t="shared" si="1"/>
        <v>641000</v>
      </c>
      <c r="AY14" s="4">
        <f t="shared" si="2"/>
        <v>1185517</v>
      </c>
      <c r="AZ14" s="4">
        <f t="shared" si="10"/>
        <v>1355000</v>
      </c>
      <c r="BA14" s="94">
        <f t="shared" si="11"/>
        <v>1260000</v>
      </c>
      <c r="BB14" s="94">
        <f t="shared" si="12"/>
        <v>1883660</v>
      </c>
      <c r="BC14" s="9">
        <f t="shared" si="13"/>
        <v>6325177</v>
      </c>
    </row>
    <row r="15" spans="1:55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4"/>
      <c r="K15" s="4"/>
      <c r="L15" s="9">
        <f t="shared" si="3"/>
        <v>465500</v>
      </c>
      <c r="M15" s="76"/>
      <c r="N15" s="76">
        <v>290000</v>
      </c>
      <c r="O15" s="76">
        <v>970000</v>
      </c>
      <c r="P15" s="76">
        <v>925000</v>
      </c>
      <c r="Q15" s="4">
        <f>225000+150000+75000+225000+225000+150000</f>
        <v>1050000</v>
      </c>
      <c r="R15" s="4">
        <v>1950000</v>
      </c>
      <c r="S15" s="9">
        <f t="shared" si="4"/>
        <v>5185000</v>
      </c>
      <c r="T15" s="4"/>
      <c r="U15" s="4"/>
      <c r="V15" s="4"/>
      <c r="W15" s="4"/>
      <c r="X15" s="4"/>
      <c r="Y15" s="4"/>
      <c r="Z15" s="9">
        <f t="shared" si="5"/>
        <v>0</v>
      </c>
      <c r="AA15" s="4"/>
      <c r="AB15" s="4"/>
      <c r="AC15" s="4"/>
      <c r="AD15" s="4"/>
      <c r="AE15" s="20"/>
      <c r="AF15" s="20"/>
      <c r="AG15" s="21">
        <f t="shared" si="6"/>
        <v>0</v>
      </c>
      <c r="AH15" s="10">
        <v>0</v>
      </c>
      <c r="AI15" s="20"/>
      <c r="AJ15" s="20"/>
      <c r="AK15" s="21">
        <f t="shared" si="7"/>
        <v>0</v>
      </c>
      <c r="AL15" s="10"/>
      <c r="AM15" s="20"/>
      <c r="AN15" s="20"/>
      <c r="AO15" s="21">
        <f t="shared" si="8"/>
        <v>0</v>
      </c>
      <c r="AP15" s="10"/>
      <c r="AQ15" s="10"/>
      <c r="AR15" s="10"/>
      <c r="AS15" s="10"/>
      <c r="AT15" s="20"/>
      <c r="AU15" s="20"/>
      <c r="AV15" s="21">
        <f t="shared" si="9"/>
        <v>0</v>
      </c>
      <c r="AW15" s="4">
        <f t="shared" si="0"/>
        <v>0</v>
      </c>
      <c r="AX15" s="4">
        <f t="shared" si="1"/>
        <v>290000</v>
      </c>
      <c r="AY15" s="4">
        <f t="shared" si="2"/>
        <v>1335500</v>
      </c>
      <c r="AZ15" s="4">
        <f t="shared" si="10"/>
        <v>1025000</v>
      </c>
      <c r="BA15" s="94">
        <f t="shared" si="11"/>
        <v>1050000</v>
      </c>
      <c r="BB15" s="94">
        <f t="shared" si="12"/>
        <v>1950000</v>
      </c>
      <c r="BC15" s="9">
        <f t="shared" si="13"/>
        <v>5650500</v>
      </c>
    </row>
    <row r="16" spans="1:55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BC16" si="14">SUM(G5:G15)</f>
        <v>2984462</v>
      </c>
      <c r="H16" s="37">
        <f t="shared" si="14"/>
        <v>2388667</v>
      </c>
      <c r="I16" s="37">
        <f t="shared" si="14"/>
        <v>1020000</v>
      </c>
      <c r="J16" s="37">
        <f t="shared" si="14"/>
        <v>0</v>
      </c>
      <c r="K16" s="37">
        <f t="shared" si="14"/>
        <v>0</v>
      </c>
      <c r="L16" s="37">
        <f>SUM(L5:L15)</f>
        <v>6858129</v>
      </c>
      <c r="M16" s="37">
        <f t="shared" si="14"/>
        <v>290000</v>
      </c>
      <c r="N16" s="37">
        <f t="shared" si="14"/>
        <v>1550000</v>
      </c>
      <c r="O16" s="37">
        <f t="shared" si="14"/>
        <v>2180000</v>
      </c>
      <c r="P16" s="37">
        <f t="shared" si="14"/>
        <v>2000000</v>
      </c>
      <c r="Q16" s="37">
        <f t="shared" si="14"/>
        <v>2250000</v>
      </c>
      <c r="R16" s="37">
        <f t="shared" si="14"/>
        <v>3825000</v>
      </c>
      <c r="S16" s="37">
        <f t="shared" si="14"/>
        <v>12095000</v>
      </c>
      <c r="T16" s="37">
        <f t="shared" si="14"/>
        <v>0</v>
      </c>
      <c r="U16" s="37">
        <f t="shared" si="14"/>
        <v>1553000</v>
      </c>
      <c r="V16" s="37">
        <f t="shared" si="14"/>
        <v>3599000</v>
      </c>
      <c r="W16" s="37">
        <f t="shared" si="14"/>
        <v>600000</v>
      </c>
      <c r="X16" s="37">
        <f t="shared" si="14"/>
        <v>0</v>
      </c>
      <c r="Y16" s="37">
        <f t="shared" si="14"/>
        <v>0</v>
      </c>
      <c r="Z16" s="37">
        <f t="shared" si="14"/>
        <v>5752000</v>
      </c>
      <c r="AA16" s="37">
        <f t="shared" si="14"/>
        <v>390000</v>
      </c>
      <c r="AB16" s="37">
        <f t="shared" si="14"/>
        <v>6700250</v>
      </c>
      <c r="AC16" s="37">
        <f t="shared" si="14"/>
        <v>6943550</v>
      </c>
      <c r="AD16" s="37">
        <f t="shared" si="14"/>
        <v>1885000</v>
      </c>
      <c r="AE16" s="37">
        <f t="shared" si="14"/>
        <v>1613500</v>
      </c>
      <c r="AF16" s="37">
        <f t="shared" si="14"/>
        <v>2144459</v>
      </c>
      <c r="AG16" s="37">
        <f t="shared" si="14"/>
        <v>19676759</v>
      </c>
      <c r="AH16" s="37">
        <f t="shared" si="14"/>
        <v>6356000</v>
      </c>
      <c r="AI16" s="37">
        <f t="shared" si="14"/>
        <v>7293000</v>
      </c>
      <c r="AJ16" s="37">
        <f>SUM(AJ5:AJ15)</f>
        <v>10548119</v>
      </c>
      <c r="AK16" s="37">
        <f>SUM(AK5:AK15)</f>
        <v>24197119</v>
      </c>
      <c r="AL16" s="37">
        <f t="shared" si="14"/>
        <v>0</v>
      </c>
      <c r="AM16" s="37">
        <f t="shared" si="14"/>
        <v>1900000</v>
      </c>
      <c r="AN16" s="37">
        <f t="shared" si="14"/>
        <v>2131500</v>
      </c>
      <c r="AO16" s="37">
        <f t="shared" si="14"/>
        <v>4031500</v>
      </c>
      <c r="AP16" s="37">
        <f t="shared" si="14"/>
        <v>0</v>
      </c>
      <c r="AQ16" s="37">
        <f t="shared" si="14"/>
        <v>0</v>
      </c>
      <c r="AR16" s="37">
        <f t="shared" si="14"/>
        <v>0</v>
      </c>
      <c r="AS16" s="37">
        <f t="shared" si="14"/>
        <v>0</v>
      </c>
      <c r="AT16" s="37">
        <f t="shared" si="14"/>
        <v>0</v>
      </c>
      <c r="AU16" s="37">
        <f t="shared" si="14"/>
        <v>0</v>
      </c>
      <c r="AV16" s="37">
        <f t="shared" si="14"/>
        <v>0</v>
      </c>
      <c r="AW16" s="37">
        <f t="shared" si="14"/>
        <v>1145000</v>
      </c>
      <c r="AX16" s="37">
        <f t="shared" si="14"/>
        <v>12787712</v>
      </c>
      <c r="AY16" s="37">
        <f t="shared" si="14"/>
        <v>15111217</v>
      </c>
      <c r="AZ16" s="37">
        <f t="shared" si="14"/>
        <v>11861000</v>
      </c>
      <c r="BA16" s="37">
        <f t="shared" si="14"/>
        <v>13056500</v>
      </c>
      <c r="BB16" s="37">
        <f t="shared" si="14"/>
        <v>18649078</v>
      </c>
      <c r="BC16" s="37">
        <f t="shared" si="14"/>
        <v>72610507</v>
      </c>
    </row>
    <row r="17" spans="1:55">
      <c r="A17" s="185" t="s">
        <v>35</v>
      </c>
      <c r="B17" s="8">
        <v>1</v>
      </c>
      <c r="C17" s="1" t="s">
        <v>457</v>
      </c>
      <c r="D17" s="4" t="s">
        <v>458</v>
      </c>
      <c r="E17" s="4" t="s">
        <v>35</v>
      </c>
      <c r="F17" s="4"/>
      <c r="G17" s="4"/>
      <c r="H17" s="4"/>
      <c r="I17" s="4"/>
      <c r="J17" s="4"/>
      <c r="K17" s="4"/>
      <c r="L17" s="9">
        <f t="shared" ref="L17:L20" si="15">SUM(F17:K17)</f>
        <v>0</v>
      </c>
      <c r="M17" s="4"/>
      <c r="N17" s="4"/>
      <c r="O17" s="4"/>
      <c r="P17" s="4"/>
      <c r="Q17" s="4"/>
      <c r="R17" s="4"/>
      <c r="S17" s="9">
        <f t="shared" ref="S17:S20" si="16">SUM(M17:R17)</f>
        <v>0</v>
      </c>
      <c r="T17" s="4"/>
      <c r="U17" s="4"/>
      <c r="V17" s="4"/>
      <c r="W17" s="4"/>
      <c r="X17" s="4"/>
      <c r="Y17" s="4">
        <v>190000</v>
      </c>
      <c r="Z17" s="9">
        <f t="shared" ref="Z17:Z20" si="17">SUM(T17:Y17)</f>
        <v>190000</v>
      </c>
      <c r="AA17" s="4"/>
      <c r="AB17" s="4"/>
      <c r="AC17" s="4"/>
      <c r="AD17" s="4"/>
      <c r="AE17" s="20"/>
      <c r="AF17" s="20"/>
      <c r="AG17" s="21">
        <f t="shared" ref="AG17:AG20" si="18">SUM(AA17:AF17)</f>
        <v>0</v>
      </c>
      <c r="AH17" s="10"/>
      <c r="AI17" s="20"/>
      <c r="AJ17" s="20"/>
      <c r="AK17" s="21">
        <f t="shared" ref="AK17:AK20" si="19">SUM(AH17:AJ17)</f>
        <v>0</v>
      </c>
      <c r="AL17" s="10"/>
      <c r="AM17" s="20"/>
      <c r="AN17" s="20"/>
      <c r="AO17" s="21">
        <f t="shared" ref="AO17:AO20" si="20">SUM(AL17:AN17)</f>
        <v>0</v>
      </c>
      <c r="AP17" s="10"/>
      <c r="AQ17" s="10"/>
      <c r="AR17" s="10"/>
      <c r="AS17" s="10"/>
      <c r="AT17" s="20"/>
      <c r="AU17" s="20"/>
      <c r="AV17" s="21">
        <f t="shared" ref="AV17:AV20" si="21">SUM(AP17:AU17)</f>
        <v>0</v>
      </c>
      <c r="AW17" s="4">
        <f t="shared" ref="AW17:AY20" si="22">F17+M17+T17+AA17+AP17</f>
        <v>0</v>
      </c>
      <c r="AX17" s="4">
        <f t="shared" si="22"/>
        <v>0</v>
      </c>
      <c r="AY17" s="4">
        <f t="shared" si="22"/>
        <v>0</v>
      </c>
      <c r="AZ17" s="4">
        <f t="shared" ref="AZ17:BA20" si="23">I17+P17+W17+AD17+AH17+AL17+AS17</f>
        <v>0</v>
      </c>
      <c r="BA17" s="94">
        <f t="shared" si="23"/>
        <v>0</v>
      </c>
      <c r="BB17" s="94">
        <f t="shared" ref="BB17:BB20" si="24">K17+R17+Y17+AF17+AJ17+AN17+AU17</f>
        <v>190000</v>
      </c>
      <c r="BC17" s="9">
        <f t="shared" ref="BC17:BC20" si="25">SUM(AW17:BB17)</f>
        <v>190000</v>
      </c>
    </row>
    <row r="18" spans="1:55">
      <c r="A18" s="186"/>
      <c r="B18" s="8">
        <v>1</v>
      </c>
      <c r="C18" s="1" t="s">
        <v>84</v>
      </c>
      <c r="D18" s="4" t="s">
        <v>85</v>
      </c>
      <c r="E18" s="4" t="s">
        <v>35</v>
      </c>
      <c r="F18" s="4"/>
      <c r="G18" s="4"/>
      <c r="H18" s="4">
        <v>155000</v>
      </c>
      <c r="I18" s="4">
        <v>533000</v>
      </c>
      <c r="J18" s="4">
        <f>140000+105000+105000+70000</f>
        <v>420000</v>
      </c>
      <c r="K18" s="4">
        <f>454100+96000+47000</f>
        <v>597100</v>
      </c>
      <c r="L18" s="9">
        <f t="shared" ref="L18" si="26">SUM(F18:K18)</f>
        <v>1705100</v>
      </c>
      <c r="M18" s="4"/>
      <c r="N18" s="4"/>
      <c r="O18" s="4"/>
      <c r="P18" s="4"/>
      <c r="Q18" s="4"/>
      <c r="R18" s="4"/>
      <c r="S18" s="9">
        <f t="shared" ref="S18" si="27">SUM(M18:R18)</f>
        <v>0</v>
      </c>
      <c r="T18" s="4"/>
      <c r="U18" s="4"/>
      <c r="V18" s="4"/>
      <c r="W18" s="4"/>
      <c r="X18" s="4"/>
      <c r="Y18" s="4"/>
      <c r="Z18" s="9">
        <f t="shared" ref="Z18" si="28">SUM(T18:Y18)</f>
        <v>0</v>
      </c>
      <c r="AA18" s="4"/>
      <c r="AB18" s="4"/>
      <c r="AC18" s="4"/>
      <c r="AD18" s="4"/>
      <c r="AE18" s="20"/>
      <c r="AF18" s="20"/>
      <c r="AG18" s="21">
        <f t="shared" ref="AG18" si="29">SUM(AA18:AF18)</f>
        <v>0</v>
      </c>
      <c r="AH18" s="10"/>
      <c r="AI18" s="20"/>
      <c r="AJ18" s="20"/>
      <c r="AK18" s="21">
        <f t="shared" ref="AK18" si="30">SUM(AH18:AJ18)</f>
        <v>0</v>
      </c>
      <c r="AL18" s="10"/>
      <c r="AM18" s="20"/>
      <c r="AN18" s="20"/>
      <c r="AO18" s="21">
        <f t="shared" ref="AO18" si="31">SUM(AL18:AN18)</f>
        <v>0</v>
      </c>
      <c r="AP18" s="10"/>
      <c r="AQ18" s="10"/>
      <c r="AR18" s="10"/>
      <c r="AS18" s="10"/>
      <c r="AT18" s="20"/>
      <c r="AU18" s="20"/>
      <c r="AV18" s="21">
        <f t="shared" ref="AV18" si="32">SUM(AP18:AU18)</f>
        <v>0</v>
      </c>
      <c r="AW18" s="4">
        <f t="shared" ref="AW18" si="33">F18+M18+T18+AA18+AP18</f>
        <v>0</v>
      </c>
      <c r="AX18" s="4">
        <f t="shared" ref="AX18" si="34">G18+N18+U18+AB18+AQ18</f>
        <v>0</v>
      </c>
      <c r="AY18" s="4">
        <f t="shared" ref="AY18" si="35">H18+O18+V18+AC18+AR18</f>
        <v>155000</v>
      </c>
      <c r="AZ18" s="4">
        <f t="shared" ref="AZ18" si="36">I18+P18+W18+AD18+AH18+AL18+AS18</f>
        <v>533000</v>
      </c>
      <c r="BA18" s="94">
        <f t="shared" ref="BA18" si="37">J18+Q18+X18+AE18+AI18+AM18+AT18</f>
        <v>420000</v>
      </c>
      <c r="BB18" s="94">
        <f t="shared" ref="BB18" si="38">K18+R18+Y18+AF18+AJ18+AN18+AU18</f>
        <v>597100</v>
      </c>
      <c r="BC18" s="9">
        <f t="shared" ref="BC18" si="39">SUM(AW18:BB18)</f>
        <v>1705100</v>
      </c>
    </row>
    <row r="19" spans="1:55">
      <c r="A19" s="186"/>
      <c r="B19" s="8">
        <v>2</v>
      </c>
      <c r="C19" s="100" t="s">
        <v>446</v>
      </c>
      <c r="D19" s="101" t="s">
        <v>447</v>
      </c>
      <c r="E19" s="101" t="s">
        <v>35</v>
      </c>
      <c r="F19" s="4"/>
      <c r="G19" s="4"/>
      <c r="H19" s="4"/>
      <c r="I19" s="4"/>
      <c r="J19" s="4">
        <v>155000</v>
      </c>
      <c r="K19" s="4">
        <v>309000</v>
      </c>
      <c r="L19" s="9">
        <f t="shared" si="15"/>
        <v>464000</v>
      </c>
      <c r="M19" s="4"/>
      <c r="N19" s="4"/>
      <c r="O19" s="4"/>
      <c r="P19" s="4"/>
      <c r="Q19" s="4"/>
      <c r="R19" s="4"/>
      <c r="S19" s="9">
        <f t="shared" si="16"/>
        <v>0</v>
      </c>
      <c r="T19" s="4"/>
      <c r="U19" s="4"/>
      <c r="V19" s="4"/>
      <c r="W19" s="4"/>
      <c r="X19" s="4"/>
      <c r="Y19" s="4"/>
      <c r="Z19" s="9">
        <f t="shared" si="17"/>
        <v>0</v>
      </c>
      <c r="AA19" s="4"/>
      <c r="AB19" s="4"/>
      <c r="AC19" s="4"/>
      <c r="AD19" s="4"/>
      <c r="AE19" s="20"/>
      <c r="AF19" s="20"/>
      <c r="AG19" s="21">
        <f t="shared" si="18"/>
        <v>0</v>
      </c>
      <c r="AH19" s="10"/>
      <c r="AI19" s="20"/>
      <c r="AJ19" s="20"/>
      <c r="AK19" s="21">
        <f t="shared" si="19"/>
        <v>0</v>
      </c>
      <c r="AL19" s="10"/>
      <c r="AM19" s="20"/>
      <c r="AN19" s="20"/>
      <c r="AO19" s="21">
        <f t="shared" si="20"/>
        <v>0</v>
      </c>
      <c r="AP19" s="10"/>
      <c r="AQ19" s="10"/>
      <c r="AR19" s="10"/>
      <c r="AS19" s="10"/>
      <c r="AT19" s="20"/>
      <c r="AU19" s="20"/>
      <c r="AV19" s="21">
        <f t="shared" si="21"/>
        <v>0</v>
      </c>
      <c r="AW19" s="4">
        <f t="shared" si="22"/>
        <v>0</v>
      </c>
      <c r="AX19" s="4">
        <f t="shared" si="22"/>
        <v>0</v>
      </c>
      <c r="AY19" s="4">
        <f t="shared" si="22"/>
        <v>0</v>
      </c>
      <c r="AZ19" s="4">
        <f t="shared" si="23"/>
        <v>0</v>
      </c>
      <c r="BA19" s="94">
        <f t="shared" si="23"/>
        <v>155000</v>
      </c>
      <c r="BB19" s="94">
        <f t="shared" si="24"/>
        <v>309000</v>
      </c>
      <c r="BC19" s="9">
        <f t="shared" si="25"/>
        <v>464000</v>
      </c>
    </row>
    <row r="20" spans="1:55">
      <c r="A20" s="187"/>
      <c r="B20" s="8">
        <v>3</v>
      </c>
      <c r="C20" s="1" t="s">
        <v>7</v>
      </c>
      <c r="D20" s="4" t="s">
        <v>40</v>
      </c>
      <c r="E20" s="4" t="s">
        <v>35</v>
      </c>
      <c r="F20" s="4">
        <v>155000</v>
      </c>
      <c r="G20" s="4"/>
      <c r="H20" s="4">
        <f>418500+93000+46500</f>
        <v>558000</v>
      </c>
      <c r="I20" s="4">
        <v>417000</v>
      </c>
      <c r="J20" s="4">
        <f>102000+98000+98500+106500+36000</f>
        <v>441000</v>
      </c>
      <c r="K20" s="4">
        <f>533300+99000+49500</f>
        <v>681800</v>
      </c>
      <c r="L20" s="9">
        <f t="shared" si="15"/>
        <v>2252800</v>
      </c>
      <c r="M20" s="4"/>
      <c r="N20" s="4"/>
      <c r="O20" s="4"/>
      <c r="P20" s="4"/>
      <c r="Q20" s="4"/>
      <c r="R20" s="4"/>
      <c r="S20" s="9">
        <f t="shared" si="16"/>
        <v>0</v>
      </c>
      <c r="T20" s="4">
        <v>290000</v>
      </c>
      <c r="U20" s="4"/>
      <c r="V20" s="4"/>
      <c r="W20" s="4">
        <v>800000</v>
      </c>
      <c r="X20" s="4"/>
      <c r="Y20" s="4"/>
      <c r="Z20" s="9">
        <f t="shared" si="17"/>
        <v>1090000</v>
      </c>
      <c r="AA20" s="4"/>
      <c r="AB20" s="4"/>
      <c r="AC20" s="4"/>
      <c r="AD20" s="4"/>
      <c r="AE20" s="20"/>
      <c r="AF20" s="20"/>
      <c r="AG20" s="21">
        <f t="shared" si="18"/>
        <v>0</v>
      </c>
      <c r="AH20" s="10"/>
      <c r="AI20" s="20"/>
      <c r="AJ20" s="20"/>
      <c r="AK20" s="21">
        <f t="shared" si="19"/>
        <v>0</v>
      </c>
      <c r="AL20" s="10"/>
      <c r="AM20" s="20"/>
      <c r="AN20" s="20"/>
      <c r="AO20" s="21">
        <f t="shared" si="20"/>
        <v>0</v>
      </c>
      <c r="AP20" s="10"/>
      <c r="AQ20" s="10"/>
      <c r="AR20" s="10"/>
      <c r="AS20" s="10"/>
      <c r="AT20" s="20"/>
      <c r="AU20" s="20"/>
      <c r="AV20" s="21">
        <f t="shared" si="21"/>
        <v>0</v>
      </c>
      <c r="AW20" s="4">
        <f t="shared" si="22"/>
        <v>445000</v>
      </c>
      <c r="AX20" s="4">
        <f t="shared" si="22"/>
        <v>0</v>
      </c>
      <c r="AY20" s="4">
        <f t="shared" si="22"/>
        <v>558000</v>
      </c>
      <c r="AZ20" s="4">
        <f t="shared" si="23"/>
        <v>1217000</v>
      </c>
      <c r="BA20" s="94">
        <f t="shared" si="23"/>
        <v>441000</v>
      </c>
      <c r="BB20" s="94">
        <f t="shared" si="24"/>
        <v>681800</v>
      </c>
      <c r="BC20" s="9">
        <f t="shared" si="25"/>
        <v>3342800</v>
      </c>
    </row>
    <row r="21" spans="1:55" s="38" customFormat="1">
      <c r="A21" s="34"/>
      <c r="B21" s="34"/>
      <c r="C21" s="35" t="s">
        <v>86</v>
      </c>
      <c r="D21" s="36"/>
      <c r="E21" s="37"/>
      <c r="F21" s="37">
        <f>SUM(F17:F20)</f>
        <v>155000</v>
      </c>
      <c r="G21" s="37">
        <f t="shared" ref="G21:BC21" si="40">SUM(G17:G20)</f>
        <v>0</v>
      </c>
      <c r="H21" s="37">
        <f t="shared" si="40"/>
        <v>713000</v>
      </c>
      <c r="I21" s="37">
        <f t="shared" si="40"/>
        <v>950000</v>
      </c>
      <c r="J21" s="37">
        <f t="shared" si="40"/>
        <v>1016000</v>
      </c>
      <c r="K21" s="37">
        <f t="shared" si="40"/>
        <v>1587900</v>
      </c>
      <c r="L21" s="37">
        <f t="shared" si="40"/>
        <v>4421900</v>
      </c>
      <c r="M21" s="37">
        <f t="shared" si="40"/>
        <v>0</v>
      </c>
      <c r="N21" s="37">
        <f t="shared" si="40"/>
        <v>0</v>
      </c>
      <c r="O21" s="37">
        <f t="shared" si="40"/>
        <v>0</v>
      </c>
      <c r="P21" s="37">
        <f t="shared" si="40"/>
        <v>0</v>
      </c>
      <c r="Q21" s="37">
        <f t="shared" si="40"/>
        <v>0</v>
      </c>
      <c r="R21" s="37">
        <f t="shared" si="40"/>
        <v>0</v>
      </c>
      <c r="S21" s="37">
        <f t="shared" si="40"/>
        <v>0</v>
      </c>
      <c r="T21" s="37">
        <f t="shared" si="40"/>
        <v>290000</v>
      </c>
      <c r="U21" s="37">
        <f t="shared" si="40"/>
        <v>0</v>
      </c>
      <c r="V21" s="37">
        <f t="shared" si="40"/>
        <v>0</v>
      </c>
      <c r="W21" s="37">
        <f t="shared" si="40"/>
        <v>800000</v>
      </c>
      <c r="X21" s="37">
        <f t="shared" si="40"/>
        <v>0</v>
      </c>
      <c r="Y21" s="37">
        <f t="shared" si="40"/>
        <v>190000</v>
      </c>
      <c r="Z21" s="37">
        <f t="shared" si="40"/>
        <v>1280000</v>
      </c>
      <c r="AA21" s="37">
        <f t="shared" si="40"/>
        <v>0</v>
      </c>
      <c r="AB21" s="37">
        <f t="shared" si="40"/>
        <v>0</v>
      </c>
      <c r="AC21" s="37">
        <f t="shared" si="40"/>
        <v>0</v>
      </c>
      <c r="AD21" s="37">
        <f t="shared" si="40"/>
        <v>0</v>
      </c>
      <c r="AE21" s="37">
        <f t="shared" si="40"/>
        <v>0</v>
      </c>
      <c r="AF21" s="37">
        <f t="shared" si="40"/>
        <v>0</v>
      </c>
      <c r="AG21" s="37">
        <f t="shared" si="40"/>
        <v>0</v>
      </c>
      <c r="AH21" s="37">
        <f t="shared" si="40"/>
        <v>0</v>
      </c>
      <c r="AI21" s="37">
        <f t="shared" si="40"/>
        <v>0</v>
      </c>
      <c r="AJ21" s="37">
        <f>SUM(AJ17:AJ20)</f>
        <v>0</v>
      </c>
      <c r="AK21" s="37">
        <f>SUM(AK17:AK20)</f>
        <v>0</v>
      </c>
      <c r="AL21" s="37">
        <f t="shared" si="40"/>
        <v>0</v>
      </c>
      <c r="AM21" s="37">
        <f t="shared" si="40"/>
        <v>0</v>
      </c>
      <c r="AN21" s="37">
        <f t="shared" si="40"/>
        <v>0</v>
      </c>
      <c r="AO21" s="37">
        <f t="shared" si="40"/>
        <v>0</v>
      </c>
      <c r="AP21" s="37">
        <f t="shared" si="40"/>
        <v>0</v>
      </c>
      <c r="AQ21" s="37">
        <f t="shared" si="40"/>
        <v>0</v>
      </c>
      <c r="AR21" s="37">
        <f t="shared" si="40"/>
        <v>0</v>
      </c>
      <c r="AS21" s="37">
        <f t="shared" si="40"/>
        <v>0</v>
      </c>
      <c r="AT21" s="37">
        <f t="shared" si="40"/>
        <v>0</v>
      </c>
      <c r="AU21" s="37">
        <f t="shared" si="40"/>
        <v>0</v>
      </c>
      <c r="AV21" s="37">
        <f t="shared" si="40"/>
        <v>0</v>
      </c>
      <c r="AW21" s="37">
        <f t="shared" si="40"/>
        <v>445000</v>
      </c>
      <c r="AX21" s="37">
        <f t="shared" si="40"/>
        <v>0</v>
      </c>
      <c r="AY21" s="37">
        <f t="shared" si="40"/>
        <v>713000</v>
      </c>
      <c r="AZ21" s="37">
        <f t="shared" si="40"/>
        <v>1750000</v>
      </c>
      <c r="BA21" s="37">
        <f t="shared" si="40"/>
        <v>1016000</v>
      </c>
      <c r="BB21" s="37">
        <f t="shared" si="40"/>
        <v>1777900</v>
      </c>
      <c r="BC21" s="37">
        <f t="shared" si="40"/>
        <v>5701900</v>
      </c>
    </row>
    <row r="22" spans="1:55" ht="31.5">
      <c r="A22" s="185" t="s">
        <v>18</v>
      </c>
      <c r="B22" s="8">
        <v>1</v>
      </c>
      <c r="C22" s="1" t="s">
        <v>87</v>
      </c>
      <c r="D22" s="4" t="s">
        <v>88</v>
      </c>
      <c r="E22" s="4" t="s">
        <v>18</v>
      </c>
      <c r="F22" s="4"/>
      <c r="G22" s="4"/>
      <c r="H22" s="4">
        <v>155000</v>
      </c>
      <c r="I22" s="4">
        <f>100000+40000</f>
        <v>140000</v>
      </c>
      <c r="J22" s="4"/>
      <c r="K22" s="4"/>
      <c r="L22" s="9">
        <f t="shared" ref="L22:L26" si="41">SUM(F22:K22)</f>
        <v>295000</v>
      </c>
      <c r="M22" s="4"/>
      <c r="N22" s="4"/>
      <c r="O22" s="4"/>
      <c r="P22" s="4"/>
      <c r="Q22" s="4"/>
      <c r="R22" s="4"/>
      <c r="S22" s="9">
        <f t="shared" ref="S22:S26" si="42">SUM(M22:R22)</f>
        <v>0</v>
      </c>
      <c r="T22" s="4"/>
      <c r="U22" s="4"/>
      <c r="V22" s="4"/>
      <c r="W22" s="4"/>
      <c r="X22" s="4"/>
      <c r="Y22" s="4"/>
      <c r="Z22" s="9">
        <f t="shared" ref="Z22:Z26" si="43">SUM(T22:Y22)</f>
        <v>0</v>
      </c>
      <c r="AA22" s="4"/>
      <c r="AB22" s="4"/>
      <c r="AC22" s="10">
        <v>259750</v>
      </c>
      <c r="AD22" s="27">
        <v>172000</v>
      </c>
      <c r="AE22" s="20"/>
      <c r="AF22" s="20"/>
      <c r="AG22" s="21">
        <f t="shared" ref="AG22:AG26" si="44">SUM(AA22:AF22)</f>
        <v>431750</v>
      </c>
      <c r="AH22" s="10">
        <v>945000</v>
      </c>
      <c r="AI22" s="20">
        <f>315000+315000+315000+210000</f>
        <v>1155000</v>
      </c>
      <c r="AJ22" s="20">
        <f>1698000+309000+156000</f>
        <v>2163000</v>
      </c>
      <c r="AK22" s="21">
        <f t="shared" ref="AK22:AK26" si="45">SUM(AH22:AJ22)</f>
        <v>4263000</v>
      </c>
      <c r="AL22" s="10"/>
      <c r="AM22" s="20"/>
      <c r="AN22" s="20"/>
      <c r="AO22" s="21">
        <f t="shared" ref="AO22:AO26" si="46">SUM(AL22:AN22)</f>
        <v>0</v>
      </c>
      <c r="AP22" s="10"/>
      <c r="AQ22" s="10"/>
      <c r="AR22" s="10">
        <v>376000</v>
      </c>
      <c r="AS22" s="10"/>
      <c r="AT22" s="20"/>
      <c r="AU22" s="20"/>
      <c r="AV22" s="21">
        <f t="shared" ref="AV22:AV26" si="47">SUM(AP22:AU22)</f>
        <v>376000</v>
      </c>
      <c r="AW22" s="4">
        <f t="shared" ref="AW22:AY26" si="48">F22+M22+T22+AA22+AP22</f>
        <v>0</v>
      </c>
      <c r="AX22" s="4">
        <f t="shared" si="48"/>
        <v>0</v>
      </c>
      <c r="AY22" s="4">
        <f t="shared" si="48"/>
        <v>790750</v>
      </c>
      <c r="AZ22" s="4">
        <f t="shared" ref="AZ22:BA26" si="49">I22+P22+W22+AD22+AH22+AL22+AS22</f>
        <v>1257000</v>
      </c>
      <c r="BA22" s="94">
        <f t="shared" si="49"/>
        <v>1155000</v>
      </c>
      <c r="BB22" s="94">
        <f t="shared" ref="BB22:BB26" si="50">K22+R22+Y22+AF22+AJ22+AN22+AU22</f>
        <v>2163000</v>
      </c>
      <c r="BC22" s="9">
        <f t="shared" ref="BC22:BC26" si="51">SUM(AW22:BB22)</f>
        <v>5365750</v>
      </c>
    </row>
    <row r="23" spans="1:55">
      <c r="A23" s="186"/>
      <c r="B23" s="8">
        <v>2</v>
      </c>
      <c r="C23" s="1" t="s">
        <v>89</v>
      </c>
      <c r="D23" s="4" t="s">
        <v>90</v>
      </c>
      <c r="E23" s="4" t="s">
        <v>18</v>
      </c>
      <c r="F23" s="4"/>
      <c r="G23" s="4"/>
      <c r="H23" s="4">
        <v>155000</v>
      </c>
      <c r="I23" s="4">
        <f>120000+20000</f>
        <v>140000</v>
      </c>
      <c r="J23" s="4"/>
      <c r="K23" s="4"/>
      <c r="L23" s="9">
        <f t="shared" si="41"/>
        <v>295000</v>
      </c>
      <c r="M23" s="4"/>
      <c r="N23" s="4"/>
      <c r="O23" s="4"/>
      <c r="P23" s="4"/>
      <c r="Q23" s="4"/>
      <c r="R23" s="4"/>
      <c r="S23" s="9">
        <f t="shared" si="42"/>
        <v>0</v>
      </c>
      <c r="T23" s="4"/>
      <c r="U23" s="4"/>
      <c r="V23" s="4"/>
      <c r="W23" s="4"/>
      <c r="X23" s="4"/>
      <c r="Y23" s="4"/>
      <c r="Z23" s="9">
        <f t="shared" si="43"/>
        <v>0</v>
      </c>
      <c r="AA23" s="4"/>
      <c r="AB23" s="4"/>
      <c r="AC23" s="10">
        <f>258750+140000</f>
        <v>398750</v>
      </c>
      <c r="AD23" s="27">
        <v>30000</v>
      </c>
      <c r="AE23" s="20"/>
      <c r="AF23" s="20"/>
      <c r="AG23" s="21">
        <f t="shared" si="44"/>
        <v>428750</v>
      </c>
      <c r="AH23" s="10">
        <v>945000</v>
      </c>
      <c r="AI23" s="20">
        <f>315000+313500+315000+315000+210000</f>
        <v>1468500</v>
      </c>
      <c r="AJ23" s="20">
        <f>1405000+312000+156000</f>
        <v>1873000</v>
      </c>
      <c r="AK23" s="21">
        <f t="shared" si="45"/>
        <v>4286500</v>
      </c>
      <c r="AL23" s="10"/>
      <c r="AM23" s="20"/>
      <c r="AN23" s="20"/>
      <c r="AO23" s="21">
        <f t="shared" si="46"/>
        <v>0</v>
      </c>
      <c r="AP23" s="10"/>
      <c r="AQ23" s="10"/>
      <c r="AR23" s="10">
        <v>376000</v>
      </c>
      <c r="AS23" s="10"/>
      <c r="AT23" s="20"/>
      <c r="AU23" s="20"/>
      <c r="AV23" s="21">
        <f t="shared" si="47"/>
        <v>376000</v>
      </c>
      <c r="AW23" s="4">
        <f t="shared" si="48"/>
        <v>0</v>
      </c>
      <c r="AX23" s="4">
        <f t="shared" si="48"/>
        <v>0</v>
      </c>
      <c r="AY23" s="4">
        <f t="shared" si="48"/>
        <v>929750</v>
      </c>
      <c r="AZ23" s="4">
        <f t="shared" si="49"/>
        <v>1115000</v>
      </c>
      <c r="BA23" s="94">
        <f t="shared" si="49"/>
        <v>1468500</v>
      </c>
      <c r="BB23" s="94">
        <f t="shared" si="50"/>
        <v>1873000</v>
      </c>
      <c r="BC23" s="9">
        <f t="shared" si="51"/>
        <v>5386250</v>
      </c>
    </row>
    <row r="24" spans="1:55" ht="31.5">
      <c r="A24" s="186"/>
      <c r="B24" s="8">
        <v>3</v>
      </c>
      <c r="C24" s="1" t="s">
        <v>91</v>
      </c>
      <c r="D24" s="4" t="s">
        <v>92</v>
      </c>
      <c r="E24" s="4" t="s">
        <v>18</v>
      </c>
      <c r="F24" s="4"/>
      <c r="G24" s="4">
        <v>155000</v>
      </c>
      <c r="H24" s="4">
        <f>462000+77000+286000+330000+110000+40000</f>
        <v>1305000</v>
      </c>
      <c r="I24" s="4">
        <v>685500</v>
      </c>
      <c r="J24" s="4">
        <f>210000+210000</f>
        <v>420000</v>
      </c>
      <c r="K24" s="4"/>
      <c r="L24" s="9">
        <f t="shared" si="41"/>
        <v>2565500</v>
      </c>
      <c r="M24" s="4"/>
      <c r="N24" s="4"/>
      <c r="O24" s="4"/>
      <c r="P24" s="4"/>
      <c r="Q24" s="4"/>
      <c r="R24" s="4"/>
      <c r="S24" s="9">
        <f t="shared" si="42"/>
        <v>0</v>
      </c>
      <c r="T24" s="4"/>
      <c r="U24" s="4">
        <v>290000</v>
      </c>
      <c r="V24" s="4">
        <v>1516000</v>
      </c>
      <c r="W24" s="11">
        <v>300000</v>
      </c>
      <c r="X24" s="11"/>
      <c r="Y24" s="11"/>
      <c r="Z24" s="9">
        <f t="shared" si="43"/>
        <v>2106000</v>
      </c>
      <c r="AA24" s="4"/>
      <c r="AB24" s="4"/>
      <c r="AC24" s="4"/>
      <c r="AD24" s="4"/>
      <c r="AE24" s="20"/>
      <c r="AF24" s="20"/>
      <c r="AG24" s="21">
        <f t="shared" si="44"/>
        <v>0</v>
      </c>
      <c r="AH24" s="10"/>
      <c r="AI24" s="20"/>
      <c r="AJ24" s="20"/>
      <c r="AK24" s="21">
        <f t="shared" si="45"/>
        <v>0</v>
      </c>
      <c r="AL24" s="10"/>
      <c r="AM24" s="20"/>
      <c r="AN24" s="20"/>
      <c r="AO24" s="21">
        <f t="shared" si="46"/>
        <v>0</v>
      </c>
      <c r="AP24" s="10"/>
      <c r="AQ24" s="10"/>
      <c r="AR24" s="10"/>
      <c r="AS24" s="10"/>
      <c r="AT24" s="20"/>
      <c r="AU24" s="20"/>
      <c r="AV24" s="21">
        <f t="shared" si="47"/>
        <v>0</v>
      </c>
      <c r="AW24" s="4">
        <f t="shared" si="48"/>
        <v>0</v>
      </c>
      <c r="AX24" s="4">
        <f t="shared" si="48"/>
        <v>445000</v>
      </c>
      <c r="AY24" s="4">
        <f t="shared" si="48"/>
        <v>2821000</v>
      </c>
      <c r="AZ24" s="4">
        <f t="shared" si="49"/>
        <v>985500</v>
      </c>
      <c r="BA24" s="94">
        <f t="shared" si="49"/>
        <v>420000</v>
      </c>
      <c r="BB24" s="94">
        <f t="shared" si="50"/>
        <v>0</v>
      </c>
      <c r="BC24" s="9">
        <f t="shared" si="51"/>
        <v>4671500</v>
      </c>
    </row>
    <row r="25" spans="1:55">
      <c r="A25" s="186"/>
      <c r="B25" s="8">
        <v>4</v>
      </c>
      <c r="C25" s="1" t="s">
        <v>9</v>
      </c>
      <c r="D25" s="4" t="s">
        <v>42</v>
      </c>
      <c r="E25" s="4" t="s">
        <v>18</v>
      </c>
      <c r="F25" s="4"/>
      <c r="G25" s="4"/>
      <c r="H25" s="4"/>
      <c r="I25" s="4"/>
      <c r="J25" s="4"/>
      <c r="K25" s="4"/>
      <c r="L25" s="9">
        <f t="shared" si="41"/>
        <v>0</v>
      </c>
      <c r="M25" s="4"/>
      <c r="N25" s="4"/>
      <c r="O25" s="4"/>
      <c r="P25" s="4"/>
      <c r="Q25" s="4"/>
      <c r="R25" s="4"/>
      <c r="S25" s="9">
        <f t="shared" si="42"/>
        <v>0</v>
      </c>
      <c r="T25" s="4">
        <v>290000</v>
      </c>
      <c r="U25" s="70">
        <v>2093000</v>
      </c>
      <c r="V25" s="4">
        <v>1575000</v>
      </c>
      <c r="W25" s="11"/>
      <c r="X25" s="11"/>
      <c r="Y25" s="11"/>
      <c r="Z25" s="9">
        <f t="shared" si="43"/>
        <v>3958000</v>
      </c>
      <c r="AA25" s="4">
        <v>195000</v>
      </c>
      <c r="AB25" s="10">
        <v>1426450</v>
      </c>
      <c r="AC25" s="10">
        <v>1018500</v>
      </c>
      <c r="AD25" s="10">
        <v>950000</v>
      </c>
      <c r="AE25" s="20">
        <f>70000+210000</f>
        <v>280000</v>
      </c>
      <c r="AF25" s="20"/>
      <c r="AG25" s="21">
        <f t="shared" si="44"/>
        <v>3869950</v>
      </c>
      <c r="AH25" s="10"/>
      <c r="AI25" s="20"/>
      <c r="AJ25" s="20"/>
      <c r="AK25" s="21">
        <f t="shared" si="45"/>
        <v>0</v>
      </c>
      <c r="AL25" s="10"/>
      <c r="AM25" s="20"/>
      <c r="AN25" s="20"/>
      <c r="AO25" s="21">
        <f t="shared" si="46"/>
        <v>0</v>
      </c>
      <c r="AP25" s="10"/>
      <c r="AQ25" s="10">
        <v>100000</v>
      </c>
      <c r="AR25" s="10">
        <v>522000</v>
      </c>
      <c r="AS25" s="10"/>
      <c r="AT25" s="20"/>
      <c r="AU25" s="20"/>
      <c r="AV25" s="21">
        <f t="shared" si="47"/>
        <v>622000</v>
      </c>
      <c r="AW25" s="4">
        <f t="shared" si="48"/>
        <v>485000</v>
      </c>
      <c r="AX25" s="4">
        <f t="shared" si="48"/>
        <v>3619450</v>
      </c>
      <c r="AY25" s="4">
        <f t="shared" si="48"/>
        <v>3115500</v>
      </c>
      <c r="AZ25" s="4">
        <f t="shared" si="49"/>
        <v>950000</v>
      </c>
      <c r="BA25" s="94">
        <f t="shared" si="49"/>
        <v>280000</v>
      </c>
      <c r="BB25" s="94">
        <f t="shared" si="50"/>
        <v>0</v>
      </c>
      <c r="BC25" s="9">
        <f t="shared" si="51"/>
        <v>8449950</v>
      </c>
    </row>
    <row r="26" spans="1:55" ht="31.5">
      <c r="A26" s="187"/>
      <c r="B26" s="8">
        <v>5</v>
      </c>
      <c r="C26" s="1" t="s">
        <v>93</v>
      </c>
      <c r="D26" s="4" t="s">
        <v>94</v>
      </c>
      <c r="E26" s="4" t="s">
        <v>18</v>
      </c>
      <c r="F26" s="4">
        <v>155000</v>
      </c>
      <c r="G26" s="4">
        <v>207500</v>
      </c>
      <c r="H26" s="4">
        <v>379500</v>
      </c>
      <c r="I26" s="4"/>
      <c r="J26" s="4"/>
      <c r="K26" s="4"/>
      <c r="L26" s="9">
        <f t="shared" si="41"/>
        <v>742000</v>
      </c>
      <c r="M26" s="4"/>
      <c r="N26" s="4"/>
      <c r="O26" s="4"/>
      <c r="P26" s="4"/>
      <c r="Q26" s="4"/>
      <c r="R26" s="4"/>
      <c r="S26" s="9">
        <f t="shared" si="42"/>
        <v>0</v>
      </c>
      <c r="T26" s="4"/>
      <c r="U26" s="4"/>
      <c r="V26" s="4"/>
      <c r="W26" s="4"/>
      <c r="X26" s="4"/>
      <c r="Y26" s="4"/>
      <c r="Z26" s="9">
        <f t="shared" si="43"/>
        <v>0</v>
      </c>
      <c r="AA26" s="4"/>
      <c r="AB26" s="10">
        <v>629500</v>
      </c>
      <c r="AC26" s="10">
        <v>436500</v>
      </c>
      <c r="AD26" s="10"/>
      <c r="AE26" s="20"/>
      <c r="AF26" s="20"/>
      <c r="AG26" s="21">
        <f t="shared" si="44"/>
        <v>1066000</v>
      </c>
      <c r="AH26" s="10"/>
      <c r="AI26" s="20"/>
      <c r="AJ26" s="20"/>
      <c r="AK26" s="21">
        <f t="shared" si="45"/>
        <v>0</v>
      </c>
      <c r="AL26" s="10"/>
      <c r="AM26" s="20"/>
      <c r="AN26" s="20"/>
      <c r="AO26" s="21">
        <f t="shared" si="46"/>
        <v>0</v>
      </c>
      <c r="AP26" s="10"/>
      <c r="AQ26" s="10"/>
      <c r="AR26" s="10"/>
      <c r="AS26" s="10"/>
      <c r="AT26" s="20"/>
      <c r="AU26" s="20"/>
      <c r="AV26" s="21">
        <f t="shared" si="47"/>
        <v>0</v>
      </c>
      <c r="AW26" s="4">
        <f t="shared" si="48"/>
        <v>155000</v>
      </c>
      <c r="AX26" s="4">
        <f t="shared" si="48"/>
        <v>837000</v>
      </c>
      <c r="AY26" s="4">
        <f t="shared" si="48"/>
        <v>816000</v>
      </c>
      <c r="AZ26" s="4">
        <f t="shared" si="49"/>
        <v>0</v>
      </c>
      <c r="BA26" s="94">
        <f t="shared" si="49"/>
        <v>0</v>
      </c>
      <c r="BB26" s="94">
        <f t="shared" si="50"/>
        <v>0</v>
      </c>
      <c r="BC26" s="9">
        <f t="shared" si="51"/>
        <v>1808000</v>
      </c>
    </row>
    <row r="27" spans="1:55" s="38" customFormat="1">
      <c r="A27" s="34"/>
      <c r="B27" s="34"/>
      <c r="C27" s="35" t="s">
        <v>95</v>
      </c>
      <c r="D27" s="37"/>
      <c r="E27" s="37"/>
      <c r="F27" s="37">
        <f>SUM(F22:F26)</f>
        <v>155000</v>
      </c>
      <c r="G27" s="37">
        <f t="shared" ref="G27:BC27" si="52">SUM(G22:G26)</f>
        <v>362500</v>
      </c>
      <c r="H27" s="37">
        <f t="shared" si="52"/>
        <v>1994500</v>
      </c>
      <c r="I27" s="37">
        <f t="shared" si="52"/>
        <v>965500</v>
      </c>
      <c r="J27" s="37">
        <f t="shared" si="52"/>
        <v>420000</v>
      </c>
      <c r="K27" s="37">
        <f t="shared" si="52"/>
        <v>0</v>
      </c>
      <c r="L27" s="37">
        <f t="shared" si="52"/>
        <v>3897500</v>
      </c>
      <c r="M27" s="37">
        <f t="shared" si="52"/>
        <v>0</v>
      </c>
      <c r="N27" s="37">
        <f t="shared" si="52"/>
        <v>0</v>
      </c>
      <c r="O27" s="37">
        <f t="shared" si="52"/>
        <v>0</v>
      </c>
      <c r="P27" s="37">
        <f t="shared" si="52"/>
        <v>0</v>
      </c>
      <c r="Q27" s="37">
        <f t="shared" si="52"/>
        <v>0</v>
      </c>
      <c r="R27" s="37">
        <f t="shared" si="52"/>
        <v>0</v>
      </c>
      <c r="S27" s="37">
        <f t="shared" si="52"/>
        <v>0</v>
      </c>
      <c r="T27" s="37">
        <f t="shared" si="52"/>
        <v>290000</v>
      </c>
      <c r="U27" s="37">
        <f t="shared" si="52"/>
        <v>2383000</v>
      </c>
      <c r="V27" s="37">
        <f t="shared" si="52"/>
        <v>3091000</v>
      </c>
      <c r="W27" s="37">
        <f t="shared" si="52"/>
        <v>300000</v>
      </c>
      <c r="X27" s="37">
        <f t="shared" si="52"/>
        <v>0</v>
      </c>
      <c r="Y27" s="37">
        <f t="shared" si="52"/>
        <v>0</v>
      </c>
      <c r="Z27" s="37">
        <f t="shared" si="52"/>
        <v>6064000</v>
      </c>
      <c r="AA27" s="37">
        <f t="shared" si="52"/>
        <v>195000</v>
      </c>
      <c r="AB27" s="37">
        <f t="shared" si="52"/>
        <v>2055950</v>
      </c>
      <c r="AC27" s="37">
        <f t="shared" si="52"/>
        <v>2113500</v>
      </c>
      <c r="AD27" s="37">
        <f t="shared" si="52"/>
        <v>1152000</v>
      </c>
      <c r="AE27" s="37">
        <f t="shared" si="52"/>
        <v>280000</v>
      </c>
      <c r="AF27" s="37">
        <f t="shared" si="52"/>
        <v>0</v>
      </c>
      <c r="AG27" s="37">
        <f t="shared" si="52"/>
        <v>5796450</v>
      </c>
      <c r="AH27" s="37">
        <f t="shared" si="52"/>
        <v>1890000</v>
      </c>
      <c r="AI27" s="37">
        <f t="shared" si="52"/>
        <v>2623500</v>
      </c>
      <c r="AJ27" s="37">
        <f>SUM(AJ22:AJ26)</f>
        <v>4036000</v>
      </c>
      <c r="AK27" s="37">
        <f>SUM(AK22:AK26)</f>
        <v>8549500</v>
      </c>
      <c r="AL27" s="37">
        <f t="shared" si="52"/>
        <v>0</v>
      </c>
      <c r="AM27" s="37">
        <f t="shared" si="52"/>
        <v>0</v>
      </c>
      <c r="AN27" s="37">
        <f t="shared" si="52"/>
        <v>0</v>
      </c>
      <c r="AO27" s="37">
        <f t="shared" si="52"/>
        <v>0</v>
      </c>
      <c r="AP27" s="37">
        <f t="shared" si="52"/>
        <v>0</v>
      </c>
      <c r="AQ27" s="37">
        <f t="shared" si="52"/>
        <v>100000</v>
      </c>
      <c r="AR27" s="37">
        <f t="shared" si="52"/>
        <v>1274000</v>
      </c>
      <c r="AS27" s="37">
        <f t="shared" si="52"/>
        <v>0</v>
      </c>
      <c r="AT27" s="37">
        <f t="shared" si="52"/>
        <v>0</v>
      </c>
      <c r="AU27" s="37">
        <f t="shared" si="52"/>
        <v>0</v>
      </c>
      <c r="AV27" s="37">
        <f t="shared" si="52"/>
        <v>1374000</v>
      </c>
      <c r="AW27" s="37">
        <f t="shared" si="52"/>
        <v>640000</v>
      </c>
      <c r="AX27" s="37">
        <f t="shared" si="52"/>
        <v>4901450</v>
      </c>
      <c r="AY27" s="37">
        <f t="shared" si="52"/>
        <v>8473000</v>
      </c>
      <c r="AZ27" s="37">
        <f t="shared" si="52"/>
        <v>4307500</v>
      </c>
      <c r="BA27" s="37">
        <f t="shared" si="52"/>
        <v>3323500</v>
      </c>
      <c r="BB27" s="37">
        <f t="shared" si="52"/>
        <v>4036000</v>
      </c>
      <c r="BC27" s="37">
        <f t="shared" si="52"/>
        <v>25681450</v>
      </c>
    </row>
    <row r="28" spans="1:55">
      <c r="A28" s="185" t="s">
        <v>96</v>
      </c>
      <c r="B28" s="8">
        <v>1</v>
      </c>
      <c r="C28" s="1" t="s">
        <v>97</v>
      </c>
      <c r="D28" s="4" t="s">
        <v>96</v>
      </c>
      <c r="E28" s="4" t="s">
        <v>98</v>
      </c>
      <c r="F28" s="4"/>
      <c r="G28" s="4">
        <v>155000</v>
      </c>
      <c r="H28" s="4">
        <v>-155000</v>
      </c>
      <c r="I28" s="4"/>
      <c r="J28" s="4"/>
      <c r="K28" s="4"/>
      <c r="L28" s="9">
        <f t="shared" ref="L28:L29" si="53">SUM(F28:K28)</f>
        <v>0</v>
      </c>
      <c r="M28" s="4"/>
      <c r="N28" s="4"/>
      <c r="O28" s="4"/>
      <c r="P28" s="4"/>
      <c r="Q28" s="4"/>
      <c r="R28" s="4"/>
      <c r="S28" s="9">
        <f t="shared" ref="S28:S29" si="54">SUM(M28:R28)</f>
        <v>0</v>
      </c>
      <c r="T28" s="4"/>
      <c r="U28" s="4"/>
      <c r="V28" s="4"/>
      <c r="W28" s="4"/>
      <c r="X28" s="4"/>
      <c r="Y28" s="4"/>
      <c r="Z28" s="9">
        <f t="shared" ref="Z28:Z29" si="55">SUM(T28:Y28)</f>
        <v>0</v>
      </c>
      <c r="AA28" s="4"/>
      <c r="AB28" s="4"/>
      <c r="AC28" s="4"/>
      <c r="AD28" s="4"/>
      <c r="AE28" s="20"/>
      <c r="AF28" s="20"/>
      <c r="AG28" s="21">
        <f t="shared" ref="AG28:AG29" si="56">SUM(AA28:AF28)</f>
        <v>0</v>
      </c>
      <c r="AH28" s="10"/>
      <c r="AI28" s="20"/>
      <c r="AJ28" s="20"/>
      <c r="AK28" s="21">
        <f t="shared" ref="AK28:AK29" si="57">SUM(AH28:AJ28)</f>
        <v>0</v>
      </c>
      <c r="AL28" s="10"/>
      <c r="AM28" s="20"/>
      <c r="AN28" s="20"/>
      <c r="AO28" s="21">
        <f t="shared" ref="AO28:AO29" si="58">SUM(AL28:AN28)</f>
        <v>0</v>
      </c>
      <c r="AP28" s="10"/>
      <c r="AQ28" s="10"/>
      <c r="AR28" s="10"/>
      <c r="AS28" s="10"/>
      <c r="AT28" s="20"/>
      <c r="AU28" s="20"/>
      <c r="AV28" s="21">
        <f t="shared" ref="AV28:AV29" si="59">SUM(AP28:AU28)</f>
        <v>0</v>
      </c>
      <c r="AW28" s="4">
        <f t="shared" ref="AW28:AY29" si="60">F28+M28+T28+AA28+AP28</f>
        <v>0</v>
      </c>
      <c r="AX28" s="4">
        <f t="shared" si="60"/>
        <v>155000</v>
      </c>
      <c r="AY28" s="4">
        <f t="shared" si="60"/>
        <v>-155000</v>
      </c>
      <c r="AZ28" s="4">
        <f>I28+P28+W28+AD28+AH28+AL28+AS28</f>
        <v>0</v>
      </c>
      <c r="BA28" s="94">
        <f>J28+Q28+X28+AE28+AI28+AM28+AT28</f>
        <v>0</v>
      </c>
      <c r="BB28" s="94">
        <f t="shared" ref="BB28:BB29" si="61">K28+R28+Y28+AF28+AJ28+AN28+AU28</f>
        <v>0</v>
      </c>
      <c r="BC28" s="9">
        <f t="shared" ref="BC28:BC29" si="62">SUM(AW28:BB28)</f>
        <v>0</v>
      </c>
    </row>
    <row r="29" spans="1:55" ht="30">
      <c r="A29" s="187"/>
      <c r="B29" s="8">
        <v>2</v>
      </c>
      <c r="C29" s="2" t="s">
        <v>99</v>
      </c>
      <c r="D29" s="4" t="s">
        <v>96</v>
      </c>
      <c r="E29" s="4" t="s">
        <v>98</v>
      </c>
      <c r="F29" s="4"/>
      <c r="G29" s="4"/>
      <c r="H29" s="5"/>
      <c r="I29" s="4"/>
      <c r="J29" s="4"/>
      <c r="K29" s="4"/>
      <c r="L29" s="9">
        <f t="shared" si="53"/>
        <v>0</v>
      </c>
      <c r="M29" s="4"/>
      <c r="N29" s="4"/>
      <c r="O29" s="4"/>
      <c r="P29" s="4"/>
      <c r="Q29" s="4"/>
      <c r="R29" s="4"/>
      <c r="S29" s="9">
        <f t="shared" si="54"/>
        <v>0</v>
      </c>
      <c r="T29" s="4"/>
      <c r="U29" s="4"/>
      <c r="V29" s="4"/>
      <c r="W29" s="4"/>
      <c r="X29" s="4"/>
      <c r="Y29" s="4"/>
      <c r="Z29" s="9">
        <f t="shared" si="55"/>
        <v>0</v>
      </c>
      <c r="AA29" s="4"/>
      <c r="AB29" s="4"/>
      <c r="AC29" s="4"/>
      <c r="AD29" s="4"/>
      <c r="AE29" s="20"/>
      <c r="AF29" s="20"/>
      <c r="AG29" s="21">
        <f t="shared" si="56"/>
        <v>0</v>
      </c>
      <c r="AH29" s="10"/>
      <c r="AI29" s="20"/>
      <c r="AJ29" s="20"/>
      <c r="AK29" s="21">
        <f t="shared" si="57"/>
        <v>0</v>
      </c>
      <c r="AL29" s="10"/>
      <c r="AM29" s="20"/>
      <c r="AN29" s="20"/>
      <c r="AO29" s="21">
        <f t="shared" si="58"/>
        <v>0</v>
      </c>
      <c r="AP29" s="10"/>
      <c r="AQ29" s="10"/>
      <c r="AR29" s="10">
        <v>100000</v>
      </c>
      <c r="AS29" s="10">
        <v>150000</v>
      </c>
      <c r="AT29" s="20"/>
      <c r="AU29" s="20"/>
      <c r="AV29" s="21">
        <f t="shared" si="59"/>
        <v>250000</v>
      </c>
      <c r="AW29" s="4">
        <f t="shared" si="60"/>
        <v>0</v>
      </c>
      <c r="AX29" s="4">
        <f t="shared" si="60"/>
        <v>0</v>
      </c>
      <c r="AY29" s="4">
        <f t="shared" si="60"/>
        <v>100000</v>
      </c>
      <c r="AZ29" s="4">
        <f>I29+P29+W29+AD29+AH29+AL29+AS29</f>
        <v>150000</v>
      </c>
      <c r="BA29" s="94">
        <f>J29+Q29+X29+AE29+AI29+AM29+AT29</f>
        <v>0</v>
      </c>
      <c r="BB29" s="94">
        <f t="shared" si="61"/>
        <v>0</v>
      </c>
      <c r="BC29" s="9">
        <f t="shared" si="62"/>
        <v>250000</v>
      </c>
    </row>
    <row r="30" spans="1:55" s="38" customFormat="1">
      <c r="A30" s="34"/>
      <c r="B30" s="34"/>
      <c r="C30" s="35" t="s">
        <v>100</v>
      </c>
      <c r="D30" s="37"/>
      <c r="E30" s="37"/>
      <c r="F30" s="37">
        <f>SUM(F28:F29)</f>
        <v>0</v>
      </c>
      <c r="G30" s="37">
        <f t="shared" ref="G30:BC30" si="63">SUM(G28:G29)</f>
        <v>155000</v>
      </c>
      <c r="H30" s="37">
        <f t="shared" si="63"/>
        <v>-155000</v>
      </c>
      <c r="I30" s="37">
        <f t="shared" si="63"/>
        <v>0</v>
      </c>
      <c r="J30" s="37">
        <f t="shared" si="63"/>
        <v>0</v>
      </c>
      <c r="K30" s="37">
        <f t="shared" si="63"/>
        <v>0</v>
      </c>
      <c r="L30" s="37">
        <f t="shared" si="63"/>
        <v>0</v>
      </c>
      <c r="M30" s="37">
        <f t="shared" si="63"/>
        <v>0</v>
      </c>
      <c r="N30" s="37">
        <f t="shared" si="63"/>
        <v>0</v>
      </c>
      <c r="O30" s="37">
        <f t="shared" si="63"/>
        <v>0</v>
      </c>
      <c r="P30" s="37">
        <f t="shared" si="63"/>
        <v>0</v>
      </c>
      <c r="Q30" s="37">
        <f t="shared" si="63"/>
        <v>0</v>
      </c>
      <c r="R30" s="37">
        <f t="shared" si="63"/>
        <v>0</v>
      </c>
      <c r="S30" s="37">
        <f t="shared" si="63"/>
        <v>0</v>
      </c>
      <c r="T30" s="37">
        <f t="shared" si="63"/>
        <v>0</v>
      </c>
      <c r="U30" s="37">
        <f t="shared" si="63"/>
        <v>0</v>
      </c>
      <c r="V30" s="37">
        <f t="shared" si="63"/>
        <v>0</v>
      </c>
      <c r="W30" s="37">
        <f t="shared" si="63"/>
        <v>0</v>
      </c>
      <c r="X30" s="37">
        <f t="shared" si="63"/>
        <v>0</v>
      </c>
      <c r="Y30" s="37">
        <f t="shared" si="63"/>
        <v>0</v>
      </c>
      <c r="Z30" s="37">
        <f t="shared" si="63"/>
        <v>0</v>
      </c>
      <c r="AA30" s="37">
        <f t="shared" si="63"/>
        <v>0</v>
      </c>
      <c r="AB30" s="37">
        <f t="shared" si="63"/>
        <v>0</v>
      </c>
      <c r="AC30" s="37">
        <f t="shared" si="63"/>
        <v>0</v>
      </c>
      <c r="AD30" s="37">
        <f t="shared" si="63"/>
        <v>0</v>
      </c>
      <c r="AE30" s="37">
        <f t="shared" si="63"/>
        <v>0</v>
      </c>
      <c r="AF30" s="37">
        <f t="shared" si="63"/>
        <v>0</v>
      </c>
      <c r="AG30" s="37">
        <f t="shared" si="63"/>
        <v>0</v>
      </c>
      <c r="AH30" s="37">
        <f t="shared" si="63"/>
        <v>0</v>
      </c>
      <c r="AI30" s="37">
        <f t="shared" si="63"/>
        <v>0</v>
      </c>
      <c r="AJ30" s="37">
        <f t="shared" si="63"/>
        <v>0</v>
      </c>
      <c r="AK30" s="37">
        <f t="shared" si="63"/>
        <v>0</v>
      </c>
      <c r="AL30" s="37">
        <f t="shared" si="63"/>
        <v>0</v>
      </c>
      <c r="AM30" s="37">
        <f t="shared" si="63"/>
        <v>0</v>
      </c>
      <c r="AN30" s="37">
        <f t="shared" si="63"/>
        <v>0</v>
      </c>
      <c r="AO30" s="37">
        <f t="shared" si="63"/>
        <v>0</v>
      </c>
      <c r="AP30" s="37">
        <f t="shared" si="63"/>
        <v>0</v>
      </c>
      <c r="AQ30" s="37">
        <f t="shared" si="63"/>
        <v>0</v>
      </c>
      <c r="AR30" s="37">
        <f t="shared" si="63"/>
        <v>100000</v>
      </c>
      <c r="AS30" s="37">
        <f t="shared" si="63"/>
        <v>150000</v>
      </c>
      <c r="AT30" s="37">
        <f t="shared" si="63"/>
        <v>0</v>
      </c>
      <c r="AU30" s="37">
        <f t="shared" si="63"/>
        <v>0</v>
      </c>
      <c r="AV30" s="37">
        <f t="shared" si="63"/>
        <v>250000</v>
      </c>
      <c r="AW30" s="37">
        <f t="shared" si="63"/>
        <v>0</v>
      </c>
      <c r="AX30" s="37">
        <f t="shared" si="63"/>
        <v>155000</v>
      </c>
      <c r="AY30" s="37">
        <f t="shared" si="63"/>
        <v>-55000</v>
      </c>
      <c r="AZ30" s="37">
        <f t="shared" si="63"/>
        <v>150000</v>
      </c>
      <c r="BA30" s="37">
        <f t="shared" si="63"/>
        <v>0</v>
      </c>
      <c r="BB30" s="37">
        <f t="shared" si="63"/>
        <v>0</v>
      </c>
      <c r="BC30" s="37">
        <f t="shared" si="63"/>
        <v>250000</v>
      </c>
    </row>
    <row r="31" spans="1:55">
      <c r="A31" s="185" t="s">
        <v>58</v>
      </c>
      <c r="B31" s="8">
        <v>1</v>
      </c>
      <c r="C31" s="1" t="s">
        <v>101</v>
      </c>
      <c r="D31" s="4" t="s">
        <v>102</v>
      </c>
      <c r="E31" s="4" t="s">
        <v>31</v>
      </c>
      <c r="F31" s="4"/>
      <c r="G31" s="4"/>
      <c r="H31" s="4">
        <v>155000</v>
      </c>
      <c r="I31" s="4">
        <v>12000</v>
      </c>
      <c r="J31" s="4"/>
      <c r="K31" s="4">
        <v>220000</v>
      </c>
      <c r="L31" s="9">
        <f t="shared" ref="L31:L33" si="64">SUM(F31:K31)</f>
        <v>387000</v>
      </c>
      <c r="M31" s="4"/>
      <c r="N31" s="4"/>
      <c r="O31" s="4"/>
      <c r="P31" s="4"/>
      <c r="Q31" s="4"/>
      <c r="R31" s="4"/>
      <c r="S31" s="9">
        <f t="shared" ref="S31:S34" si="65">SUM(M31:R31)</f>
        <v>0</v>
      </c>
      <c r="T31" s="20"/>
      <c r="U31" s="20"/>
      <c r="V31" s="20"/>
      <c r="W31" s="20"/>
      <c r="X31" s="20"/>
      <c r="Y31" s="20"/>
      <c r="Z31" s="9">
        <f t="shared" ref="Z31:Z34" si="66">SUM(T31:Y31)</f>
        <v>0</v>
      </c>
      <c r="AA31" s="20"/>
      <c r="AB31" s="20"/>
      <c r="AC31" s="20"/>
      <c r="AD31" s="20"/>
      <c r="AE31" s="20"/>
      <c r="AF31" s="20"/>
      <c r="AG31" s="21">
        <f t="shared" ref="AG31:AG34" si="67">SUM(AA31:AF31)</f>
        <v>0</v>
      </c>
      <c r="AH31" s="25"/>
      <c r="AI31" s="20"/>
      <c r="AJ31" s="20"/>
      <c r="AK31" s="21">
        <f t="shared" ref="AK31:AK34" si="68">SUM(AH31:AJ31)</f>
        <v>0</v>
      </c>
      <c r="AL31" s="25"/>
      <c r="AM31" s="20"/>
      <c r="AN31" s="20"/>
      <c r="AO31" s="21">
        <f t="shared" ref="AO31:AO34" si="69">SUM(AL31:AN31)</f>
        <v>0</v>
      </c>
      <c r="AP31" s="25"/>
      <c r="AQ31" s="25"/>
      <c r="AR31" s="25"/>
      <c r="AS31" s="25"/>
      <c r="AT31" s="20"/>
      <c r="AU31" s="20"/>
      <c r="AV31" s="21">
        <f t="shared" ref="AV31:AV34" si="70">SUM(AP31:AU31)</f>
        <v>0</v>
      </c>
      <c r="AW31" s="4">
        <f t="shared" ref="AW31:AY34" si="71">F31+M31+T31+AA31+AP31</f>
        <v>0</v>
      </c>
      <c r="AX31" s="4">
        <f t="shared" si="71"/>
        <v>0</v>
      </c>
      <c r="AY31" s="4">
        <f t="shared" si="71"/>
        <v>155000</v>
      </c>
      <c r="AZ31" s="4">
        <f t="shared" ref="AZ31:BA34" si="72">I31+P31+W31+AD31+AH31+AL31+AS31</f>
        <v>12000</v>
      </c>
      <c r="BA31" s="94">
        <f t="shared" si="72"/>
        <v>0</v>
      </c>
      <c r="BB31" s="94">
        <f t="shared" ref="BB31:BB34" si="73">K31+R31+Y31+AF31+AJ31+AN31+AU31</f>
        <v>220000</v>
      </c>
      <c r="BC31" s="9">
        <f t="shared" ref="BC31:BC34" si="74">SUM(AW31:BB31)</f>
        <v>387000</v>
      </c>
    </row>
    <row r="32" spans="1:55">
      <c r="A32" s="186"/>
      <c r="B32" s="8">
        <v>2</v>
      </c>
      <c r="C32" s="1" t="s">
        <v>103</v>
      </c>
      <c r="D32" s="4" t="s">
        <v>104</v>
      </c>
      <c r="E32" s="4" t="s">
        <v>31</v>
      </c>
      <c r="F32" s="4"/>
      <c r="G32" s="4">
        <v>155000</v>
      </c>
      <c r="H32" s="4">
        <f>33000+115933</f>
        <v>148933</v>
      </c>
      <c r="I32" s="4"/>
      <c r="J32" s="4"/>
      <c r="K32" s="4"/>
      <c r="L32" s="9">
        <f t="shared" si="64"/>
        <v>303933</v>
      </c>
      <c r="M32" s="76"/>
      <c r="N32" s="76"/>
      <c r="O32" s="76">
        <v>290000</v>
      </c>
      <c r="P32" s="76"/>
      <c r="Q32" s="4"/>
      <c r="R32" s="4"/>
      <c r="S32" s="9">
        <f t="shared" si="65"/>
        <v>290000</v>
      </c>
      <c r="T32" s="20"/>
      <c r="U32" s="20">
        <v>605000</v>
      </c>
      <c r="V32" s="4">
        <v>252000</v>
      </c>
      <c r="W32" s="22"/>
      <c r="X32" s="22"/>
      <c r="Y32" s="22"/>
      <c r="Z32" s="9">
        <f t="shared" si="66"/>
        <v>857000</v>
      </c>
      <c r="AA32" s="20"/>
      <c r="AB32" s="20">
        <v>322500</v>
      </c>
      <c r="AC32" s="25">
        <v>122950</v>
      </c>
      <c r="AD32" s="25"/>
      <c r="AE32" s="20"/>
      <c r="AF32" s="20"/>
      <c r="AG32" s="21">
        <f t="shared" si="67"/>
        <v>445450</v>
      </c>
      <c r="AH32" s="25"/>
      <c r="AI32" s="20"/>
      <c r="AJ32" s="20"/>
      <c r="AK32" s="21">
        <f t="shared" si="68"/>
        <v>0</v>
      </c>
      <c r="AL32" s="25"/>
      <c r="AM32" s="20"/>
      <c r="AN32" s="20"/>
      <c r="AO32" s="21">
        <f t="shared" si="69"/>
        <v>0</v>
      </c>
      <c r="AP32" s="25"/>
      <c r="AQ32" s="24">
        <v>100000</v>
      </c>
      <c r="AR32" s="25">
        <v>276000</v>
      </c>
      <c r="AS32" s="25"/>
      <c r="AT32" s="20"/>
      <c r="AU32" s="20"/>
      <c r="AV32" s="21">
        <f t="shared" si="70"/>
        <v>376000</v>
      </c>
      <c r="AW32" s="4">
        <f t="shared" si="71"/>
        <v>0</v>
      </c>
      <c r="AX32" s="4">
        <f t="shared" si="71"/>
        <v>1182500</v>
      </c>
      <c r="AY32" s="4">
        <f t="shared" si="71"/>
        <v>1089883</v>
      </c>
      <c r="AZ32" s="4">
        <f t="shared" si="72"/>
        <v>0</v>
      </c>
      <c r="BA32" s="94">
        <f t="shared" si="72"/>
        <v>0</v>
      </c>
      <c r="BB32" s="94">
        <f t="shared" si="73"/>
        <v>0</v>
      </c>
      <c r="BC32" s="9">
        <f t="shared" si="74"/>
        <v>2272383</v>
      </c>
    </row>
    <row r="33" spans="1:55">
      <c r="A33" s="186"/>
      <c r="B33" s="8">
        <v>3</v>
      </c>
      <c r="C33" s="1" t="s">
        <v>12</v>
      </c>
      <c r="D33" s="4" t="s">
        <v>45</v>
      </c>
      <c r="E33" s="4" t="s">
        <v>31</v>
      </c>
      <c r="F33" s="4"/>
      <c r="G33" s="4"/>
      <c r="H33" s="4">
        <v>155000</v>
      </c>
      <c r="I33" s="4">
        <v>160000</v>
      </c>
      <c r="J33" s="4"/>
      <c r="K33" s="4"/>
      <c r="L33" s="9">
        <f t="shared" si="64"/>
        <v>315000</v>
      </c>
      <c r="M33" s="76"/>
      <c r="N33" s="76"/>
      <c r="O33" s="76">
        <v>820000</v>
      </c>
      <c r="P33" s="76">
        <v>200000</v>
      </c>
      <c r="Q33" s="4"/>
      <c r="R33" s="4"/>
      <c r="S33" s="9">
        <f t="shared" si="65"/>
        <v>1020000</v>
      </c>
      <c r="T33" s="20"/>
      <c r="U33" s="20"/>
      <c r="V33" s="4">
        <v>530000</v>
      </c>
      <c r="W33" s="23">
        <v>480000</v>
      </c>
      <c r="X33" s="23"/>
      <c r="Y33" s="23"/>
      <c r="Z33" s="9">
        <f t="shared" si="66"/>
        <v>1010000</v>
      </c>
      <c r="AA33" s="20"/>
      <c r="AB33" s="20"/>
      <c r="AC33" s="20"/>
      <c r="AD33" s="20"/>
      <c r="AE33" s="20"/>
      <c r="AF33" s="20"/>
      <c r="AG33" s="21">
        <f t="shared" si="67"/>
        <v>0</v>
      </c>
      <c r="AH33" s="25"/>
      <c r="AI33" s="20"/>
      <c r="AJ33" s="20"/>
      <c r="AK33" s="21">
        <f t="shared" si="68"/>
        <v>0</v>
      </c>
      <c r="AL33" s="25"/>
      <c r="AM33" s="20"/>
      <c r="AN33" s="20"/>
      <c r="AO33" s="21">
        <f t="shared" si="69"/>
        <v>0</v>
      </c>
      <c r="AP33" s="25"/>
      <c r="AQ33" s="25"/>
      <c r="AR33" s="25"/>
      <c r="AS33" s="25"/>
      <c r="AT33" s="20"/>
      <c r="AU33" s="20"/>
      <c r="AV33" s="21">
        <f t="shared" si="70"/>
        <v>0</v>
      </c>
      <c r="AW33" s="4">
        <f t="shared" si="71"/>
        <v>0</v>
      </c>
      <c r="AX33" s="4">
        <f t="shared" si="71"/>
        <v>0</v>
      </c>
      <c r="AY33" s="4">
        <f t="shared" si="71"/>
        <v>1505000</v>
      </c>
      <c r="AZ33" s="4">
        <f t="shared" si="72"/>
        <v>840000</v>
      </c>
      <c r="BA33" s="94">
        <f t="shared" si="72"/>
        <v>0</v>
      </c>
      <c r="BB33" s="94">
        <f t="shared" si="73"/>
        <v>0</v>
      </c>
      <c r="BC33" s="9">
        <f t="shared" si="74"/>
        <v>2345000</v>
      </c>
    </row>
    <row r="34" spans="1:55">
      <c r="A34" s="187"/>
      <c r="B34" s="8">
        <v>4</v>
      </c>
      <c r="C34" s="1" t="s">
        <v>478</v>
      </c>
      <c r="D34" s="4" t="s">
        <v>102</v>
      </c>
      <c r="E34" s="4" t="s">
        <v>31</v>
      </c>
      <c r="F34" s="4"/>
      <c r="G34" s="4"/>
      <c r="H34" s="4"/>
      <c r="I34" s="4"/>
      <c r="J34" s="4"/>
      <c r="K34" s="4"/>
      <c r="L34" s="9"/>
      <c r="M34" s="76"/>
      <c r="N34" s="76"/>
      <c r="O34" s="76"/>
      <c r="P34" s="76"/>
      <c r="Q34" s="4">
        <v>-3000000</v>
      </c>
      <c r="R34" s="4"/>
      <c r="S34" s="9">
        <f t="shared" si="65"/>
        <v>-3000000</v>
      </c>
      <c r="T34" s="20"/>
      <c r="U34" s="20"/>
      <c r="V34" s="4"/>
      <c r="W34" s="23"/>
      <c r="X34" s="23"/>
      <c r="Y34" s="23"/>
      <c r="Z34" s="9">
        <f t="shared" si="66"/>
        <v>0</v>
      </c>
      <c r="AA34" s="20"/>
      <c r="AB34" s="20"/>
      <c r="AC34" s="20"/>
      <c r="AD34" s="20"/>
      <c r="AE34" s="20"/>
      <c r="AF34" s="20"/>
      <c r="AG34" s="21">
        <f t="shared" si="67"/>
        <v>0</v>
      </c>
      <c r="AH34" s="25"/>
      <c r="AI34" s="20"/>
      <c r="AJ34" s="20"/>
      <c r="AK34" s="21">
        <f t="shared" si="68"/>
        <v>0</v>
      </c>
      <c r="AL34" s="25"/>
      <c r="AM34" s="20"/>
      <c r="AN34" s="20"/>
      <c r="AO34" s="21">
        <f t="shared" si="69"/>
        <v>0</v>
      </c>
      <c r="AP34" s="25"/>
      <c r="AQ34" s="25"/>
      <c r="AR34" s="25"/>
      <c r="AS34" s="25"/>
      <c r="AT34" s="20"/>
      <c r="AU34" s="20"/>
      <c r="AV34" s="21">
        <f t="shared" si="70"/>
        <v>0</v>
      </c>
      <c r="AW34" s="4">
        <f t="shared" si="71"/>
        <v>0</v>
      </c>
      <c r="AX34" s="4">
        <f t="shared" si="71"/>
        <v>0</v>
      </c>
      <c r="AY34" s="4">
        <f t="shared" si="71"/>
        <v>0</v>
      </c>
      <c r="AZ34" s="4">
        <f t="shared" si="72"/>
        <v>0</v>
      </c>
      <c r="BA34" s="94">
        <f t="shared" si="72"/>
        <v>-3000000</v>
      </c>
      <c r="BB34" s="94">
        <f t="shared" si="73"/>
        <v>0</v>
      </c>
      <c r="BC34" s="9">
        <f t="shared" si="74"/>
        <v>-3000000</v>
      </c>
    </row>
    <row r="35" spans="1:55" s="38" customFormat="1">
      <c r="A35" s="34"/>
      <c r="B35" s="34"/>
      <c r="C35" s="35" t="s">
        <v>107</v>
      </c>
      <c r="D35" s="37"/>
      <c r="E35" s="37"/>
      <c r="F35" s="37">
        <f t="shared" ref="F35:L35" si="75">SUM(F31:F33)</f>
        <v>0</v>
      </c>
      <c r="G35" s="37">
        <f t="shared" si="75"/>
        <v>155000</v>
      </c>
      <c r="H35" s="37">
        <f t="shared" si="75"/>
        <v>458933</v>
      </c>
      <c r="I35" s="37">
        <f t="shared" si="75"/>
        <v>172000</v>
      </c>
      <c r="J35" s="37">
        <f t="shared" si="75"/>
        <v>0</v>
      </c>
      <c r="K35" s="37">
        <f t="shared" si="75"/>
        <v>220000</v>
      </c>
      <c r="L35" s="37">
        <f t="shared" si="75"/>
        <v>1005933</v>
      </c>
      <c r="M35" s="37">
        <f>SUM(M31:M34)</f>
        <v>0</v>
      </c>
      <c r="N35" s="37">
        <f t="shared" ref="N35:BC35" si="76">SUM(N31:N34)</f>
        <v>0</v>
      </c>
      <c r="O35" s="37">
        <f t="shared" si="76"/>
        <v>1110000</v>
      </c>
      <c r="P35" s="37">
        <f t="shared" si="76"/>
        <v>200000</v>
      </c>
      <c r="Q35" s="37">
        <f t="shared" si="76"/>
        <v>-3000000</v>
      </c>
      <c r="R35" s="37">
        <f t="shared" si="76"/>
        <v>0</v>
      </c>
      <c r="S35" s="37">
        <f t="shared" si="76"/>
        <v>-1690000</v>
      </c>
      <c r="T35" s="37">
        <f t="shared" si="76"/>
        <v>0</v>
      </c>
      <c r="U35" s="37">
        <f t="shared" si="76"/>
        <v>605000</v>
      </c>
      <c r="V35" s="37">
        <f t="shared" si="76"/>
        <v>782000</v>
      </c>
      <c r="W35" s="37">
        <f t="shared" si="76"/>
        <v>480000</v>
      </c>
      <c r="X35" s="37">
        <f t="shared" si="76"/>
        <v>0</v>
      </c>
      <c r="Y35" s="37">
        <f t="shared" si="76"/>
        <v>0</v>
      </c>
      <c r="Z35" s="37">
        <f t="shared" si="76"/>
        <v>1867000</v>
      </c>
      <c r="AA35" s="37">
        <f t="shared" si="76"/>
        <v>0</v>
      </c>
      <c r="AB35" s="37">
        <f t="shared" si="76"/>
        <v>322500</v>
      </c>
      <c r="AC35" s="37">
        <f t="shared" si="76"/>
        <v>122950</v>
      </c>
      <c r="AD35" s="37">
        <f t="shared" si="76"/>
        <v>0</v>
      </c>
      <c r="AE35" s="37">
        <f t="shared" si="76"/>
        <v>0</v>
      </c>
      <c r="AF35" s="37">
        <f t="shared" si="76"/>
        <v>0</v>
      </c>
      <c r="AG35" s="37">
        <f t="shared" si="76"/>
        <v>445450</v>
      </c>
      <c r="AH35" s="37">
        <f t="shared" si="76"/>
        <v>0</v>
      </c>
      <c r="AI35" s="37">
        <f t="shared" si="76"/>
        <v>0</v>
      </c>
      <c r="AJ35" s="37">
        <f t="shared" si="76"/>
        <v>0</v>
      </c>
      <c r="AK35" s="37">
        <f t="shared" si="76"/>
        <v>0</v>
      </c>
      <c r="AL35" s="37">
        <f t="shared" si="76"/>
        <v>0</v>
      </c>
      <c r="AM35" s="37">
        <f t="shared" si="76"/>
        <v>0</v>
      </c>
      <c r="AN35" s="37">
        <f t="shared" si="76"/>
        <v>0</v>
      </c>
      <c r="AO35" s="37">
        <f t="shared" si="76"/>
        <v>0</v>
      </c>
      <c r="AP35" s="37">
        <f t="shared" si="76"/>
        <v>0</v>
      </c>
      <c r="AQ35" s="37">
        <f t="shared" si="76"/>
        <v>100000</v>
      </c>
      <c r="AR35" s="37">
        <f t="shared" si="76"/>
        <v>276000</v>
      </c>
      <c r="AS35" s="37">
        <f t="shared" si="76"/>
        <v>0</v>
      </c>
      <c r="AT35" s="37">
        <f t="shared" si="76"/>
        <v>0</v>
      </c>
      <c r="AU35" s="37">
        <f t="shared" si="76"/>
        <v>0</v>
      </c>
      <c r="AV35" s="37">
        <f t="shared" si="76"/>
        <v>376000</v>
      </c>
      <c r="AW35" s="37">
        <f t="shared" si="76"/>
        <v>0</v>
      </c>
      <c r="AX35" s="37">
        <f t="shared" si="76"/>
        <v>1182500</v>
      </c>
      <c r="AY35" s="37">
        <f t="shared" si="76"/>
        <v>2749883</v>
      </c>
      <c r="AZ35" s="37">
        <f t="shared" si="76"/>
        <v>852000</v>
      </c>
      <c r="BA35" s="37">
        <f t="shared" si="76"/>
        <v>-3000000</v>
      </c>
      <c r="BB35" s="37">
        <f t="shared" si="76"/>
        <v>220000</v>
      </c>
      <c r="BC35" s="37">
        <f t="shared" si="76"/>
        <v>2004383</v>
      </c>
    </row>
    <row r="36" spans="1:55">
      <c r="A36" s="185" t="s">
        <v>108</v>
      </c>
      <c r="B36" s="8">
        <v>1</v>
      </c>
      <c r="C36" s="1" t="s">
        <v>110</v>
      </c>
      <c r="D36" s="4" t="s">
        <v>108</v>
      </c>
      <c r="E36" s="4" t="s">
        <v>108</v>
      </c>
      <c r="F36" s="4">
        <v>155000</v>
      </c>
      <c r="G36" s="4">
        <v>368500</v>
      </c>
      <c r="H36" s="4">
        <f>44000+22000+8000+140000</f>
        <v>214000</v>
      </c>
      <c r="I36" s="4">
        <v>180000</v>
      </c>
      <c r="J36" s="4"/>
      <c r="K36" s="4"/>
      <c r="L36" s="9">
        <f t="shared" ref="L36:L44" si="77">SUM(F36:K36)</f>
        <v>917500</v>
      </c>
      <c r="M36" s="4"/>
      <c r="N36" s="4"/>
      <c r="O36" s="4"/>
      <c r="P36" s="4"/>
      <c r="Q36" s="4"/>
      <c r="R36" s="4"/>
      <c r="S36" s="9">
        <f t="shared" ref="S36:S44" si="78">SUM(M36:R36)</f>
        <v>0</v>
      </c>
      <c r="T36" s="20"/>
      <c r="U36" s="20"/>
      <c r="V36" s="20"/>
      <c r="W36" s="20"/>
      <c r="X36" s="20"/>
      <c r="Y36" s="20"/>
      <c r="Z36" s="9">
        <f t="shared" ref="Z36:Z44" si="79">SUM(T36:Y36)</f>
        <v>0</v>
      </c>
      <c r="AA36" s="20"/>
      <c r="AB36" s="20"/>
      <c r="AC36" s="20"/>
      <c r="AD36" s="20"/>
      <c r="AE36" s="20"/>
      <c r="AF36" s="20"/>
      <c r="AG36" s="21">
        <f t="shared" ref="AG36:AG44" si="80">SUM(AA36:AF36)</f>
        <v>0</v>
      </c>
      <c r="AH36" s="25"/>
      <c r="AI36" s="20"/>
      <c r="AJ36" s="20"/>
      <c r="AK36" s="21">
        <f t="shared" ref="AK36:AK44" si="81">SUM(AH36:AJ36)</f>
        <v>0</v>
      </c>
      <c r="AL36" s="25"/>
      <c r="AM36" s="20"/>
      <c r="AN36" s="20"/>
      <c r="AO36" s="21">
        <f t="shared" ref="AO36:AO44" si="82">SUM(AL36:AN36)</f>
        <v>0</v>
      </c>
      <c r="AP36" s="25"/>
      <c r="AQ36" s="25"/>
      <c r="AR36" s="25"/>
      <c r="AS36" s="25"/>
      <c r="AT36" s="20"/>
      <c r="AU36" s="20"/>
      <c r="AV36" s="21">
        <f t="shared" ref="AV36:AV44" si="83">SUM(AP36:AU36)</f>
        <v>0</v>
      </c>
      <c r="AW36" s="4">
        <f t="shared" ref="AW36:AW44" si="84">F36+M36+T36+AA36+AP36</f>
        <v>155000</v>
      </c>
      <c r="AX36" s="4">
        <f t="shared" ref="AX36:AX44" si="85">G36+N36+U36+AB36+AQ36</f>
        <v>368500</v>
      </c>
      <c r="AY36" s="4">
        <f t="shared" ref="AY36:AY44" si="86">H36+O36+V36+AC36+AR36</f>
        <v>214000</v>
      </c>
      <c r="AZ36" s="4">
        <f t="shared" ref="AZ36:AZ44" si="87">I36+P36+W36+AD36+AH36+AL36+AS36</f>
        <v>180000</v>
      </c>
      <c r="BA36" s="94">
        <f t="shared" ref="BA36:BA44" si="88">J36+Q36+X36+AE36+AI36+AM36+AT36</f>
        <v>0</v>
      </c>
      <c r="BB36" s="94">
        <f t="shared" ref="BB36:BB44" si="89">K36+R36+Y36+AF36+AJ36+AN36+AU36</f>
        <v>0</v>
      </c>
      <c r="BC36" s="9">
        <f t="shared" ref="BC36:BC44" si="90">SUM(AW36:BB36)</f>
        <v>917500</v>
      </c>
    </row>
    <row r="37" spans="1:55" ht="31.5">
      <c r="A37" s="186"/>
      <c r="B37" s="8">
        <v>2</v>
      </c>
      <c r="C37" s="1" t="s">
        <v>111</v>
      </c>
      <c r="D37" s="4" t="s">
        <v>108</v>
      </c>
      <c r="E37" s="4" t="s">
        <v>108</v>
      </c>
      <c r="F37" s="4"/>
      <c r="G37" s="4"/>
      <c r="H37" s="4"/>
      <c r="I37" s="4"/>
      <c r="J37" s="4"/>
      <c r="K37" s="4"/>
      <c r="L37" s="9">
        <f t="shared" si="77"/>
        <v>0</v>
      </c>
      <c r="M37" s="4"/>
      <c r="N37" s="4"/>
      <c r="O37" s="4"/>
      <c r="P37" s="4"/>
      <c r="Q37" s="4"/>
      <c r="R37" s="4"/>
      <c r="S37" s="9">
        <f t="shared" si="78"/>
        <v>0</v>
      </c>
      <c r="T37" s="20"/>
      <c r="U37" s="20"/>
      <c r="V37" s="20"/>
      <c r="W37" s="20"/>
      <c r="X37" s="20"/>
      <c r="Y37" s="20"/>
      <c r="Z37" s="9">
        <f t="shared" si="79"/>
        <v>0</v>
      </c>
      <c r="AA37" s="20"/>
      <c r="AB37" s="24">
        <v>354300</v>
      </c>
      <c r="AC37" s="24">
        <f>32950+112000</f>
        <v>144950</v>
      </c>
      <c r="AD37" s="24"/>
      <c r="AE37" s="20"/>
      <c r="AF37" s="20"/>
      <c r="AG37" s="21">
        <f t="shared" si="80"/>
        <v>499250</v>
      </c>
      <c r="AH37" s="25"/>
      <c r="AI37" s="20"/>
      <c r="AJ37" s="20"/>
      <c r="AK37" s="21">
        <f t="shared" si="81"/>
        <v>0</v>
      </c>
      <c r="AL37" s="25"/>
      <c r="AM37" s="20"/>
      <c r="AN37" s="20"/>
      <c r="AO37" s="21">
        <f t="shared" si="82"/>
        <v>0</v>
      </c>
      <c r="AP37" s="25"/>
      <c r="AQ37" s="25"/>
      <c r="AR37" s="25"/>
      <c r="AS37" s="25"/>
      <c r="AT37" s="20"/>
      <c r="AU37" s="20"/>
      <c r="AV37" s="21">
        <f t="shared" si="83"/>
        <v>0</v>
      </c>
      <c r="AW37" s="4">
        <f t="shared" si="84"/>
        <v>0</v>
      </c>
      <c r="AX37" s="4">
        <f t="shared" si="85"/>
        <v>354300</v>
      </c>
      <c r="AY37" s="4">
        <f t="shared" si="86"/>
        <v>144950</v>
      </c>
      <c r="AZ37" s="4">
        <f t="shared" si="87"/>
        <v>0</v>
      </c>
      <c r="BA37" s="94">
        <f t="shared" si="88"/>
        <v>0</v>
      </c>
      <c r="BB37" s="94">
        <f t="shared" si="89"/>
        <v>0</v>
      </c>
      <c r="BC37" s="9">
        <f t="shared" si="90"/>
        <v>499250</v>
      </c>
    </row>
    <row r="38" spans="1:55">
      <c r="A38" s="186"/>
      <c r="B38" s="8">
        <v>3</v>
      </c>
      <c r="C38" s="40" t="s">
        <v>112</v>
      </c>
      <c r="D38" s="4" t="s">
        <v>108</v>
      </c>
      <c r="E38" s="4" t="s">
        <v>108</v>
      </c>
      <c r="F38" s="4"/>
      <c r="G38" s="4"/>
      <c r="H38" s="4"/>
      <c r="I38" s="4"/>
      <c r="J38" s="4"/>
      <c r="K38" s="4"/>
      <c r="L38" s="9">
        <f t="shared" si="77"/>
        <v>0</v>
      </c>
      <c r="M38" s="76">
        <v>290000</v>
      </c>
      <c r="N38" s="76">
        <v>2200000</v>
      </c>
      <c r="O38" s="76">
        <v>1200000</v>
      </c>
      <c r="P38" s="76">
        <v>700000</v>
      </c>
      <c r="Q38" s="4">
        <f>280000+150000+150000+150000</f>
        <v>730000</v>
      </c>
      <c r="R38" s="4">
        <v>750000</v>
      </c>
      <c r="S38" s="9">
        <f t="shared" si="78"/>
        <v>5870000</v>
      </c>
      <c r="T38" s="20"/>
      <c r="U38" s="20"/>
      <c r="V38" s="20"/>
      <c r="W38" s="20"/>
      <c r="X38" s="20"/>
      <c r="Y38" s="20"/>
      <c r="Z38" s="9">
        <f t="shared" si="79"/>
        <v>0</v>
      </c>
      <c r="AA38" s="20"/>
      <c r="AB38" s="24"/>
      <c r="AC38" s="24"/>
      <c r="AD38" s="24"/>
      <c r="AE38" s="20"/>
      <c r="AF38" s="20"/>
      <c r="AG38" s="21">
        <f t="shared" si="80"/>
        <v>0</v>
      </c>
      <c r="AH38" s="25"/>
      <c r="AI38" s="20"/>
      <c r="AJ38" s="20"/>
      <c r="AK38" s="21">
        <f t="shared" si="81"/>
        <v>0</v>
      </c>
      <c r="AL38" s="25"/>
      <c r="AM38" s="20"/>
      <c r="AN38" s="20"/>
      <c r="AO38" s="21">
        <f t="shared" si="82"/>
        <v>0</v>
      </c>
      <c r="AP38" s="25"/>
      <c r="AQ38" s="25"/>
      <c r="AR38" s="25"/>
      <c r="AS38" s="25"/>
      <c r="AT38" s="20"/>
      <c r="AU38" s="20"/>
      <c r="AV38" s="21">
        <f t="shared" si="83"/>
        <v>0</v>
      </c>
      <c r="AW38" s="4">
        <f t="shared" si="84"/>
        <v>290000</v>
      </c>
      <c r="AX38" s="4">
        <f t="shared" si="85"/>
        <v>2200000</v>
      </c>
      <c r="AY38" s="4">
        <f t="shared" si="86"/>
        <v>1200000</v>
      </c>
      <c r="AZ38" s="4">
        <f t="shared" si="87"/>
        <v>700000</v>
      </c>
      <c r="BA38" s="94">
        <f t="shared" si="88"/>
        <v>730000</v>
      </c>
      <c r="BB38" s="94">
        <f t="shared" si="89"/>
        <v>750000</v>
      </c>
      <c r="BC38" s="9">
        <f t="shared" si="90"/>
        <v>5870000</v>
      </c>
    </row>
    <row r="39" spans="1:55">
      <c r="A39" s="186"/>
      <c r="B39" s="8">
        <v>4</v>
      </c>
      <c r="C39" s="1" t="s">
        <v>113</v>
      </c>
      <c r="D39" s="41" t="s">
        <v>114</v>
      </c>
      <c r="E39" s="4" t="s">
        <v>108</v>
      </c>
      <c r="F39" s="4"/>
      <c r="G39" s="4"/>
      <c r="H39" s="4"/>
      <c r="I39" s="4"/>
      <c r="J39" s="4"/>
      <c r="K39" s="4"/>
      <c r="L39" s="9">
        <f t="shared" si="77"/>
        <v>0</v>
      </c>
      <c r="M39" s="4"/>
      <c r="N39" s="4"/>
      <c r="O39" s="4"/>
      <c r="P39" s="4"/>
      <c r="Q39" s="4"/>
      <c r="R39" s="4"/>
      <c r="S39" s="9">
        <f t="shared" si="78"/>
        <v>0</v>
      </c>
      <c r="T39" s="20"/>
      <c r="U39" s="20"/>
      <c r="V39" s="20"/>
      <c r="W39" s="20"/>
      <c r="X39" s="20"/>
      <c r="Y39" s="20"/>
      <c r="Z39" s="9">
        <f t="shared" si="79"/>
        <v>0</v>
      </c>
      <c r="AA39" s="20"/>
      <c r="AB39" s="24"/>
      <c r="AC39" s="24">
        <v>199000</v>
      </c>
      <c r="AD39" s="24">
        <v>92000</v>
      </c>
      <c r="AE39" s="20"/>
      <c r="AF39" s="20"/>
      <c r="AG39" s="21">
        <f t="shared" si="80"/>
        <v>291000</v>
      </c>
      <c r="AH39" s="25"/>
      <c r="AI39" s="20"/>
      <c r="AJ39" s="20"/>
      <c r="AK39" s="21">
        <f t="shared" si="81"/>
        <v>0</v>
      </c>
      <c r="AL39" s="25"/>
      <c r="AM39" s="20"/>
      <c r="AN39" s="20"/>
      <c r="AO39" s="21">
        <f t="shared" si="82"/>
        <v>0</v>
      </c>
      <c r="AP39" s="25"/>
      <c r="AQ39" s="25"/>
      <c r="AR39" s="25"/>
      <c r="AS39" s="25"/>
      <c r="AT39" s="20"/>
      <c r="AU39" s="20"/>
      <c r="AV39" s="21">
        <f t="shared" si="83"/>
        <v>0</v>
      </c>
      <c r="AW39" s="4">
        <f t="shared" si="84"/>
        <v>0</v>
      </c>
      <c r="AX39" s="4">
        <f t="shared" si="85"/>
        <v>0</v>
      </c>
      <c r="AY39" s="4">
        <f t="shared" si="86"/>
        <v>199000</v>
      </c>
      <c r="AZ39" s="4">
        <f t="shared" si="87"/>
        <v>92000</v>
      </c>
      <c r="BA39" s="94">
        <f t="shared" si="88"/>
        <v>0</v>
      </c>
      <c r="BB39" s="94">
        <f t="shared" si="89"/>
        <v>0</v>
      </c>
      <c r="BC39" s="9">
        <f t="shared" si="90"/>
        <v>291000</v>
      </c>
    </row>
    <row r="40" spans="1:55">
      <c r="A40" s="186"/>
      <c r="B40" s="8">
        <v>5</v>
      </c>
      <c r="C40" s="1" t="s">
        <v>115</v>
      </c>
      <c r="D40" s="4" t="s">
        <v>116</v>
      </c>
      <c r="E40" s="4" t="s">
        <v>108</v>
      </c>
      <c r="F40" s="4">
        <v>155000</v>
      </c>
      <c r="G40" s="4">
        <v>395500</v>
      </c>
      <c r="H40" s="4">
        <v>303500</v>
      </c>
      <c r="I40" s="4">
        <f>60000+20000</f>
        <v>80000</v>
      </c>
      <c r="J40" s="4"/>
      <c r="K40" s="4"/>
      <c r="L40" s="9">
        <f t="shared" si="77"/>
        <v>934000</v>
      </c>
      <c r="M40" s="4"/>
      <c r="N40" s="4"/>
      <c r="O40" s="4"/>
      <c r="P40" s="4"/>
      <c r="Q40" s="4"/>
      <c r="R40" s="4"/>
      <c r="S40" s="9">
        <f t="shared" si="78"/>
        <v>0</v>
      </c>
      <c r="T40" s="20">
        <v>290000</v>
      </c>
      <c r="U40" s="22">
        <v>364000</v>
      </c>
      <c r="V40" s="4">
        <v>404000</v>
      </c>
      <c r="W40" s="22">
        <v>248000</v>
      </c>
      <c r="X40" s="22"/>
      <c r="Y40" s="22"/>
      <c r="Z40" s="9">
        <f t="shared" si="79"/>
        <v>1306000</v>
      </c>
      <c r="AA40" s="20">
        <v>195000</v>
      </c>
      <c r="AB40" s="24">
        <f>438600+4000</f>
        <v>442600</v>
      </c>
      <c r="AC40" s="24">
        <v>449800</v>
      </c>
      <c r="AD40" s="24">
        <v>150000</v>
      </c>
      <c r="AE40" s="20"/>
      <c r="AF40" s="20"/>
      <c r="AG40" s="21">
        <f t="shared" si="80"/>
        <v>1237400</v>
      </c>
      <c r="AH40" s="25">
        <v>409500</v>
      </c>
      <c r="AI40" s="20">
        <f>154000+241500+147000</f>
        <v>542500</v>
      </c>
      <c r="AJ40" s="20">
        <f>961500+122600+122600+122600</f>
        <v>1329300</v>
      </c>
      <c r="AK40" s="21">
        <f t="shared" si="81"/>
        <v>2281300</v>
      </c>
      <c r="AL40" s="25"/>
      <c r="AM40" s="20"/>
      <c r="AN40" s="20"/>
      <c r="AO40" s="21">
        <f t="shared" si="82"/>
        <v>0</v>
      </c>
      <c r="AP40" s="25"/>
      <c r="AQ40" s="25"/>
      <c r="AR40" s="25">
        <v>100000</v>
      </c>
      <c r="AS40" s="25"/>
      <c r="AT40" s="20"/>
      <c r="AU40" s="20"/>
      <c r="AV40" s="21">
        <f t="shared" si="83"/>
        <v>100000</v>
      </c>
      <c r="AW40" s="4">
        <f t="shared" si="84"/>
        <v>640000</v>
      </c>
      <c r="AX40" s="4">
        <f t="shared" si="85"/>
        <v>1202100</v>
      </c>
      <c r="AY40" s="4">
        <f t="shared" si="86"/>
        <v>1257300</v>
      </c>
      <c r="AZ40" s="4">
        <f t="shared" si="87"/>
        <v>887500</v>
      </c>
      <c r="BA40" s="94">
        <f t="shared" si="88"/>
        <v>542500</v>
      </c>
      <c r="BB40" s="94">
        <f t="shared" si="89"/>
        <v>1329300</v>
      </c>
      <c r="BC40" s="9">
        <f t="shared" si="90"/>
        <v>5858700</v>
      </c>
    </row>
    <row r="41" spans="1:55">
      <c r="A41" s="186"/>
      <c r="B41" s="8">
        <v>6</v>
      </c>
      <c r="C41" s="1" t="s">
        <v>115</v>
      </c>
      <c r="D41" s="4" t="s">
        <v>116</v>
      </c>
      <c r="E41" s="4" t="s">
        <v>108</v>
      </c>
      <c r="F41" s="4"/>
      <c r="G41" s="4"/>
      <c r="H41" s="4"/>
      <c r="I41" s="4"/>
      <c r="J41" s="4"/>
      <c r="K41" s="4"/>
      <c r="L41" s="9">
        <f t="shared" si="77"/>
        <v>0</v>
      </c>
      <c r="M41" s="4"/>
      <c r="N41" s="4"/>
      <c r="O41" s="4"/>
      <c r="P41" s="4"/>
      <c r="Q41" s="4"/>
      <c r="R41" s="4"/>
      <c r="S41" s="9">
        <f t="shared" si="78"/>
        <v>0</v>
      </c>
      <c r="T41" s="20"/>
      <c r="U41" s="26"/>
      <c r="V41" s="22"/>
      <c r="W41" s="22"/>
      <c r="X41" s="22"/>
      <c r="Y41" s="22"/>
      <c r="Z41" s="9">
        <f t="shared" si="79"/>
        <v>0</v>
      </c>
      <c r="AA41" s="20"/>
      <c r="AB41" s="24">
        <v>195000</v>
      </c>
      <c r="AC41" s="24"/>
      <c r="AD41" s="24"/>
      <c r="AE41" s="20"/>
      <c r="AF41" s="20"/>
      <c r="AG41" s="21">
        <f t="shared" si="80"/>
        <v>195000</v>
      </c>
      <c r="AH41" s="25"/>
      <c r="AI41" s="20"/>
      <c r="AJ41" s="20"/>
      <c r="AK41" s="21">
        <f t="shared" si="81"/>
        <v>0</v>
      </c>
      <c r="AL41" s="25"/>
      <c r="AM41" s="20"/>
      <c r="AN41" s="20"/>
      <c r="AO41" s="21">
        <f t="shared" si="82"/>
        <v>0</v>
      </c>
      <c r="AP41" s="25"/>
      <c r="AQ41" s="25"/>
      <c r="AR41" s="25"/>
      <c r="AS41" s="25"/>
      <c r="AT41" s="20"/>
      <c r="AU41" s="20"/>
      <c r="AV41" s="21">
        <f t="shared" si="83"/>
        <v>0</v>
      </c>
      <c r="AW41" s="4">
        <f t="shared" si="84"/>
        <v>0</v>
      </c>
      <c r="AX41" s="4">
        <f t="shared" si="85"/>
        <v>195000</v>
      </c>
      <c r="AY41" s="4">
        <f t="shared" si="86"/>
        <v>0</v>
      </c>
      <c r="AZ41" s="4">
        <f t="shared" si="87"/>
        <v>0</v>
      </c>
      <c r="BA41" s="94">
        <f t="shared" si="88"/>
        <v>0</v>
      </c>
      <c r="BB41" s="94">
        <f t="shared" si="89"/>
        <v>0</v>
      </c>
      <c r="BC41" s="9">
        <f t="shared" si="90"/>
        <v>195000</v>
      </c>
    </row>
    <row r="42" spans="1:55" ht="31.5">
      <c r="A42" s="186"/>
      <c r="B42" s="8">
        <v>7</v>
      </c>
      <c r="C42" s="1" t="s">
        <v>117</v>
      </c>
      <c r="D42" s="4" t="s">
        <v>114</v>
      </c>
      <c r="E42" s="4" t="s">
        <v>108</v>
      </c>
      <c r="F42" s="4"/>
      <c r="G42" s="4"/>
      <c r="H42" s="4"/>
      <c r="I42" s="4"/>
      <c r="J42" s="4"/>
      <c r="K42" s="4"/>
      <c r="L42" s="9">
        <f t="shared" si="77"/>
        <v>0</v>
      </c>
      <c r="M42" s="76"/>
      <c r="N42" s="76">
        <v>290000</v>
      </c>
      <c r="O42" s="76">
        <v>-290000</v>
      </c>
      <c r="P42" s="76">
        <v>913500</v>
      </c>
      <c r="Q42" s="4"/>
      <c r="R42" s="4"/>
      <c r="S42" s="9">
        <f t="shared" si="78"/>
        <v>913500</v>
      </c>
      <c r="T42" s="20"/>
      <c r="U42" s="20"/>
      <c r="V42" s="20"/>
      <c r="W42" s="20"/>
      <c r="X42" s="20"/>
      <c r="Y42" s="20"/>
      <c r="Z42" s="9">
        <f t="shared" si="79"/>
        <v>0</v>
      </c>
      <c r="AA42" s="20"/>
      <c r="AB42" s="24"/>
      <c r="AC42" s="24"/>
      <c r="AD42" s="24"/>
      <c r="AE42" s="20"/>
      <c r="AF42" s="20"/>
      <c r="AG42" s="21">
        <f t="shared" si="80"/>
        <v>0</v>
      </c>
      <c r="AH42" s="25"/>
      <c r="AI42" s="20"/>
      <c r="AJ42" s="20"/>
      <c r="AK42" s="21">
        <f t="shared" si="81"/>
        <v>0</v>
      </c>
      <c r="AL42" s="25"/>
      <c r="AM42" s="20"/>
      <c r="AN42" s="20"/>
      <c r="AO42" s="21">
        <f t="shared" si="82"/>
        <v>0</v>
      </c>
      <c r="AP42" s="25"/>
      <c r="AQ42" s="25"/>
      <c r="AR42" s="25"/>
      <c r="AS42" s="25"/>
      <c r="AT42" s="20"/>
      <c r="AU42" s="20"/>
      <c r="AV42" s="21">
        <f t="shared" si="83"/>
        <v>0</v>
      </c>
      <c r="AW42" s="4">
        <f t="shared" si="84"/>
        <v>0</v>
      </c>
      <c r="AX42" s="4">
        <f t="shared" si="85"/>
        <v>290000</v>
      </c>
      <c r="AY42" s="4">
        <f t="shared" si="86"/>
        <v>-290000</v>
      </c>
      <c r="AZ42" s="4">
        <f t="shared" si="87"/>
        <v>913500</v>
      </c>
      <c r="BA42" s="94">
        <f t="shared" si="88"/>
        <v>0</v>
      </c>
      <c r="BB42" s="94">
        <f t="shared" si="89"/>
        <v>0</v>
      </c>
      <c r="BC42" s="9">
        <f t="shared" si="90"/>
        <v>913500</v>
      </c>
    </row>
    <row r="43" spans="1:55">
      <c r="A43" s="186"/>
      <c r="B43" s="8">
        <v>8</v>
      </c>
      <c r="C43" s="1" t="s">
        <v>118</v>
      </c>
      <c r="D43" s="4" t="s">
        <v>108</v>
      </c>
      <c r="E43" s="4" t="s">
        <v>108</v>
      </c>
      <c r="F43" s="4"/>
      <c r="G43" s="4"/>
      <c r="H43" s="4">
        <f>155000+40000</f>
        <v>195000</v>
      </c>
      <c r="I43" s="4">
        <v>371000</v>
      </c>
      <c r="J43" s="4">
        <f>40500+87500+100500+100500+49000</f>
        <v>378000</v>
      </c>
      <c r="K43" s="4">
        <f>292500+145400+36000</f>
        <v>473900</v>
      </c>
      <c r="L43" s="9">
        <f t="shared" si="77"/>
        <v>1417900</v>
      </c>
      <c r="M43" s="4"/>
      <c r="N43" s="4"/>
      <c r="O43" s="4"/>
      <c r="P43" s="4"/>
      <c r="Q43" s="4"/>
      <c r="R43" s="4"/>
      <c r="S43" s="9">
        <f t="shared" si="78"/>
        <v>0</v>
      </c>
      <c r="T43" s="20"/>
      <c r="U43" s="20"/>
      <c r="V43" s="20"/>
      <c r="W43" s="20"/>
      <c r="X43" s="20"/>
      <c r="Y43" s="20"/>
      <c r="Z43" s="9">
        <f t="shared" si="79"/>
        <v>0</v>
      </c>
      <c r="AA43" s="20"/>
      <c r="AB43" s="20"/>
      <c r="AC43" s="20"/>
      <c r="AD43" s="20"/>
      <c r="AE43" s="20"/>
      <c r="AF43" s="20"/>
      <c r="AG43" s="21">
        <f t="shared" si="80"/>
        <v>0</v>
      </c>
      <c r="AH43" s="25"/>
      <c r="AI43" s="20"/>
      <c r="AJ43" s="20"/>
      <c r="AK43" s="21">
        <f t="shared" si="81"/>
        <v>0</v>
      </c>
      <c r="AL43" s="25"/>
      <c r="AM43" s="20"/>
      <c r="AN43" s="20"/>
      <c r="AO43" s="21">
        <f t="shared" si="82"/>
        <v>0</v>
      </c>
      <c r="AP43" s="25"/>
      <c r="AQ43" s="25"/>
      <c r="AR43" s="25"/>
      <c r="AS43" s="25"/>
      <c r="AT43" s="20"/>
      <c r="AU43" s="20"/>
      <c r="AV43" s="21">
        <f t="shared" si="83"/>
        <v>0</v>
      </c>
      <c r="AW43" s="4">
        <f t="shared" si="84"/>
        <v>0</v>
      </c>
      <c r="AX43" s="4">
        <f t="shared" si="85"/>
        <v>0</v>
      </c>
      <c r="AY43" s="4">
        <f t="shared" si="86"/>
        <v>195000</v>
      </c>
      <c r="AZ43" s="4">
        <f t="shared" si="87"/>
        <v>371000</v>
      </c>
      <c r="BA43" s="94">
        <f t="shared" si="88"/>
        <v>378000</v>
      </c>
      <c r="BB43" s="94">
        <f t="shared" si="89"/>
        <v>473900</v>
      </c>
      <c r="BC43" s="9">
        <f t="shared" si="90"/>
        <v>1417900</v>
      </c>
    </row>
    <row r="44" spans="1:55">
      <c r="A44" s="187"/>
      <c r="B44" s="8">
        <v>9</v>
      </c>
      <c r="C44" s="1" t="s">
        <v>121</v>
      </c>
      <c r="D44" s="4" t="s">
        <v>108</v>
      </c>
      <c r="E44" s="4" t="s">
        <v>108</v>
      </c>
      <c r="F44" s="4"/>
      <c r="G44" s="4">
        <v>155000</v>
      </c>
      <c r="H44" s="4">
        <v>44000</v>
      </c>
      <c r="I44" s="4"/>
      <c r="J44" s="4"/>
      <c r="K44" s="4"/>
      <c r="L44" s="9">
        <f t="shared" si="77"/>
        <v>199000</v>
      </c>
      <c r="M44" s="4"/>
      <c r="N44" s="4"/>
      <c r="O44" s="4"/>
      <c r="P44" s="4"/>
      <c r="Q44" s="4"/>
      <c r="R44" s="4"/>
      <c r="S44" s="9">
        <f t="shared" si="78"/>
        <v>0</v>
      </c>
      <c r="T44" s="20"/>
      <c r="U44" s="20"/>
      <c r="V44" s="20"/>
      <c r="W44" s="20"/>
      <c r="X44" s="20"/>
      <c r="Y44" s="20"/>
      <c r="Z44" s="9">
        <f t="shared" si="79"/>
        <v>0</v>
      </c>
      <c r="AA44" s="20"/>
      <c r="AB44" s="20">
        <v>195000</v>
      </c>
      <c r="AC44" s="24">
        <v>188250</v>
      </c>
      <c r="AD44" s="24"/>
      <c r="AE44" s="20"/>
      <c r="AF44" s="20"/>
      <c r="AG44" s="21">
        <f t="shared" si="80"/>
        <v>383250</v>
      </c>
      <c r="AH44" s="25"/>
      <c r="AI44" s="20"/>
      <c r="AJ44" s="20"/>
      <c r="AK44" s="21">
        <f t="shared" si="81"/>
        <v>0</v>
      </c>
      <c r="AL44" s="25"/>
      <c r="AM44" s="20"/>
      <c r="AN44" s="20"/>
      <c r="AO44" s="21">
        <f t="shared" si="82"/>
        <v>0</v>
      </c>
      <c r="AP44" s="25"/>
      <c r="AQ44" s="25"/>
      <c r="AR44" s="25"/>
      <c r="AS44" s="25"/>
      <c r="AT44" s="20"/>
      <c r="AU44" s="20"/>
      <c r="AV44" s="21">
        <f t="shared" si="83"/>
        <v>0</v>
      </c>
      <c r="AW44" s="4">
        <f t="shared" si="84"/>
        <v>0</v>
      </c>
      <c r="AX44" s="4">
        <f t="shared" si="85"/>
        <v>350000</v>
      </c>
      <c r="AY44" s="4">
        <f t="shared" si="86"/>
        <v>232250</v>
      </c>
      <c r="AZ44" s="4">
        <f t="shared" si="87"/>
        <v>0</v>
      </c>
      <c r="BA44" s="94">
        <f t="shared" si="88"/>
        <v>0</v>
      </c>
      <c r="BB44" s="94">
        <f t="shared" si="89"/>
        <v>0</v>
      </c>
      <c r="BC44" s="9">
        <f t="shared" si="90"/>
        <v>582250</v>
      </c>
    </row>
    <row r="45" spans="1:55" s="38" customFormat="1">
      <c r="A45" s="34"/>
      <c r="B45" s="34"/>
      <c r="C45" s="35" t="s">
        <v>122</v>
      </c>
      <c r="D45" s="37"/>
      <c r="E45" s="37"/>
      <c r="F45" s="37">
        <f t="shared" ref="F45:BC45" si="91">SUM(F36:F44)</f>
        <v>310000</v>
      </c>
      <c r="G45" s="37">
        <f t="shared" si="91"/>
        <v>919000</v>
      </c>
      <c r="H45" s="37">
        <f t="shared" si="91"/>
        <v>756500</v>
      </c>
      <c r="I45" s="37">
        <f t="shared" si="91"/>
        <v>631000</v>
      </c>
      <c r="J45" s="37">
        <f t="shared" si="91"/>
        <v>378000</v>
      </c>
      <c r="K45" s="37">
        <f t="shared" si="91"/>
        <v>473900</v>
      </c>
      <c r="L45" s="37">
        <f t="shared" si="91"/>
        <v>3468400</v>
      </c>
      <c r="M45" s="37">
        <f t="shared" si="91"/>
        <v>290000</v>
      </c>
      <c r="N45" s="37">
        <f t="shared" si="91"/>
        <v>2490000</v>
      </c>
      <c r="O45" s="37">
        <f t="shared" si="91"/>
        <v>910000</v>
      </c>
      <c r="P45" s="37">
        <f t="shared" si="91"/>
        <v>1613500</v>
      </c>
      <c r="Q45" s="37">
        <f t="shared" si="91"/>
        <v>730000</v>
      </c>
      <c r="R45" s="37">
        <f t="shared" si="91"/>
        <v>750000</v>
      </c>
      <c r="S45" s="37">
        <f t="shared" si="91"/>
        <v>6783500</v>
      </c>
      <c r="T45" s="37">
        <f t="shared" si="91"/>
        <v>290000</v>
      </c>
      <c r="U45" s="37">
        <f t="shared" si="91"/>
        <v>364000</v>
      </c>
      <c r="V45" s="37">
        <f t="shared" si="91"/>
        <v>404000</v>
      </c>
      <c r="W45" s="37">
        <f t="shared" si="91"/>
        <v>248000</v>
      </c>
      <c r="X45" s="37">
        <f t="shared" si="91"/>
        <v>0</v>
      </c>
      <c r="Y45" s="37">
        <f t="shared" si="91"/>
        <v>0</v>
      </c>
      <c r="Z45" s="37">
        <f t="shared" si="91"/>
        <v>1306000</v>
      </c>
      <c r="AA45" s="37">
        <f t="shared" si="91"/>
        <v>195000</v>
      </c>
      <c r="AB45" s="37">
        <f t="shared" si="91"/>
        <v>1186900</v>
      </c>
      <c r="AC45" s="37">
        <f t="shared" si="91"/>
        <v>982000</v>
      </c>
      <c r="AD45" s="37">
        <f t="shared" si="91"/>
        <v>242000</v>
      </c>
      <c r="AE45" s="37">
        <f t="shared" si="91"/>
        <v>0</v>
      </c>
      <c r="AF45" s="37">
        <f t="shared" si="91"/>
        <v>0</v>
      </c>
      <c r="AG45" s="37">
        <f t="shared" si="91"/>
        <v>2605900</v>
      </c>
      <c r="AH45" s="37">
        <f t="shared" si="91"/>
        <v>409500</v>
      </c>
      <c r="AI45" s="37">
        <f t="shared" si="91"/>
        <v>542500</v>
      </c>
      <c r="AJ45" s="37">
        <f t="shared" si="91"/>
        <v>1329300</v>
      </c>
      <c r="AK45" s="37">
        <f t="shared" si="91"/>
        <v>2281300</v>
      </c>
      <c r="AL45" s="37">
        <f t="shared" si="91"/>
        <v>0</v>
      </c>
      <c r="AM45" s="37">
        <f t="shared" si="91"/>
        <v>0</v>
      </c>
      <c r="AN45" s="37">
        <f t="shared" si="91"/>
        <v>0</v>
      </c>
      <c r="AO45" s="37">
        <f t="shared" si="91"/>
        <v>0</v>
      </c>
      <c r="AP45" s="37">
        <f t="shared" si="91"/>
        <v>0</v>
      </c>
      <c r="AQ45" s="37">
        <f t="shared" si="91"/>
        <v>0</v>
      </c>
      <c r="AR45" s="37">
        <f t="shared" si="91"/>
        <v>100000</v>
      </c>
      <c r="AS45" s="37">
        <f t="shared" si="91"/>
        <v>0</v>
      </c>
      <c r="AT45" s="37">
        <f t="shared" si="91"/>
        <v>0</v>
      </c>
      <c r="AU45" s="37">
        <f t="shared" si="91"/>
        <v>0</v>
      </c>
      <c r="AV45" s="37">
        <f t="shared" si="91"/>
        <v>100000</v>
      </c>
      <c r="AW45" s="37">
        <f t="shared" si="91"/>
        <v>1085000</v>
      </c>
      <c r="AX45" s="37">
        <f t="shared" si="91"/>
        <v>4959900</v>
      </c>
      <c r="AY45" s="37">
        <f t="shared" si="91"/>
        <v>3152500</v>
      </c>
      <c r="AZ45" s="37">
        <f t="shared" si="91"/>
        <v>3144000</v>
      </c>
      <c r="BA45" s="37">
        <f t="shared" si="91"/>
        <v>1650500</v>
      </c>
      <c r="BB45" s="37">
        <f t="shared" si="91"/>
        <v>2553200</v>
      </c>
      <c r="BC45" s="37">
        <f t="shared" si="91"/>
        <v>16545100</v>
      </c>
    </row>
    <row r="46" spans="1:55" ht="31.5">
      <c r="A46" s="185" t="s">
        <v>20</v>
      </c>
      <c r="B46" s="8">
        <v>1</v>
      </c>
      <c r="C46" s="1" t="s">
        <v>123</v>
      </c>
      <c r="D46" s="4" t="s">
        <v>124</v>
      </c>
      <c r="E46" s="4" t="s">
        <v>20</v>
      </c>
      <c r="F46" s="4"/>
      <c r="G46" s="4"/>
      <c r="H46" s="5"/>
      <c r="I46" s="4"/>
      <c r="J46" s="4"/>
      <c r="K46" s="4"/>
      <c r="L46" s="9">
        <f t="shared" ref="L46:L53" si="92">SUM(F46:K46)</f>
        <v>0</v>
      </c>
      <c r="M46" s="4"/>
      <c r="N46" s="4"/>
      <c r="O46" s="4"/>
      <c r="P46" s="4"/>
      <c r="Q46" s="4"/>
      <c r="R46" s="4"/>
      <c r="S46" s="9">
        <f t="shared" ref="S46:S53" si="93">SUM(M46:R46)</f>
        <v>0</v>
      </c>
      <c r="T46" s="20"/>
      <c r="U46" s="20"/>
      <c r="V46" s="20"/>
      <c r="W46" s="20"/>
      <c r="X46" s="20"/>
      <c r="Y46" s="20"/>
      <c r="Z46" s="9">
        <f t="shared" ref="Z46:Z53" si="94">SUM(T46:Y46)</f>
        <v>0</v>
      </c>
      <c r="AA46" s="20"/>
      <c r="AB46" s="25">
        <v>481150</v>
      </c>
      <c r="AC46" s="25">
        <f>202300+70000</f>
        <v>272300</v>
      </c>
      <c r="AD46" s="24">
        <v>478000</v>
      </c>
      <c r="AE46" s="20">
        <f>49000+98000+364000+112000</f>
        <v>623000</v>
      </c>
      <c r="AF46" s="20">
        <f>491750+123200+61600</f>
        <v>676550</v>
      </c>
      <c r="AG46" s="21">
        <f t="shared" ref="AG46:AG53" si="95">SUM(AA46:AF46)</f>
        <v>2531000</v>
      </c>
      <c r="AH46" s="25">
        <v>0</v>
      </c>
      <c r="AI46" s="20"/>
      <c r="AJ46" s="20"/>
      <c r="AK46" s="21">
        <f t="shared" ref="AK46:AK53" si="96">SUM(AH46:AJ46)</f>
        <v>0</v>
      </c>
      <c r="AL46" s="25"/>
      <c r="AM46" s="20"/>
      <c r="AN46" s="20"/>
      <c r="AO46" s="21">
        <f t="shared" ref="AO46:AO53" si="97">SUM(AL46:AN46)</f>
        <v>0</v>
      </c>
      <c r="AP46" s="25"/>
      <c r="AQ46" s="25"/>
      <c r="AR46" s="25"/>
      <c r="AS46" s="25"/>
      <c r="AT46" s="20"/>
      <c r="AU46" s="20"/>
      <c r="AV46" s="21">
        <f t="shared" ref="AV46:AV53" si="98">SUM(AP46:AU46)</f>
        <v>0</v>
      </c>
      <c r="AW46" s="4">
        <f t="shared" ref="AW46:AY53" si="99">F46+M46+T46+AA46+AP46</f>
        <v>0</v>
      </c>
      <c r="AX46" s="4">
        <f t="shared" si="99"/>
        <v>481150</v>
      </c>
      <c r="AY46" s="4">
        <f t="shared" si="99"/>
        <v>272300</v>
      </c>
      <c r="AZ46" s="4">
        <f t="shared" ref="AZ46:BA53" si="100">I46+P46+W46+AD46+AH46+AL46+AS46</f>
        <v>478000</v>
      </c>
      <c r="BA46" s="94">
        <f t="shared" si="100"/>
        <v>623000</v>
      </c>
      <c r="BB46" s="94">
        <f t="shared" ref="BB46:BB53" si="101">K46+R46+Y46+AF46+AJ46+AN46+AU46</f>
        <v>676550</v>
      </c>
      <c r="BC46" s="9">
        <f t="shared" ref="BC46:BC53" si="102">SUM(AW46:BB46)</f>
        <v>2531000</v>
      </c>
    </row>
    <row r="47" spans="1:55" ht="31.5">
      <c r="A47" s="186"/>
      <c r="B47" s="8">
        <v>2</v>
      </c>
      <c r="C47" s="1" t="s">
        <v>125</v>
      </c>
      <c r="D47" s="4" t="s">
        <v>126</v>
      </c>
      <c r="E47" s="4" t="s">
        <v>20</v>
      </c>
      <c r="F47" s="4">
        <v>155000</v>
      </c>
      <c r="G47" s="4">
        <v>712500</v>
      </c>
      <c r="H47" s="4">
        <f>60500+60500+200000</f>
        <v>321000</v>
      </c>
      <c r="I47" s="4">
        <f>160000+20000</f>
        <v>180000</v>
      </c>
      <c r="J47" s="4"/>
      <c r="K47" s="4"/>
      <c r="L47" s="9">
        <f t="shared" si="92"/>
        <v>1368500</v>
      </c>
      <c r="M47" s="4"/>
      <c r="N47" s="4"/>
      <c r="O47" s="4"/>
      <c r="P47" s="4"/>
      <c r="Q47" s="4"/>
      <c r="R47" s="4"/>
      <c r="S47" s="9">
        <f t="shared" si="93"/>
        <v>0</v>
      </c>
      <c r="T47" s="20"/>
      <c r="U47" s="20"/>
      <c r="V47" s="20"/>
      <c r="W47" s="20"/>
      <c r="X47" s="20"/>
      <c r="Y47" s="20"/>
      <c r="Z47" s="9">
        <f t="shared" si="94"/>
        <v>0</v>
      </c>
      <c r="AA47" s="20">
        <v>195000</v>
      </c>
      <c r="AB47" s="25">
        <v>608650</v>
      </c>
      <c r="AC47" s="25">
        <v>377050</v>
      </c>
      <c r="AD47" s="24">
        <v>40000</v>
      </c>
      <c r="AE47" s="20"/>
      <c r="AF47" s="20"/>
      <c r="AG47" s="21">
        <f t="shared" si="95"/>
        <v>1220700</v>
      </c>
      <c r="AH47" s="25">
        <v>770000</v>
      </c>
      <c r="AI47" s="20">
        <f>70000+210000+210000+210000+140000</f>
        <v>840000</v>
      </c>
      <c r="AJ47" s="20">
        <f>941892+217055+109185</f>
        <v>1268132</v>
      </c>
      <c r="AK47" s="21">
        <f t="shared" si="96"/>
        <v>2878132</v>
      </c>
      <c r="AL47" s="25"/>
      <c r="AM47" s="20"/>
      <c r="AN47" s="20"/>
      <c r="AO47" s="21">
        <f t="shared" si="97"/>
        <v>0</v>
      </c>
      <c r="AP47" s="25"/>
      <c r="AQ47" s="25"/>
      <c r="AR47" s="25"/>
      <c r="AS47" s="25"/>
      <c r="AT47" s="20"/>
      <c r="AU47" s="20"/>
      <c r="AV47" s="21">
        <f t="shared" si="98"/>
        <v>0</v>
      </c>
      <c r="AW47" s="4">
        <f t="shared" si="99"/>
        <v>350000</v>
      </c>
      <c r="AX47" s="4">
        <f t="shared" si="99"/>
        <v>1321150</v>
      </c>
      <c r="AY47" s="4">
        <f t="shared" si="99"/>
        <v>698050</v>
      </c>
      <c r="AZ47" s="4">
        <f t="shared" si="100"/>
        <v>990000</v>
      </c>
      <c r="BA47" s="94">
        <f t="shared" si="100"/>
        <v>840000</v>
      </c>
      <c r="BB47" s="94">
        <f t="shared" si="101"/>
        <v>1268132</v>
      </c>
      <c r="BC47" s="9">
        <f t="shared" si="102"/>
        <v>5467332</v>
      </c>
    </row>
    <row r="48" spans="1:55">
      <c r="A48" s="186"/>
      <c r="B48" s="8">
        <v>3</v>
      </c>
      <c r="C48" s="1" t="s">
        <v>127</v>
      </c>
      <c r="D48" s="4" t="s">
        <v>128</v>
      </c>
      <c r="E48" s="4" t="s">
        <v>20</v>
      </c>
      <c r="F48" s="4"/>
      <c r="G48" s="4">
        <v>155000</v>
      </c>
      <c r="H48" s="4">
        <v>311100</v>
      </c>
      <c r="I48" s="4"/>
      <c r="J48" s="4"/>
      <c r="K48" s="4"/>
      <c r="L48" s="9">
        <f t="shared" si="92"/>
        <v>466100</v>
      </c>
      <c r="M48" s="4"/>
      <c r="N48" s="4"/>
      <c r="O48" s="4"/>
      <c r="P48" s="4"/>
      <c r="Q48" s="4"/>
      <c r="R48" s="4"/>
      <c r="S48" s="9">
        <f t="shared" si="93"/>
        <v>0</v>
      </c>
      <c r="T48" s="20"/>
      <c r="U48" s="20"/>
      <c r="V48" s="20"/>
      <c r="W48" s="20"/>
      <c r="X48" s="20"/>
      <c r="Y48" s="20"/>
      <c r="Z48" s="9">
        <f t="shared" si="94"/>
        <v>0</v>
      </c>
      <c r="AA48" s="20"/>
      <c r="AB48" s="20"/>
      <c r="AC48" s="20"/>
      <c r="AD48" s="20"/>
      <c r="AE48" s="20"/>
      <c r="AF48" s="20"/>
      <c r="AG48" s="21">
        <f t="shared" si="95"/>
        <v>0</v>
      </c>
      <c r="AH48" s="25">
        <v>0</v>
      </c>
      <c r="AI48" s="20"/>
      <c r="AJ48" s="20"/>
      <c r="AK48" s="21">
        <f t="shared" si="96"/>
        <v>0</v>
      </c>
      <c r="AL48" s="25"/>
      <c r="AM48" s="20"/>
      <c r="AN48" s="20"/>
      <c r="AO48" s="21">
        <f t="shared" si="97"/>
        <v>0</v>
      </c>
      <c r="AP48" s="25"/>
      <c r="AQ48" s="24">
        <v>100000</v>
      </c>
      <c r="AR48" s="25"/>
      <c r="AS48" s="25"/>
      <c r="AT48" s="20"/>
      <c r="AU48" s="20"/>
      <c r="AV48" s="21">
        <f t="shared" si="98"/>
        <v>100000</v>
      </c>
      <c r="AW48" s="4">
        <f t="shared" si="99"/>
        <v>0</v>
      </c>
      <c r="AX48" s="4">
        <f t="shared" si="99"/>
        <v>255000</v>
      </c>
      <c r="AY48" s="4">
        <f t="shared" si="99"/>
        <v>311100</v>
      </c>
      <c r="AZ48" s="4">
        <f t="shared" si="100"/>
        <v>0</v>
      </c>
      <c r="BA48" s="94">
        <f t="shared" si="100"/>
        <v>0</v>
      </c>
      <c r="BB48" s="94">
        <f t="shared" si="101"/>
        <v>0</v>
      </c>
      <c r="BC48" s="9">
        <f t="shared" si="102"/>
        <v>566100</v>
      </c>
    </row>
    <row r="49" spans="1:55">
      <c r="A49" s="186"/>
      <c r="B49" s="8">
        <v>4</v>
      </c>
      <c r="C49" s="1" t="s">
        <v>129</v>
      </c>
      <c r="D49" s="4" t="s">
        <v>130</v>
      </c>
      <c r="E49" s="4" t="s">
        <v>20</v>
      </c>
      <c r="F49" s="4"/>
      <c r="G49" s="4">
        <v>155000</v>
      </c>
      <c r="H49" s="4"/>
      <c r="I49" s="4"/>
      <c r="J49" s="4"/>
      <c r="K49" s="4"/>
      <c r="L49" s="9">
        <f t="shared" si="92"/>
        <v>155000</v>
      </c>
      <c r="M49" s="4"/>
      <c r="N49" s="4"/>
      <c r="O49" s="4"/>
      <c r="P49" s="4"/>
      <c r="Q49" s="4"/>
      <c r="R49" s="4"/>
      <c r="S49" s="9">
        <f t="shared" si="93"/>
        <v>0</v>
      </c>
      <c r="T49" s="20"/>
      <c r="U49" s="20"/>
      <c r="V49" s="20"/>
      <c r="W49" s="20"/>
      <c r="X49" s="20"/>
      <c r="Y49" s="20"/>
      <c r="Z49" s="9">
        <f t="shared" si="94"/>
        <v>0</v>
      </c>
      <c r="AA49" s="20"/>
      <c r="AB49" s="20">
        <v>195000</v>
      </c>
      <c r="AC49" s="25">
        <v>73150</v>
      </c>
      <c r="AD49" s="24">
        <v>30000</v>
      </c>
      <c r="AE49" s="20"/>
      <c r="AF49" s="20"/>
      <c r="AG49" s="21">
        <f t="shared" si="95"/>
        <v>298150</v>
      </c>
      <c r="AH49" s="25">
        <v>0</v>
      </c>
      <c r="AI49" s="20"/>
      <c r="AJ49" s="20"/>
      <c r="AK49" s="21">
        <f t="shared" si="96"/>
        <v>0</v>
      </c>
      <c r="AL49" s="25"/>
      <c r="AM49" s="20"/>
      <c r="AN49" s="20"/>
      <c r="AO49" s="21">
        <f t="shared" si="97"/>
        <v>0</v>
      </c>
      <c r="AP49" s="25"/>
      <c r="AQ49" s="25"/>
      <c r="AR49" s="25"/>
      <c r="AS49" s="25"/>
      <c r="AT49" s="20"/>
      <c r="AU49" s="20"/>
      <c r="AV49" s="21">
        <f t="shared" si="98"/>
        <v>0</v>
      </c>
      <c r="AW49" s="4">
        <f t="shared" si="99"/>
        <v>0</v>
      </c>
      <c r="AX49" s="4">
        <f t="shared" si="99"/>
        <v>350000</v>
      </c>
      <c r="AY49" s="4">
        <f t="shared" si="99"/>
        <v>73150</v>
      </c>
      <c r="AZ49" s="4">
        <f t="shared" si="100"/>
        <v>30000</v>
      </c>
      <c r="BA49" s="94">
        <f t="shared" si="100"/>
        <v>0</v>
      </c>
      <c r="BB49" s="94">
        <f t="shared" si="101"/>
        <v>0</v>
      </c>
      <c r="BC49" s="9">
        <f t="shared" si="102"/>
        <v>453150</v>
      </c>
    </row>
    <row r="50" spans="1:55" ht="31.5">
      <c r="A50" s="186"/>
      <c r="B50" s="8">
        <v>5</v>
      </c>
      <c r="C50" s="1" t="s">
        <v>131</v>
      </c>
      <c r="D50" s="4" t="s">
        <v>132</v>
      </c>
      <c r="E50" s="4" t="s">
        <v>20</v>
      </c>
      <c r="F50" s="4">
        <v>155000</v>
      </c>
      <c r="G50" s="4">
        <v>427000</v>
      </c>
      <c r="H50" s="4">
        <f>71500+71500+231000</f>
        <v>374000</v>
      </c>
      <c r="I50" s="4"/>
      <c r="J50" s="4"/>
      <c r="K50" s="4"/>
      <c r="L50" s="9">
        <f t="shared" si="92"/>
        <v>956000</v>
      </c>
      <c r="M50" s="4"/>
      <c r="N50" s="4"/>
      <c r="O50" s="4"/>
      <c r="P50" s="4"/>
      <c r="Q50" s="4"/>
      <c r="R50" s="4"/>
      <c r="S50" s="9">
        <f t="shared" si="93"/>
        <v>0</v>
      </c>
      <c r="T50" s="20"/>
      <c r="U50" s="20"/>
      <c r="V50" s="20"/>
      <c r="W50" s="20"/>
      <c r="X50" s="20"/>
      <c r="Y50" s="20"/>
      <c r="Z50" s="9">
        <f t="shared" si="94"/>
        <v>0</v>
      </c>
      <c r="AA50" s="20"/>
      <c r="AB50" s="25">
        <v>585250</v>
      </c>
      <c r="AC50" s="25">
        <v>174600</v>
      </c>
      <c r="AD50" s="25"/>
      <c r="AE50" s="20"/>
      <c r="AF50" s="20"/>
      <c r="AG50" s="21">
        <f t="shared" si="95"/>
        <v>759850</v>
      </c>
      <c r="AH50" s="25">
        <v>0</v>
      </c>
      <c r="AI50" s="20"/>
      <c r="AJ50" s="20">
        <f>707200+202800+104000</f>
        <v>1014000</v>
      </c>
      <c r="AK50" s="21">
        <f t="shared" si="96"/>
        <v>1014000</v>
      </c>
      <c r="AL50" s="25"/>
      <c r="AM50" s="20"/>
      <c r="AN50" s="20"/>
      <c r="AO50" s="21">
        <f t="shared" si="97"/>
        <v>0</v>
      </c>
      <c r="AP50" s="25"/>
      <c r="AQ50" s="25"/>
      <c r="AR50" s="25"/>
      <c r="AS50" s="25"/>
      <c r="AT50" s="20"/>
      <c r="AU50" s="20"/>
      <c r="AV50" s="21">
        <f t="shared" si="98"/>
        <v>0</v>
      </c>
      <c r="AW50" s="4">
        <f t="shared" si="99"/>
        <v>155000</v>
      </c>
      <c r="AX50" s="4">
        <f t="shared" si="99"/>
        <v>1012250</v>
      </c>
      <c r="AY50" s="4">
        <f t="shared" si="99"/>
        <v>548600</v>
      </c>
      <c r="AZ50" s="4">
        <f t="shared" si="100"/>
        <v>0</v>
      </c>
      <c r="BA50" s="94">
        <f t="shared" si="100"/>
        <v>0</v>
      </c>
      <c r="BB50" s="94">
        <f t="shared" si="101"/>
        <v>1014000</v>
      </c>
      <c r="BC50" s="9">
        <f t="shared" si="102"/>
        <v>2729850</v>
      </c>
    </row>
    <row r="51" spans="1:55">
      <c r="A51" s="186"/>
      <c r="B51" s="8">
        <v>6</v>
      </c>
      <c r="C51" s="1" t="s">
        <v>52</v>
      </c>
      <c r="D51" s="4" t="s">
        <v>30</v>
      </c>
      <c r="E51" s="4" t="s">
        <v>20</v>
      </c>
      <c r="F51" s="4">
        <v>155000</v>
      </c>
      <c r="G51" s="4">
        <v>279000</v>
      </c>
      <c r="H51" s="4">
        <f>108000+36000</f>
        <v>144000</v>
      </c>
      <c r="I51" s="4">
        <v>218000</v>
      </c>
      <c r="J51" s="4">
        <f>15000+198000</f>
        <v>213000</v>
      </c>
      <c r="K51" s="4">
        <v>45000</v>
      </c>
      <c r="L51" s="9">
        <f t="shared" si="92"/>
        <v>1054000</v>
      </c>
      <c r="M51" s="4"/>
      <c r="N51" s="4"/>
      <c r="O51" s="4"/>
      <c r="P51" s="4"/>
      <c r="Q51" s="4"/>
      <c r="R51" s="4"/>
      <c r="S51" s="9">
        <f t="shared" si="93"/>
        <v>0</v>
      </c>
      <c r="T51" s="20"/>
      <c r="U51" s="20"/>
      <c r="V51" s="20"/>
      <c r="W51" s="20"/>
      <c r="X51" s="20"/>
      <c r="Y51" s="20"/>
      <c r="Z51" s="9">
        <f t="shared" si="94"/>
        <v>0</v>
      </c>
      <c r="AA51" s="20"/>
      <c r="AB51" s="20"/>
      <c r="AC51" s="20"/>
      <c r="AD51" s="20"/>
      <c r="AE51" s="20"/>
      <c r="AF51" s="20"/>
      <c r="AG51" s="21">
        <f t="shared" si="95"/>
        <v>0</v>
      </c>
      <c r="AH51" s="25">
        <v>0</v>
      </c>
      <c r="AI51" s="20"/>
      <c r="AJ51" s="20"/>
      <c r="AK51" s="21">
        <f t="shared" si="96"/>
        <v>0</v>
      </c>
      <c r="AL51" s="25"/>
      <c r="AM51" s="20"/>
      <c r="AN51" s="20"/>
      <c r="AO51" s="21">
        <f t="shared" si="97"/>
        <v>0</v>
      </c>
      <c r="AP51" s="25"/>
      <c r="AQ51" s="25"/>
      <c r="AR51" s="25"/>
      <c r="AS51" s="25"/>
      <c r="AT51" s="20"/>
      <c r="AU51" s="20"/>
      <c r="AV51" s="21">
        <f t="shared" si="98"/>
        <v>0</v>
      </c>
      <c r="AW51" s="4">
        <f t="shared" si="99"/>
        <v>155000</v>
      </c>
      <c r="AX51" s="4">
        <f t="shared" si="99"/>
        <v>279000</v>
      </c>
      <c r="AY51" s="4">
        <f t="shared" si="99"/>
        <v>144000</v>
      </c>
      <c r="AZ51" s="4">
        <f t="shared" si="100"/>
        <v>218000</v>
      </c>
      <c r="BA51" s="94">
        <f t="shared" si="100"/>
        <v>213000</v>
      </c>
      <c r="BB51" s="94">
        <f t="shared" si="101"/>
        <v>45000</v>
      </c>
      <c r="BC51" s="9">
        <f t="shared" si="102"/>
        <v>1054000</v>
      </c>
    </row>
    <row r="52" spans="1:55" ht="31.5">
      <c r="A52" s="186"/>
      <c r="B52" s="8">
        <v>7</v>
      </c>
      <c r="C52" s="1" t="s">
        <v>133</v>
      </c>
      <c r="D52" s="4" t="s">
        <v>134</v>
      </c>
      <c r="E52" s="4" t="s">
        <v>20</v>
      </c>
      <c r="F52" s="4">
        <v>155000</v>
      </c>
      <c r="G52" s="4">
        <v>823000</v>
      </c>
      <c r="H52" s="4">
        <f>82500+82500</f>
        <v>165000</v>
      </c>
      <c r="I52" s="4"/>
      <c r="J52" s="4"/>
      <c r="K52" s="4"/>
      <c r="L52" s="9">
        <f t="shared" si="92"/>
        <v>1143000</v>
      </c>
      <c r="M52" s="4"/>
      <c r="N52" s="4"/>
      <c r="O52" s="4"/>
      <c r="P52" s="4"/>
      <c r="Q52" s="4"/>
      <c r="R52" s="4"/>
      <c r="S52" s="9">
        <f t="shared" si="93"/>
        <v>0</v>
      </c>
      <c r="T52" s="20">
        <v>290000</v>
      </c>
      <c r="U52" s="22">
        <v>1267000</v>
      </c>
      <c r="V52" s="4">
        <v>448000</v>
      </c>
      <c r="W52" s="22"/>
      <c r="X52" s="22"/>
      <c r="Y52" s="22">
        <f>1743000+581000</f>
        <v>2324000</v>
      </c>
      <c r="Z52" s="9">
        <f t="shared" si="94"/>
        <v>4329000</v>
      </c>
      <c r="AA52" s="20">
        <v>195000</v>
      </c>
      <c r="AB52" s="25">
        <v>1031900</v>
      </c>
      <c r="AC52" s="25">
        <v>412250</v>
      </c>
      <c r="AD52" s="25"/>
      <c r="AE52" s="20"/>
      <c r="AF52" s="20"/>
      <c r="AG52" s="21">
        <f t="shared" si="95"/>
        <v>1639150</v>
      </c>
      <c r="AH52" s="25">
        <v>0</v>
      </c>
      <c r="AI52" s="20"/>
      <c r="AJ52" s="20"/>
      <c r="AK52" s="21">
        <f t="shared" si="96"/>
        <v>0</v>
      </c>
      <c r="AL52" s="25"/>
      <c r="AM52" s="20"/>
      <c r="AN52" s="20"/>
      <c r="AO52" s="21">
        <f t="shared" si="97"/>
        <v>0</v>
      </c>
      <c r="AP52" s="25"/>
      <c r="AQ52" s="25"/>
      <c r="AR52" s="25"/>
      <c r="AS52" s="25"/>
      <c r="AT52" s="20"/>
      <c r="AU52" s="20"/>
      <c r="AV52" s="21">
        <f t="shared" si="98"/>
        <v>0</v>
      </c>
      <c r="AW52" s="4">
        <f t="shared" si="99"/>
        <v>640000</v>
      </c>
      <c r="AX52" s="4">
        <f t="shared" si="99"/>
        <v>3121900</v>
      </c>
      <c r="AY52" s="4">
        <f t="shared" si="99"/>
        <v>1025250</v>
      </c>
      <c r="AZ52" s="4">
        <f t="shared" si="100"/>
        <v>0</v>
      </c>
      <c r="BA52" s="94">
        <f t="shared" si="100"/>
        <v>0</v>
      </c>
      <c r="BB52" s="94">
        <f t="shared" si="101"/>
        <v>2324000</v>
      </c>
      <c r="BC52" s="9">
        <f t="shared" si="102"/>
        <v>7111150</v>
      </c>
    </row>
    <row r="53" spans="1:55" ht="47.25">
      <c r="A53" s="187"/>
      <c r="B53" s="8">
        <v>8</v>
      </c>
      <c r="C53" s="1" t="s">
        <v>135</v>
      </c>
      <c r="D53" s="4" t="s">
        <v>124</v>
      </c>
      <c r="E53" s="4" t="s">
        <v>20</v>
      </c>
      <c r="F53" s="4"/>
      <c r="G53" s="4">
        <v>630500</v>
      </c>
      <c r="H53" s="4">
        <f>60500+60500+170500</f>
        <v>291500</v>
      </c>
      <c r="I53" s="4">
        <f>160000+20000</f>
        <v>180000</v>
      </c>
      <c r="J53" s="4"/>
      <c r="K53" s="4"/>
      <c r="L53" s="9">
        <f t="shared" si="92"/>
        <v>1102000</v>
      </c>
      <c r="M53" s="4"/>
      <c r="N53" s="4"/>
      <c r="O53" s="4"/>
      <c r="P53" s="4"/>
      <c r="Q53" s="4"/>
      <c r="R53" s="4"/>
      <c r="S53" s="9">
        <f t="shared" si="93"/>
        <v>0</v>
      </c>
      <c r="T53" s="20"/>
      <c r="U53" s="20"/>
      <c r="V53" s="20"/>
      <c r="W53" s="20"/>
      <c r="X53" s="20"/>
      <c r="Y53" s="20"/>
      <c r="Z53" s="9">
        <f t="shared" si="94"/>
        <v>0</v>
      </c>
      <c r="AA53" s="20">
        <v>195000</v>
      </c>
      <c r="AB53" s="25">
        <v>854300</v>
      </c>
      <c r="AC53" s="25">
        <v>375250</v>
      </c>
      <c r="AD53" s="25">
        <v>180000</v>
      </c>
      <c r="AE53" s="20"/>
      <c r="AF53" s="20"/>
      <c r="AG53" s="21">
        <f t="shared" si="95"/>
        <v>1604550</v>
      </c>
      <c r="AH53" s="25">
        <v>1155000</v>
      </c>
      <c r="AI53" s="20">
        <f>105000+315000+315000+315000+210000</f>
        <v>1260000</v>
      </c>
      <c r="AJ53" s="20">
        <f>1281120+252000+126000</f>
        <v>1659120</v>
      </c>
      <c r="AK53" s="21">
        <f t="shared" si="96"/>
        <v>4074120</v>
      </c>
      <c r="AL53" s="25"/>
      <c r="AM53" s="20"/>
      <c r="AN53" s="20"/>
      <c r="AO53" s="21">
        <f t="shared" si="97"/>
        <v>0</v>
      </c>
      <c r="AP53" s="25"/>
      <c r="AQ53" s="25"/>
      <c r="AR53" s="25">
        <v>100000</v>
      </c>
      <c r="AS53" s="25">
        <v>200000</v>
      </c>
      <c r="AT53" s="20"/>
      <c r="AU53" s="20"/>
      <c r="AV53" s="21">
        <f t="shared" si="98"/>
        <v>300000</v>
      </c>
      <c r="AW53" s="4">
        <f t="shared" si="99"/>
        <v>195000</v>
      </c>
      <c r="AX53" s="4">
        <f t="shared" si="99"/>
        <v>1484800</v>
      </c>
      <c r="AY53" s="4">
        <f t="shared" si="99"/>
        <v>766750</v>
      </c>
      <c r="AZ53" s="4">
        <f t="shared" si="100"/>
        <v>1715000</v>
      </c>
      <c r="BA53" s="94">
        <f t="shared" si="100"/>
        <v>1260000</v>
      </c>
      <c r="BB53" s="94">
        <f t="shared" si="101"/>
        <v>1659120</v>
      </c>
      <c r="BC53" s="9">
        <f t="shared" si="102"/>
        <v>7080670</v>
      </c>
    </row>
    <row r="54" spans="1:55" s="38" customFormat="1">
      <c r="A54" s="34"/>
      <c r="B54" s="34"/>
      <c r="C54" s="35" t="s">
        <v>136</v>
      </c>
      <c r="D54" s="37"/>
      <c r="E54" s="37"/>
      <c r="F54" s="37">
        <f>SUM(F46:F53)</f>
        <v>620000</v>
      </c>
      <c r="G54" s="37">
        <f t="shared" ref="G54:BC54" si="103">SUM(G46:G53)</f>
        <v>3182000</v>
      </c>
      <c r="H54" s="37">
        <f t="shared" si="103"/>
        <v>1606600</v>
      </c>
      <c r="I54" s="37">
        <f t="shared" si="103"/>
        <v>578000</v>
      </c>
      <c r="J54" s="37">
        <f t="shared" si="103"/>
        <v>213000</v>
      </c>
      <c r="K54" s="37">
        <f t="shared" si="103"/>
        <v>45000</v>
      </c>
      <c r="L54" s="37">
        <f t="shared" si="103"/>
        <v>6244600</v>
      </c>
      <c r="M54" s="37">
        <f t="shared" si="103"/>
        <v>0</v>
      </c>
      <c r="N54" s="37">
        <f t="shared" si="103"/>
        <v>0</v>
      </c>
      <c r="O54" s="37">
        <f t="shared" si="103"/>
        <v>0</v>
      </c>
      <c r="P54" s="37">
        <f t="shared" si="103"/>
        <v>0</v>
      </c>
      <c r="Q54" s="37">
        <f t="shared" si="103"/>
        <v>0</v>
      </c>
      <c r="R54" s="37">
        <f t="shared" si="103"/>
        <v>0</v>
      </c>
      <c r="S54" s="37">
        <f t="shared" si="103"/>
        <v>0</v>
      </c>
      <c r="T54" s="37">
        <f t="shared" si="103"/>
        <v>290000</v>
      </c>
      <c r="U54" s="37">
        <f t="shared" si="103"/>
        <v>1267000</v>
      </c>
      <c r="V54" s="37">
        <f t="shared" si="103"/>
        <v>448000</v>
      </c>
      <c r="W54" s="37">
        <f t="shared" si="103"/>
        <v>0</v>
      </c>
      <c r="X54" s="37">
        <f t="shared" si="103"/>
        <v>0</v>
      </c>
      <c r="Y54" s="37">
        <f t="shared" si="103"/>
        <v>2324000</v>
      </c>
      <c r="Z54" s="37">
        <f t="shared" si="103"/>
        <v>4329000</v>
      </c>
      <c r="AA54" s="37">
        <f t="shared" si="103"/>
        <v>585000</v>
      </c>
      <c r="AB54" s="37">
        <f t="shared" si="103"/>
        <v>3756250</v>
      </c>
      <c r="AC54" s="37">
        <f t="shared" si="103"/>
        <v>1684600</v>
      </c>
      <c r="AD54" s="37">
        <f t="shared" si="103"/>
        <v>728000</v>
      </c>
      <c r="AE54" s="37">
        <f t="shared" si="103"/>
        <v>623000</v>
      </c>
      <c r="AF54" s="37">
        <f t="shared" si="103"/>
        <v>676550</v>
      </c>
      <c r="AG54" s="37">
        <f t="shared" si="103"/>
        <v>8053400</v>
      </c>
      <c r="AH54" s="37">
        <f t="shared" si="103"/>
        <v>1925000</v>
      </c>
      <c r="AI54" s="37">
        <f t="shared" si="103"/>
        <v>2100000</v>
      </c>
      <c r="AJ54" s="37">
        <f t="shared" si="103"/>
        <v>3941252</v>
      </c>
      <c r="AK54" s="37">
        <f t="shared" si="103"/>
        <v>7966252</v>
      </c>
      <c r="AL54" s="37">
        <f t="shared" si="103"/>
        <v>0</v>
      </c>
      <c r="AM54" s="37">
        <f t="shared" si="103"/>
        <v>0</v>
      </c>
      <c r="AN54" s="37">
        <f t="shared" si="103"/>
        <v>0</v>
      </c>
      <c r="AO54" s="37">
        <f t="shared" si="103"/>
        <v>0</v>
      </c>
      <c r="AP54" s="37">
        <f t="shared" si="103"/>
        <v>0</v>
      </c>
      <c r="AQ54" s="37">
        <f t="shared" si="103"/>
        <v>100000</v>
      </c>
      <c r="AR54" s="37">
        <f t="shared" si="103"/>
        <v>100000</v>
      </c>
      <c r="AS54" s="37">
        <f t="shared" si="103"/>
        <v>200000</v>
      </c>
      <c r="AT54" s="37">
        <f t="shared" si="103"/>
        <v>0</v>
      </c>
      <c r="AU54" s="37">
        <f t="shared" si="103"/>
        <v>0</v>
      </c>
      <c r="AV54" s="37">
        <f t="shared" si="103"/>
        <v>400000</v>
      </c>
      <c r="AW54" s="37">
        <f t="shared" si="103"/>
        <v>1495000</v>
      </c>
      <c r="AX54" s="37">
        <f t="shared" si="103"/>
        <v>8305250</v>
      </c>
      <c r="AY54" s="37">
        <f t="shared" si="103"/>
        <v>3839200</v>
      </c>
      <c r="AZ54" s="37">
        <f t="shared" si="103"/>
        <v>3431000</v>
      </c>
      <c r="BA54" s="37">
        <f t="shared" si="103"/>
        <v>2936000</v>
      </c>
      <c r="BB54" s="37">
        <f t="shared" si="103"/>
        <v>6986802</v>
      </c>
      <c r="BC54" s="37">
        <f t="shared" si="103"/>
        <v>26993252</v>
      </c>
    </row>
    <row r="55" spans="1:55">
      <c r="A55" s="185" t="s">
        <v>19</v>
      </c>
      <c r="B55" s="8">
        <v>1</v>
      </c>
      <c r="C55" s="1" t="s">
        <v>137</v>
      </c>
      <c r="D55" s="5" t="s">
        <v>409</v>
      </c>
      <c r="E55" s="4" t="s">
        <v>19</v>
      </c>
      <c r="F55" s="4"/>
      <c r="G55" s="4"/>
      <c r="H55" s="5"/>
      <c r="I55" s="4"/>
      <c r="J55" s="4"/>
      <c r="K55" s="4"/>
      <c r="L55" s="9">
        <f t="shared" ref="L55:L62" si="104">SUM(F55:K55)</f>
        <v>0</v>
      </c>
      <c r="M55" s="4"/>
      <c r="N55" s="4"/>
      <c r="O55" s="4"/>
      <c r="P55" s="4"/>
      <c r="Q55" s="4"/>
      <c r="R55" s="4"/>
      <c r="S55" s="9">
        <f t="shared" ref="S55:S62" si="105">SUM(M55:R55)</f>
        <v>0</v>
      </c>
      <c r="T55" s="20"/>
      <c r="U55" s="20"/>
      <c r="V55" s="20"/>
      <c r="W55" s="20"/>
      <c r="X55" s="20"/>
      <c r="Y55" s="20"/>
      <c r="Z55" s="9">
        <f t="shared" ref="Z55:Z62" si="106">SUM(T55:Y55)</f>
        <v>0</v>
      </c>
      <c r="AA55" s="20"/>
      <c r="AB55" s="25">
        <v>992250</v>
      </c>
      <c r="AC55" s="25">
        <f>546900+180000</f>
        <v>726900</v>
      </c>
      <c r="AD55" s="24">
        <v>760000</v>
      </c>
      <c r="AE55" s="20">
        <f>140000+210000+420000+70000</f>
        <v>840000</v>
      </c>
      <c r="AF55" s="20">
        <v>1340520</v>
      </c>
      <c r="AG55" s="21">
        <f t="shared" ref="AG55:AG62" si="107">SUM(AA55:AF55)</f>
        <v>4659670</v>
      </c>
      <c r="AH55" s="25"/>
      <c r="AI55" s="20"/>
      <c r="AJ55" s="20"/>
      <c r="AK55" s="21">
        <f t="shared" ref="AK55:AK62" si="108">SUM(AH55:AJ55)</f>
        <v>0</v>
      </c>
      <c r="AL55" s="25"/>
      <c r="AM55" s="20"/>
      <c r="AN55" s="20"/>
      <c r="AO55" s="21">
        <f t="shared" ref="AO55:AO62" si="109">SUM(AL55:AN55)</f>
        <v>0</v>
      </c>
      <c r="AP55" s="25"/>
      <c r="AQ55" s="25">
        <v>100000</v>
      </c>
      <c r="AR55" s="25">
        <v>540000</v>
      </c>
      <c r="AS55" s="25"/>
      <c r="AT55" s="20"/>
      <c r="AU55" s="20"/>
      <c r="AV55" s="21">
        <f t="shared" ref="AV55:AV62" si="110">SUM(AP55:AU55)</f>
        <v>640000</v>
      </c>
      <c r="AW55" s="4">
        <f t="shared" ref="AW55:AY62" si="111">F55+M55+T55+AA55+AP55</f>
        <v>0</v>
      </c>
      <c r="AX55" s="4">
        <f t="shared" si="111"/>
        <v>1092250</v>
      </c>
      <c r="AY55" s="4">
        <f t="shared" si="111"/>
        <v>1266900</v>
      </c>
      <c r="AZ55" s="4">
        <f t="shared" ref="AZ55:BA62" si="112">I55+P55+W55+AD55+AH55+AL55+AS55</f>
        <v>760000</v>
      </c>
      <c r="BA55" s="94">
        <f t="shared" si="112"/>
        <v>840000</v>
      </c>
      <c r="BB55" s="94">
        <f t="shared" ref="BB55:BB62" si="113">K55+R55+Y55+AF55+AJ55+AN55+AU55</f>
        <v>1340520</v>
      </c>
      <c r="BC55" s="9">
        <f t="shared" ref="BC55:BC62" si="114">SUM(AW55:BB55)</f>
        <v>5299670</v>
      </c>
    </row>
    <row r="56" spans="1:55">
      <c r="A56" s="186"/>
      <c r="B56" s="8">
        <v>2</v>
      </c>
      <c r="C56" s="1" t="s">
        <v>394</v>
      </c>
      <c r="D56" s="12" t="s">
        <v>395</v>
      </c>
      <c r="E56" s="4" t="s">
        <v>19</v>
      </c>
      <c r="F56" s="4"/>
      <c r="G56" s="4"/>
      <c r="H56" s="5"/>
      <c r="I56" s="4"/>
      <c r="J56" s="4"/>
      <c r="K56" s="4"/>
      <c r="L56" s="9">
        <f t="shared" si="104"/>
        <v>0</v>
      </c>
      <c r="M56" s="4"/>
      <c r="N56" s="4"/>
      <c r="O56" s="4"/>
      <c r="P56" s="4"/>
      <c r="Q56" s="4"/>
      <c r="R56" s="4"/>
      <c r="S56" s="9">
        <f t="shared" si="105"/>
        <v>0</v>
      </c>
      <c r="T56" s="20"/>
      <c r="U56" s="20"/>
      <c r="V56" s="20"/>
      <c r="W56" s="20"/>
      <c r="X56" s="20"/>
      <c r="Y56" s="20"/>
      <c r="Z56" s="9">
        <f t="shared" si="106"/>
        <v>0</v>
      </c>
      <c r="AA56" s="20"/>
      <c r="AB56" s="25"/>
      <c r="AC56" s="25"/>
      <c r="AD56" s="24"/>
      <c r="AE56" s="20"/>
      <c r="AF56" s="20"/>
      <c r="AG56" s="21">
        <f t="shared" si="107"/>
        <v>0</v>
      </c>
      <c r="AH56" s="25"/>
      <c r="AI56" s="20"/>
      <c r="AJ56" s="20"/>
      <c r="AK56" s="21">
        <f t="shared" si="108"/>
        <v>0</v>
      </c>
      <c r="AL56" s="25"/>
      <c r="AM56" s="20"/>
      <c r="AN56" s="20"/>
      <c r="AO56" s="21">
        <f t="shared" si="109"/>
        <v>0</v>
      </c>
      <c r="AP56" s="25"/>
      <c r="AQ56" s="25">
        <v>100000</v>
      </c>
      <c r="AR56" s="25">
        <v>-100000</v>
      </c>
      <c r="AS56" s="25"/>
      <c r="AT56" s="20"/>
      <c r="AU56" s="20"/>
      <c r="AV56" s="21">
        <f t="shared" si="110"/>
        <v>0</v>
      </c>
      <c r="AW56" s="4">
        <f t="shared" si="111"/>
        <v>0</v>
      </c>
      <c r="AX56" s="4">
        <f t="shared" si="111"/>
        <v>100000</v>
      </c>
      <c r="AY56" s="4">
        <f t="shared" si="111"/>
        <v>-100000</v>
      </c>
      <c r="AZ56" s="4">
        <f t="shared" si="112"/>
        <v>0</v>
      </c>
      <c r="BA56" s="94">
        <f t="shared" si="112"/>
        <v>0</v>
      </c>
      <c r="BB56" s="94">
        <f t="shared" si="113"/>
        <v>0</v>
      </c>
      <c r="BC56" s="9">
        <f t="shared" si="114"/>
        <v>0</v>
      </c>
    </row>
    <row r="57" spans="1:55">
      <c r="A57" s="186"/>
      <c r="B57" s="8">
        <v>3</v>
      </c>
      <c r="C57" s="1" t="s">
        <v>59</v>
      </c>
      <c r="D57" s="12" t="s">
        <v>27</v>
      </c>
      <c r="E57" s="4" t="s">
        <v>19</v>
      </c>
      <c r="F57" s="4"/>
      <c r="G57" s="4"/>
      <c r="H57" s="4"/>
      <c r="I57" s="4"/>
      <c r="J57" s="4"/>
      <c r="K57" s="4"/>
      <c r="L57" s="9">
        <f t="shared" si="104"/>
        <v>0</v>
      </c>
      <c r="M57" s="4"/>
      <c r="N57" s="4"/>
      <c r="O57" s="4"/>
      <c r="P57" s="4"/>
      <c r="Q57" s="4"/>
      <c r="R57" s="4"/>
      <c r="S57" s="9">
        <f t="shared" si="105"/>
        <v>0</v>
      </c>
      <c r="T57" s="20"/>
      <c r="U57" s="20"/>
      <c r="V57" s="20"/>
      <c r="W57" s="20"/>
      <c r="X57" s="20"/>
      <c r="Y57" s="20"/>
      <c r="Z57" s="9">
        <f t="shared" si="106"/>
        <v>0</v>
      </c>
      <c r="AA57" s="20"/>
      <c r="AB57" s="25">
        <v>195000</v>
      </c>
      <c r="AC57" s="20">
        <v>36000</v>
      </c>
      <c r="AD57" s="20">
        <v>30000</v>
      </c>
      <c r="AE57" s="20"/>
      <c r="AF57" s="20"/>
      <c r="AG57" s="21">
        <f t="shared" si="107"/>
        <v>261000</v>
      </c>
      <c r="AH57" s="25"/>
      <c r="AI57" s="20"/>
      <c r="AJ57" s="20"/>
      <c r="AK57" s="21">
        <f t="shared" si="108"/>
        <v>0</v>
      </c>
      <c r="AL57" s="25"/>
      <c r="AM57" s="20"/>
      <c r="AN57" s="20"/>
      <c r="AO57" s="21">
        <f t="shared" si="109"/>
        <v>0</v>
      </c>
      <c r="AP57" s="25"/>
      <c r="AQ57" s="25">
        <v>100000</v>
      </c>
      <c r="AR57" s="25"/>
      <c r="AS57" s="25"/>
      <c r="AT57" s="20"/>
      <c r="AU57" s="20"/>
      <c r="AV57" s="21">
        <f t="shared" si="110"/>
        <v>100000</v>
      </c>
      <c r="AW57" s="4">
        <f t="shared" si="111"/>
        <v>0</v>
      </c>
      <c r="AX57" s="4">
        <f t="shared" si="111"/>
        <v>295000</v>
      </c>
      <c r="AY57" s="4">
        <f t="shared" si="111"/>
        <v>36000</v>
      </c>
      <c r="AZ57" s="4">
        <f t="shared" si="112"/>
        <v>30000</v>
      </c>
      <c r="BA57" s="94">
        <f t="shared" si="112"/>
        <v>0</v>
      </c>
      <c r="BB57" s="94">
        <f t="shared" si="113"/>
        <v>0</v>
      </c>
      <c r="BC57" s="9">
        <f t="shared" si="114"/>
        <v>361000</v>
      </c>
    </row>
    <row r="58" spans="1:55">
      <c r="A58" s="186"/>
      <c r="B58" s="8">
        <v>4</v>
      </c>
      <c r="C58" s="1" t="s">
        <v>138</v>
      </c>
      <c r="D58" s="12" t="s">
        <v>139</v>
      </c>
      <c r="E58" s="4" t="s">
        <v>19</v>
      </c>
      <c r="F58" s="4">
        <v>155000</v>
      </c>
      <c r="G58" s="4"/>
      <c r="H58" s="4">
        <f>323000+565000</f>
        <v>888000</v>
      </c>
      <c r="I58" s="4"/>
      <c r="J58" s="4"/>
      <c r="K58" s="4"/>
      <c r="L58" s="9">
        <f t="shared" si="104"/>
        <v>1043000</v>
      </c>
      <c r="M58" s="76">
        <v>290000</v>
      </c>
      <c r="N58" s="76">
        <v>700000</v>
      </c>
      <c r="O58" s="76">
        <v>1890000</v>
      </c>
      <c r="P58" s="76"/>
      <c r="Q58" s="4"/>
      <c r="R58" s="4"/>
      <c r="S58" s="9">
        <f t="shared" si="105"/>
        <v>2880000</v>
      </c>
      <c r="T58" s="20">
        <v>290000</v>
      </c>
      <c r="U58" s="26">
        <v>336000</v>
      </c>
      <c r="V58" s="4">
        <v>2310000</v>
      </c>
      <c r="W58" s="22"/>
      <c r="X58" s="22"/>
      <c r="Y58" s="22"/>
      <c r="Z58" s="9">
        <f t="shared" si="106"/>
        <v>2936000</v>
      </c>
      <c r="AA58" s="20">
        <v>195000</v>
      </c>
      <c r="AB58" s="25">
        <v>1508350</v>
      </c>
      <c r="AC58" s="25">
        <v>436500</v>
      </c>
      <c r="AD58" s="24"/>
      <c r="AE58" s="20"/>
      <c r="AF58" s="20"/>
      <c r="AG58" s="21">
        <f t="shared" si="107"/>
        <v>2139850</v>
      </c>
      <c r="AH58" s="25"/>
      <c r="AI58" s="20"/>
      <c r="AJ58" s="20"/>
      <c r="AK58" s="21">
        <f t="shared" si="108"/>
        <v>0</v>
      </c>
      <c r="AL58" s="25"/>
      <c r="AM58" s="20"/>
      <c r="AN58" s="20"/>
      <c r="AO58" s="21">
        <f t="shared" si="109"/>
        <v>0</v>
      </c>
      <c r="AP58" s="25"/>
      <c r="AQ58" s="24">
        <v>100000</v>
      </c>
      <c r="AR58" s="25"/>
      <c r="AS58" s="25"/>
      <c r="AT58" s="20"/>
      <c r="AU58" s="20"/>
      <c r="AV58" s="21">
        <f t="shared" si="110"/>
        <v>100000</v>
      </c>
      <c r="AW58" s="4">
        <f t="shared" si="111"/>
        <v>930000</v>
      </c>
      <c r="AX58" s="4">
        <f t="shared" si="111"/>
        <v>2644350</v>
      </c>
      <c r="AY58" s="4">
        <f t="shared" si="111"/>
        <v>5524500</v>
      </c>
      <c r="AZ58" s="4">
        <f t="shared" si="112"/>
        <v>0</v>
      </c>
      <c r="BA58" s="94">
        <f t="shared" si="112"/>
        <v>0</v>
      </c>
      <c r="BB58" s="94">
        <f t="shared" si="113"/>
        <v>0</v>
      </c>
      <c r="BC58" s="9">
        <f t="shared" si="114"/>
        <v>9098850</v>
      </c>
    </row>
    <row r="59" spans="1:55">
      <c r="A59" s="186"/>
      <c r="B59" s="8">
        <v>5</v>
      </c>
      <c r="C59" s="1" t="s">
        <v>140</v>
      </c>
      <c r="D59" s="12" t="s">
        <v>141</v>
      </c>
      <c r="E59" s="4" t="s">
        <v>19</v>
      </c>
      <c r="F59" s="4"/>
      <c r="G59" s="4">
        <v>200000</v>
      </c>
      <c r="H59" s="4">
        <f>5500+11000</f>
        <v>16500</v>
      </c>
      <c r="I59" s="4"/>
      <c r="J59" s="4"/>
      <c r="K59" s="4"/>
      <c r="L59" s="9">
        <f t="shared" si="104"/>
        <v>216500</v>
      </c>
      <c r="M59" s="4"/>
      <c r="N59" s="4"/>
      <c r="O59" s="4"/>
      <c r="P59" s="4"/>
      <c r="Q59" s="4"/>
      <c r="R59" s="4"/>
      <c r="S59" s="9">
        <f t="shared" si="105"/>
        <v>0</v>
      </c>
      <c r="T59" s="20"/>
      <c r="U59" s="20"/>
      <c r="V59" s="4"/>
      <c r="W59" s="20"/>
      <c r="X59" s="20"/>
      <c r="Y59" s="20"/>
      <c r="Z59" s="9">
        <f t="shared" si="106"/>
        <v>0</v>
      </c>
      <c r="AA59" s="20"/>
      <c r="AB59" s="25">
        <v>410250</v>
      </c>
      <c r="AC59" s="25">
        <v>95900</v>
      </c>
      <c r="AD59" s="24">
        <v>76000</v>
      </c>
      <c r="AE59" s="20"/>
      <c r="AF59" s="20"/>
      <c r="AG59" s="21">
        <f t="shared" si="107"/>
        <v>582150</v>
      </c>
      <c r="AH59" s="25"/>
      <c r="AI59" s="20"/>
      <c r="AJ59" s="20"/>
      <c r="AK59" s="21">
        <f t="shared" si="108"/>
        <v>0</v>
      </c>
      <c r="AL59" s="25"/>
      <c r="AM59" s="20"/>
      <c r="AN59" s="20"/>
      <c r="AO59" s="21">
        <f t="shared" si="109"/>
        <v>0</v>
      </c>
      <c r="AP59" s="25"/>
      <c r="AQ59" s="24">
        <v>100000</v>
      </c>
      <c r="AR59" s="25">
        <v>230000</v>
      </c>
      <c r="AS59" s="25"/>
      <c r="AT59" s="20"/>
      <c r="AU59" s="20"/>
      <c r="AV59" s="21">
        <f t="shared" si="110"/>
        <v>330000</v>
      </c>
      <c r="AW59" s="4">
        <f t="shared" si="111"/>
        <v>0</v>
      </c>
      <c r="AX59" s="4">
        <f t="shared" si="111"/>
        <v>710250</v>
      </c>
      <c r="AY59" s="4">
        <f t="shared" si="111"/>
        <v>342400</v>
      </c>
      <c r="AZ59" s="4">
        <f t="shared" si="112"/>
        <v>76000</v>
      </c>
      <c r="BA59" s="94">
        <f t="shared" si="112"/>
        <v>0</v>
      </c>
      <c r="BB59" s="94">
        <f t="shared" si="113"/>
        <v>0</v>
      </c>
      <c r="BC59" s="9">
        <f t="shared" si="114"/>
        <v>1128650</v>
      </c>
    </row>
    <row r="60" spans="1:55">
      <c r="A60" s="186"/>
      <c r="B60" s="8">
        <v>6</v>
      </c>
      <c r="C60" s="1" t="s">
        <v>142</v>
      </c>
      <c r="D60" s="5" t="s">
        <v>410</v>
      </c>
      <c r="E60" s="4" t="s">
        <v>19</v>
      </c>
      <c r="F60" s="4"/>
      <c r="G60" s="4"/>
      <c r="H60" s="4"/>
      <c r="I60" s="4"/>
      <c r="J60" s="4"/>
      <c r="K60" s="4"/>
      <c r="L60" s="9">
        <f t="shared" si="104"/>
        <v>0</v>
      </c>
      <c r="M60" s="4"/>
      <c r="N60" s="4"/>
      <c r="O60" s="4"/>
      <c r="P60" s="4"/>
      <c r="Q60" s="4"/>
      <c r="R60" s="4"/>
      <c r="S60" s="9">
        <f t="shared" si="105"/>
        <v>0</v>
      </c>
      <c r="T60" s="20"/>
      <c r="U60" s="20"/>
      <c r="V60" s="4"/>
      <c r="W60" s="20"/>
      <c r="X60" s="20"/>
      <c r="Y60" s="20"/>
      <c r="Z60" s="9">
        <f t="shared" si="106"/>
        <v>0</v>
      </c>
      <c r="AA60" s="20"/>
      <c r="AB60" s="25">
        <v>592700</v>
      </c>
      <c r="AC60" s="25">
        <v>254000</v>
      </c>
      <c r="AD60" s="24">
        <v>1010000</v>
      </c>
      <c r="AE60" s="20">
        <f>70000+210000+210000+210000+140000</f>
        <v>840000</v>
      </c>
      <c r="AF60" s="20">
        <v>988000</v>
      </c>
      <c r="AG60" s="21">
        <f t="shared" si="107"/>
        <v>3684700</v>
      </c>
      <c r="AH60" s="25"/>
      <c r="AI60" s="20"/>
      <c r="AJ60" s="20"/>
      <c r="AK60" s="21">
        <f t="shared" si="108"/>
        <v>0</v>
      </c>
      <c r="AL60" s="25"/>
      <c r="AM60" s="20"/>
      <c r="AN60" s="20"/>
      <c r="AO60" s="21">
        <f t="shared" si="109"/>
        <v>0</v>
      </c>
      <c r="AP60" s="25"/>
      <c r="AQ60" s="24"/>
      <c r="AR60" s="25"/>
      <c r="AS60" s="25"/>
      <c r="AT60" s="20"/>
      <c r="AU60" s="20"/>
      <c r="AV60" s="21">
        <f t="shared" si="110"/>
        <v>0</v>
      </c>
      <c r="AW60" s="4">
        <f t="shared" si="111"/>
        <v>0</v>
      </c>
      <c r="AX60" s="4">
        <f t="shared" si="111"/>
        <v>592700</v>
      </c>
      <c r="AY60" s="4">
        <f t="shared" si="111"/>
        <v>254000</v>
      </c>
      <c r="AZ60" s="4">
        <f t="shared" si="112"/>
        <v>1010000</v>
      </c>
      <c r="BA60" s="94">
        <f t="shared" si="112"/>
        <v>840000</v>
      </c>
      <c r="BB60" s="94">
        <f t="shared" si="113"/>
        <v>988000</v>
      </c>
      <c r="BC60" s="9">
        <f t="shared" si="114"/>
        <v>3684700</v>
      </c>
    </row>
    <row r="61" spans="1:55">
      <c r="A61" s="186"/>
      <c r="B61" s="8">
        <v>7</v>
      </c>
      <c r="C61" s="1" t="s">
        <v>143</v>
      </c>
      <c r="D61" s="12" t="s">
        <v>144</v>
      </c>
      <c r="E61" s="4" t="s">
        <v>19</v>
      </c>
      <c r="F61" s="4"/>
      <c r="G61" s="4">
        <v>155000</v>
      </c>
      <c r="H61" s="4"/>
      <c r="I61" s="4">
        <v>705500</v>
      </c>
      <c r="J61" s="4">
        <f>73500+35000+101500+94500+94500+63000</f>
        <v>462000</v>
      </c>
      <c r="K61" s="4">
        <f>595500+150500+75000</f>
        <v>821000</v>
      </c>
      <c r="L61" s="9">
        <f t="shared" si="104"/>
        <v>2143500</v>
      </c>
      <c r="M61" s="4"/>
      <c r="N61" s="4"/>
      <c r="O61" s="4"/>
      <c r="P61" s="4"/>
      <c r="Q61" s="4"/>
      <c r="R61" s="4"/>
      <c r="S61" s="9">
        <f t="shared" si="105"/>
        <v>0</v>
      </c>
      <c r="T61" s="20"/>
      <c r="U61" s="20"/>
      <c r="V61" s="4"/>
      <c r="W61" s="20"/>
      <c r="X61" s="20"/>
      <c r="Y61" s="20"/>
      <c r="Z61" s="9">
        <f t="shared" si="106"/>
        <v>0</v>
      </c>
      <c r="AA61" s="20"/>
      <c r="AB61" s="20"/>
      <c r="AC61" s="20"/>
      <c r="AD61" s="20"/>
      <c r="AE61" s="20"/>
      <c r="AF61" s="20"/>
      <c r="AG61" s="21">
        <f t="shared" si="107"/>
        <v>0</v>
      </c>
      <c r="AH61" s="25"/>
      <c r="AI61" s="20"/>
      <c r="AJ61" s="20"/>
      <c r="AK61" s="21">
        <f t="shared" si="108"/>
        <v>0</v>
      </c>
      <c r="AL61" s="25"/>
      <c r="AM61" s="20"/>
      <c r="AN61" s="20"/>
      <c r="AO61" s="21">
        <f t="shared" si="109"/>
        <v>0</v>
      </c>
      <c r="AP61" s="25"/>
      <c r="AQ61" s="24"/>
      <c r="AR61" s="25">
        <v>348400</v>
      </c>
      <c r="AS61" s="25"/>
      <c r="AT61" s="20"/>
      <c r="AU61" s="20"/>
      <c r="AV61" s="21">
        <f t="shared" si="110"/>
        <v>348400</v>
      </c>
      <c r="AW61" s="4">
        <f t="shared" si="111"/>
        <v>0</v>
      </c>
      <c r="AX61" s="4">
        <f t="shared" si="111"/>
        <v>155000</v>
      </c>
      <c r="AY61" s="4">
        <f t="shared" si="111"/>
        <v>348400</v>
      </c>
      <c r="AZ61" s="4">
        <f t="shared" si="112"/>
        <v>705500</v>
      </c>
      <c r="BA61" s="94">
        <f t="shared" si="112"/>
        <v>462000</v>
      </c>
      <c r="BB61" s="94">
        <f t="shared" si="113"/>
        <v>821000</v>
      </c>
      <c r="BC61" s="9">
        <f t="shared" si="114"/>
        <v>2491900</v>
      </c>
    </row>
    <row r="62" spans="1:55" ht="47.25">
      <c r="A62" s="187"/>
      <c r="B62" s="8">
        <v>8</v>
      </c>
      <c r="C62" s="1" t="s">
        <v>145</v>
      </c>
      <c r="D62" s="12" t="s">
        <v>146</v>
      </c>
      <c r="E62" s="4" t="s">
        <v>19</v>
      </c>
      <c r="F62" s="4"/>
      <c r="G62" s="4"/>
      <c r="H62" s="4">
        <v>155000</v>
      </c>
      <c r="I62" s="4"/>
      <c r="J62" s="4"/>
      <c r="K62" s="4"/>
      <c r="L62" s="9">
        <f t="shared" si="104"/>
        <v>155000</v>
      </c>
      <c r="M62" s="4"/>
      <c r="N62" s="4"/>
      <c r="O62" s="4"/>
      <c r="P62" s="4"/>
      <c r="Q62" s="4"/>
      <c r="R62" s="4"/>
      <c r="S62" s="9">
        <f t="shared" si="105"/>
        <v>0</v>
      </c>
      <c r="T62" s="20"/>
      <c r="U62" s="20"/>
      <c r="V62" s="4">
        <v>290000</v>
      </c>
      <c r="W62" s="23"/>
      <c r="X62" s="23"/>
      <c r="Y62" s="23"/>
      <c r="Z62" s="9">
        <f t="shared" si="106"/>
        <v>290000</v>
      </c>
      <c r="AA62" s="20"/>
      <c r="AB62" s="25">
        <v>386400</v>
      </c>
      <c r="AC62" s="25">
        <v>67900</v>
      </c>
      <c r="AD62" s="25"/>
      <c r="AE62" s="20"/>
      <c r="AF62" s="20"/>
      <c r="AG62" s="21">
        <f t="shared" si="107"/>
        <v>454300</v>
      </c>
      <c r="AH62" s="25"/>
      <c r="AI62" s="20"/>
      <c r="AJ62" s="20"/>
      <c r="AK62" s="21">
        <f t="shared" si="108"/>
        <v>0</v>
      </c>
      <c r="AL62" s="25"/>
      <c r="AM62" s="20"/>
      <c r="AN62" s="20"/>
      <c r="AO62" s="21">
        <f t="shared" si="109"/>
        <v>0</v>
      </c>
      <c r="AP62" s="25"/>
      <c r="AQ62" s="25"/>
      <c r="AR62" s="25"/>
      <c r="AS62" s="25"/>
      <c r="AT62" s="20"/>
      <c r="AU62" s="20"/>
      <c r="AV62" s="21">
        <f t="shared" si="110"/>
        <v>0</v>
      </c>
      <c r="AW62" s="4">
        <f t="shared" si="111"/>
        <v>0</v>
      </c>
      <c r="AX62" s="4">
        <f t="shared" si="111"/>
        <v>386400</v>
      </c>
      <c r="AY62" s="4">
        <f t="shared" si="111"/>
        <v>512900</v>
      </c>
      <c r="AZ62" s="4">
        <f t="shared" si="112"/>
        <v>0</v>
      </c>
      <c r="BA62" s="94">
        <f t="shared" si="112"/>
        <v>0</v>
      </c>
      <c r="BB62" s="94">
        <f t="shared" si="113"/>
        <v>0</v>
      </c>
      <c r="BC62" s="9">
        <f t="shared" si="114"/>
        <v>899300</v>
      </c>
    </row>
    <row r="63" spans="1:55" s="38" customFormat="1">
      <c r="A63" s="34"/>
      <c r="B63" s="34"/>
      <c r="C63" s="35" t="s">
        <v>147</v>
      </c>
      <c r="D63" s="37"/>
      <c r="E63" s="37"/>
      <c r="F63" s="37">
        <f>SUM(F55:F62)</f>
        <v>155000</v>
      </c>
      <c r="G63" s="37">
        <f t="shared" ref="G63:BC63" si="115">SUM(G55:G62)</f>
        <v>355000</v>
      </c>
      <c r="H63" s="37">
        <f t="shared" si="115"/>
        <v>1059500</v>
      </c>
      <c r="I63" s="37">
        <f t="shared" si="115"/>
        <v>705500</v>
      </c>
      <c r="J63" s="37">
        <f t="shared" si="115"/>
        <v>462000</v>
      </c>
      <c r="K63" s="37">
        <f t="shared" si="115"/>
        <v>821000</v>
      </c>
      <c r="L63" s="37">
        <f t="shared" si="115"/>
        <v>3558000</v>
      </c>
      <c r="M63" s="37">
        <f t="shared" si="115"/>
        <v>290000</v>
      </c>
      <c r="N63" s="37">
        <f t="shared" si="115"/>
        <v>700000</v>
      </c>
      <c r="O63" s="37">
        <f t="shared" si="115"/>
        <v>1890000</v>
      </c>
      <c r="P63" s="37">
        <f t="shared" si="115"/>
        <v>0</v>
      </c>
      <c r="Q63" s="37">
        <f t="shared" si="115"/>
        <v>0</v>
      </c>
      <c r="R63" s="37">
        <f t="shared" si="115"/>
        <v>0</v>
      </c>
      <c r="S63" s="37">
        <f t="shared" si="115"/>
        <v>2880000</v>
      </c>
      <c r="T63" s="37">
        <f t="shared" si="115"/>
        <v>290000</v>
      </c>
      <c r="U63" s="37">
        <f t="shared" si="115"/>
        <v>336000</v>
      </c>
      <c r="V63" s="37">
        <f t="shared" si="115"/>
        <v>2600000</v>
      </c>
      <c r="W63" s="37">
        <f t="shared" si="115"/>
        <v>0</v>
      </c>
      <c r="X63" s="37">
        <f t="shared" si="115"/>
        <v>0</v>
      </c>
      <c r="Y63" s="37">
        <f t="shared" si="115"/>
        <v>0</v>
      </c>
      <c r="Z63" s="37">
        <f t="shared" si="115"/>
        <v>3226000</v>
      </c>
      <c r="AA63" s="37">
        <f t="shared" si="115"/>
        <v>195000</v>
      </c>
      <c r="AB63" s="37">
        <f t="shared" si="115"/>
        <v>4084950</v>
      </c>
      <c r="AC63" s="37">
        <f t="shared" si="115"/>
        <v>1617200</v>
      </c>
      <c r="AD63" s="37">
        <f t="shared" si="115"/>
        <v>1876000</v>
      </c>
      <c r="AE63" s="37">
        <f t="shared" si="115"/>
        <v>1680000</v>
      </c>
      <c r="AF63" s="37">
        <f t="shared" si="115"/>
        <v>2328520</v>
      </c>
      <c r="AG63" s="37">
        <f t="shared" si="115"/>
        <v>11781670</v>
      </c>
      <c r="AH63" s="37">
        <f t="shared" si="115"/>
        <v>0</v>
      </c>
      <c r="AI63" s="37">
        <f t="shared" si="115"/>
        <v>0</v>
      </c>
      <c r="AJ63" s="37">
        <f t="shared" si="115"/>
        <v>0</v>
      </c>
      <c r="AK63" s="37">
        <f t="shared" si="115"/>
        <v>0</v>
      </c>
      <c r="AL63" s="37">
        <f t="shared" si="115"/>
        <v>0</v>
      </c>
      <c r="AM63" s="37">
        <f t="shared" si="115"/>
        <v>0</v>
      </c>
      <c r="AN63" s="37">
        <f t="shared" si="115"/>
        <v>0</v>
      </c>
      <c r="AO63" s="37">
        <f t="shared" si="115"/>
        <v>0</v>
      </c>
      <c r="AP63" s="37">
        <f t="shared" si="115"/>
        <v>0</v>
      </c>
      <c r="AQ63" s="37">
        <f t="shared" si="115"/>
        <v>500000</v>
      </c>
      <c r="AR63" s="37">
        <f t="shared" si="115"/>
        <v>1018400</v>
      </c>
      <c r="AS63" s="37">
        <f t="shared" si="115"/>
        <v>0</v>
      </c>
      <c r="AT63" s="37">
        <f t="shared" si="115"/>
        <v>0</v>
      </c>
      <c r="AU63" s="37">
        <f t="shared" si="115"/>
        <v>0</v>
      </c>
      <c r="AV63" s="37">
        <f t="shared" si="115"/>
        <v>1518400</v>
      </c>
      <c r="AW63" s="37">
        <f t="shared" si="115"/>
        <v>930000</v>
      </c>
      <c r="AX63" s="37">
        <f t="shared" si="115"/>
        <v>5975950</v>
      </c>
      <c r="AY63" s="37">
        <f t="shared" si="115"/>
        <v>8185100</v>
      </c>
      <c r="AZ63" s="37">
        <f t="shared" si="115"/>
        <v>2581500</v>
      </c>
      <c r="BA63" s="37">
        <f t="shared" si="115"/>
        <v>2142000</v>
      </c>
      <c r="BB63" s="37">
        <f t="shared" si="115"/>
        <v>3149520</v>
      </c>
      <c r="BC63" s="37">
        <f t="shared" si="115"/>
        <v>22964070</v>
      </c>
    </row>
    <row r="64" spans="1:55">
      <c r="A64" s="185" t="s">
        <v>148</v>
      </c>
      <c r="B64" s="8">
        <v>1</v>
      </c>
      <c r="C64" s="1" t="s">
        <v>149</v>
      </c>
      <c r="D64" s="4" t="s">
        <v>150</v>
      </c>
      <c r="E64" s="4" t="s">
        <v>148</v>
      </c>
      <c r="F64" s="4"/>
      <c r="G64" s="4">
        <v>155000</v>
      </c>
      <c r="H64" s="4"/>
      <c r="I64" s="4"/>
      <c r="J64" s="4">
        <v>-155000</v>
      </c>
      <c r="K64" s="4"/>
      <c r="L64" s="9">
        <f t="shared" ref="L64:L67" si="116">SUM(F64:K64)</f>
        <v>0</v>
      </c>
      <c r="M64" s="4"/>
      <c r="N64" s="4"/>
      <c r="O64" s="4"/>
      <c r="P64" s="4"/>
      <c r="Q64" s="4"/>
      <c r="R64" s="4"/>
      <c r="S64" s="9">
        <f t="shared" ref="S64:S67" si="117">SUM(M64:R64)</f>
        <v>0</v>
      </c>
      <c r="T64" s="20"/>
      <c r="U64" s="20"/>
      <c r="V64" s="20"/>
      <c r="W64" s="20"/>
      <c r="X64" s="20"/>
      <c r="Y64" s="20"/>
      <c r="Z64" s="9">
        <f t="shared" ref="Z64:Z67" si="118">SUM(T64:Y64)</f>
        <v>0</v>
      </c>
      <c r="AA64" s="20"/>
      <c r="AB64" s="20">
        <v>195000</v>
      </c>
      <c r="AC64" s="20"/>
      <c r="AD64" s="20"/>
      <c r="AE64" s="20">
        <v>-195000</v>
      </c>
      <c r="AF64" s="20"/>
      <c r="AG64" s="21">
        <f t="shared" ref="AG64:AG67" si="119">SUM(AA64:AF64)</f>
        <v>0</v>
      </c>
      <c r="AH64" s="25">
        <v>0</v>
      </c>
      <c r="AI64" s="20"/>
      <c r="AJ64" s="20"/>
      <c r="AK64" s="21">
        <f t="shared" ref="AK64:AK67" si="120">SUM(AH64:AJ64)</f>
        <v>0</v>
      </c>
      <c r="AL64" s="25"/>
      <c r="AM64" s="20"/>
      <c r="AN64" s="20"/>
      <c r="AO64" s="21">
        <f t="shared" ref="AO64:AO67" si="121">SUM(AL64:AN64)</f>
        <v>0</v>
      </c>
      <c r="AP64" s="25"/>
      <c r="AQ64" s="25"/>
      <c r="AR64" s="25"/>
      <c r="AS64" s="25"/>
      <c r="AT64" s="20"/>
      <c r="AU64" s="20"/>
      <c r="AV64" s="21">
        <f t="shared" ref="AV64:AV67" si="122">SUM(AP64:AU64)</f>
        <v>0</v>
      </c>
      <c r="AW64" s="4">
        <f t="shared" ref="AW64:AY67" si="123">F64+M64+T64+AA64+AP64</f>
        <v>0</v>
      </c>
      <c r="AX64" s="4">
        <f t="shared" si="123"/>
        <v>350000</v>
      </c>
      <c r="AY64" s="4">
        <f t="shared" si="123"/>
        <v>0</v>
      </c>
      <c r="AZ64" s="4">
        <f t="shared" ref="AZ64:BA67" si="124">I64+P64+W64+AD64+AH64+AL64+AS64</f>
        <v>0</v>
      </c>
      <c r="BA64" s="94">
        <f t="shared" si="124"/>
        <v>-350000</v>
      </c>
      <c r="BB64" s="94">
        <f t="shared" ref="BB64:BB67" si="125">K64+R64+Y64+AF64+AJ64+AN64+AU64</f>
        <v>0</v>
      </c>
      <c r="BC64" s="9">
        <f t="shared" ref="BC64:BC67" si="126">SUM(AW64:BB64)</f>
        <v>0</v>
      </c>
    </row>
    <row r="65" spans="1:55">
      <c r="A65" s="186"/>
      <c r="B65" s="8">
        <v>2</v>
      </c>
      <c r="C65" s="1" t="s">
        <v>151</v>
      </c>
      <c r="D65" s="4" t="s">
        <v>152</v>
      </c>
      <c r="E65" s="4" t="s">
        <v>153</v>
      </c>
      <c r="F65" s="4">
        <v>155000</v>
      </c>
      <c r="G65" s="4">
        <v>153000</v>
      </c>
      <c r="H65" s="4">
        <v>187500</v>
      </c>
      <c r="I65" s="4">
        <v>8000</v>
      </c>
      <c r="J65" s="4"/>
      <c r="K65" s="4"/>
      <c r="L65" s="9">
        <f t="shared" si="116"/>
        <v>503500</v>
      </c>
      <c r="M65" s="4"/>
      <c r="N65" s="4"/>
      <c r="O65" s="4"/>
      <c r="P65" s="4"/>
      <c r="Q65" s="4"/>
      <c r="R65" s="4"/>
      <c r="S65" s="9">
        <f t="shared" si="117"/>
        <v>0</v>
      </c>
      <c r="T65" s="20"/>
      <c r="U65" s="20"/>
      <c r="V65" s="20"/>
      <c r="W65" s="20"/>
      <c r="X65" s="20"/>
      <c r="Y65" s="20"/>
      <c r="Z65" s="9">
        <f t="shared" si="118"/>
        <v>0</v>
      </c>
      <c r="AA65" s="20">
        <v>195000</v>
      </c>
      <c r="AB65" s="25">
        <v>295650</v>
      </c>
      <c r="AC65" s="25">
        <v>223100</v>
      </c>
      <c r="AD65" s="24">
        <v>96000</v>
      </c>
      <c r="AE65" s="20"/>
      <c r="AF65" s="20"/>
      <c r="AG65" s="21">
        <f t="shared" si="119"/>
        <v>809750</v>
      </c>
      <c r="AH65" s="25">
        <v>380000</v>
      </c>
      <c r="AI65" s="20">
        <f>34000+102000+105000+105000+70000</f>
        <v>416000</v>
      </c>
      <c r="AJ65" s="20">
        <f>481600+112400+56200</f>
        <v>650200</v>
      </c>
      <c r="AK65" s="21">
        <f t="shared" si="120"/>
        <v>1446200</v>
      </c>
      <c r="AL65" s="25"/>
      <c r="AM65" s="20"/>
      <c r="AN65" s="20"/>
      <c r="AO65" s="21">
        <f t="shared" si="121"/>
        <v>0</v>
      </c>
      <c r="AP65" s="25"/>
      <c r="AQ65" s="24">
        <v>100000</v>
      </c>
      <c r="AR65" s="25">
        <v>230000</v>
      </c>
      <c r="AS65" s="25"/>
      <c r="AT65" s="20"/>
      <c r="AU65" s="20"/>
      <c r="AV65" s="21">
        <f t="shared" si="122"/>
        <v>330000</v>
      </c>
      <c r="AW65" s="4">
        <f t="shared" si="123"/>
        <v>350000</v>
      </c>
      <c r="AX65" s="4">
        <f t="shared" si="123"/>
        <v>548650</v>
      </c>
      <c r="AY65" s="4">
        <f t="shared" si="123"/>
        <v>640600</v>
      </c>
      <c r="AZ65" s="4">
        <f t="shared" si="124"/>
        <v>484000</v>
      </c>
      <c r="BA65" s="94">
        <f t="shared" si="124"/>
        <v>416000</v>
      </c>
      <c r="BB65" s="94">
        <f t="shared" si="125"/>
        <v>650200</v>
      </c>
      <c r="BC65" s="9">
        <f t="shared" si="126"/>
        <v>3089450</v>
      </c>
    </row>
    <row r="66" spans="1:55" ht="31.5">
      <c r="A66" s="186"/>
      <c r="B66" s="8">
        <v>3</v>
      </c>
      <c r="C66" s="1" t="s">
        <v>154</v>
      </c>
      <c r="D66" s="4" t="s">
        <v>155</v>
      </c>
      <c r="E66" s="4" t="s">
        <v>153</v>
      </c>
      <c r="F66" s="4">
        <v>155000</v>
      </c>
      <c r="G66" s="4"/>
      <c r="H66" s="4">
        <v>22000</v>
      </c>
      <c r="I66" s="4">
        <f>128000+10000+14000</f>
        <v>152000</v>
      </c>
      <c r="J66" s="4"/>
      <c r="K66" s="4"/>
      <c r="L66" s="9">
        <f t="shared" si="116"/>
        <v>329000</v>
      </c>
      <c r="M66" s="4"/>
      <c r="N66" s="4"/>
      <c r="O66" s="4"/>
      <c r="P66" s="4"/>
      <c r="Q66" s="4"/>
      <c r="R66" s="4"/>
      <c r="S66" s="9">
        <f t="shared" si="117"/>
        <v>0</v>
      </c>
      <c r="T66" s="20"/>
      <c r="U66" s="20"/>
      <c r="V66" s="20"/>
      <c r="W66" s="20"/>
      <c r="X66" s="20"/>
      <c r="Y66" s="20"/>
      <c r="Z66" s="9">
        <f t="shared" si="118"/>
        <v>0</v>
      </c>
      <c r="AA66" s="20">
        <v>195000</v>
      </c>
      <c r="AB66" s="25">
        <v>111550</v>
      </c>
      <c r="AC66" s="25">
        <v>586850</v>
      </c>
      <c r="AD66" s="25">
        <v>180000</v>
      </c>
      <c r="AE66" s="20"/>
      <c r="AF66" s="20"/>
      <c r="AG66" s="21">
        <f t="shared" si="119"/>
        <v>1073400</v>
      </c>
      <c r="AH66" s="24">
        <v>577500</v>
      </c>
      <c r="AI66" s="20">
        <f>189000+185500+196000+199500+133000</f>
        <v>903000</v>
      </c>
      <c r="AJ66" s="20">
        <f>837900+197600+98800</f>
        <v>1134300</v>
      </c>
      <c r="AK66" s="21">
        <f t="shared" si="120"/>
        <v>2614800</v>
      </c>
      <c r="AL66" s="25"/>
      <c r="AM66" s="20"/>
      <c r="AN66" s="20"/>
      <c r="AO66" s="21">
        <f t="shared" si="121"/>
        <v>0</v>
      </c>
      <c r="AP66" s="25"/>
      <c r="AQ66" s="25"/>
      <c r="AR66" s="25"/>
      <c r="AS66" s="25"/>
      <c r="AT66" s="20"/>
      <c r="AU66" s="20"/>
      <c r="AV66" s="21">
        <f t="shared" si="122"/>
        <v>0</v>
      </c>
      <c r="AW66" s="4">
        <f t="shared" si="123"/>
        <v>350000</v>
      </c>
      <c r="AX66" s="4">
        <f t="shared" si="123"/>
        <v>111550</v>
      </c>
      <c r="AY66" s="4">
        <f t="shared" si="123"/>
        <v>608850</v>
      </c>
      <c r="AZ66" s="4">
        <f t="shared" si="124"/>
        <v>909500</v>
      </c>
      <c r="BA66" s="94">
        <f t="shared" si="124"/>
        <v>903000</v>
      </c>
      <c r="BB66" s="94">
        <f t="shared" si="125"/>
        <v>1134300</v>
      </c>
      <c r="BC66" s="9">
        <f t="shared" si="126"/>
        <v>4017200</v>
      </c>
    </row>
    <row r="67" spans="1:55" ht="31.5">
      <c r="A67" s="187"/>
      <c r="B67" s="8">
        <v>4</v>
      </c>
      <c r="C67" s="1" t="s">
        <v>156</v>
      </c>
      <c r="D67" s="5" t="s">
        <v>411</v>
      </c>
      <c r="E67" s="4" t="s">
        <v>153</v>
      </c>
      <c r="F67" s="4"/>
      <c r="G67" s="4"/>
      <c r="H67" s="4"/>
      <c r="I67" s="4"/>
      <c r="J67" s="4"/>
      <c r="K67" s="4"/>
      <c r="L67" s="9">
        <f t="shared" si="116"/>
        <v>0</v>
      </c>
      <c r="M67" s="4"/>
      <c r="N67" s="4"/>
      <c r="O67" s="4"/>
      <c r="P67" s="4"/>
      <c r="Q67" s="4"/>
      <c r="R67" s="4"/>
      <c r="S67" s="9">
        <f t="shared" si="117"/>
        <v>0</v>
      </c>
      <c r="T67" s="20"/>
      <c r="U67" s="20"/>
      <c r="V67" s="20"/>
      <c r="W67" s="20"/>
      <c r="X67" s="20"/>
      <c r="Y67" s="20"/>
      <c r="Z67" s="9">
        <f t="shared" si="118"/>
        <v>0</v>
      </c>
      <c r="AA67" s="20"/>
      <c r="AB67" s="24">
        <v>195000</v>
      </c>
      <c r="AC67" s="20">
        <v>-195000</v>
      </c>
      <c r="AD67" s="20">
        <v>74000</v>
      </c>
      <c r="AE67" s="20"/>
      <c r="AF67" s="20"/>
      <c r="AG67" s="21">
        <f t="shared" si="119"/>
        <v>74000</v>
      </c>
      <c r="AH67" s="25">
        <v>0</v>
      </c>
      <c r="AI67" s="20"/>
      <c r="AJ67" s="20"/>
      <c r="AK67" s="21">
        <f t="shared" si="120"/>
        <v>0</v>
      </c>
      <c r="AL67" s="25"/>
      <c r="AM67" s="20"/>
      <c r="AN67" s="20"/>
      <c r="AO67" s="21">
        <f t="shared" si="121"/>
        <v>0</v>
      </c>
      <c r="AP67" s="25"/>
      <c r="AQ67" s="25"/>
      <c r="AR67" s="25"/>
      <c r="AS67" s="25"/>
      <c r="AT67" s="20"/>
      <c r="AU67" s="20"/>
      <c r="AV67" s="21">
        <f t="shared" si="122"/>
        <v>0</v>
      </c>
      <c r="AW67" s="4">
        <f t="shared" si="123"/>
        <v>0</v>
      </c>
      <c r="AX67" s="4">
        <f t="shared" si="123"/>
        <v>195000</v>
      </c>
      <c r="AY67" s="4">
        <f t="shared" si="123"/>
        <v>-195000</v>
      </c>
      <c r="AZ67" s="4">
        <f t="shared" si="124"/>
        <v>74000</v>
      </c>
      <c r="BA67" s="94">
        <f t="shared" si="124"/>
        <v>0</v>
      </c>
      <c r="BB67" s="94">
        <f t="shared" si="125"/>
        <v>0</v>
      </c>
      <c r="BC67" s="9">
        <f t="shared" si="126"/>
        <v>74000</v>
      </c>
    </row>
    <row r="68" spans="1:55" s="38" customFormat="1">
      <c r="A68" s="34"/>
      <c r="B68" s="34"/>
      <c r="C68" s="35" t="s">
        <v>157</v>
      </c>
      <c r="D68" s="37"/>
      <c r="E68" s="37"/>
      <c r="F68" s="37">
        <f>SUM(F64:F67)</f>
        <v>310000</v>
      </c>
      <c r="G68" s="37">
        <f t="shared" ref="G68:BC68" si="127">SUM(G64:G67)</f>
        <v>308000</v>
      </c>
      <c r="H68" s="37">
        <f t="shared" si="127"/>
        <v>209500</v>
      </c>
      <c r="I68" s="37">
        <f t="shared" si="127"/>
        <v>160000</v>
      </c>
      <c r="J68" s="37">
        <f t="shared" si="127"/>
        <v>-155000</v>
      </c>
      <c r="K68" s="37">
        <f t="shared" si="127"/>
        <v>0</v>
      </c>
      <c r="L68" s="37">
        <f t="shared" si="127"/>
        <v>832500</v>
      </c>
      <c r="M68" s="37">
        <f t="shared" si="127"/>
        <v>0</v>
      </c>
      <c r="N68" s="37">
        <f t="shared" si="127"/>
        <v>0</v>
      </c>
      <c r="O68" s="37">
        <f t="shared" si="127"/>
        <v>0</v>
      </c>
      <c r="P68" s="37">
        <f t="shared" si="127"/>
        <v>0</v>
      </c>
      <c r="Q68" s="37">
        <f t="shared" si="127"/>
        <v>0</v>
      </c>
      <c r="R68" s="37">
        <f t="shared" si="127"/>
        <v>0</v>
      </c>
      <c r="S68" s="37">
        <f t="shared" si="127"/>
        <v>0</v>
      </c>
      <c r="T68" s="37">
        <f t="shared" si="127"/>
        <v>0</v>
      </c>
      <c r="U68" s="37">
        <f t="shared" si="127"/>
        <v>0</v>
      </c>
      <c r="V68" s="37">
        <f t="shared" si="127"/>
        <v>0</v>
      </c>
      <c r="W68" s="37">
        <f t="shared" si="127"/>
        <v>0</v>
      </c>
      <c r="X68" s="37">
        <f t="shared" si="127"/>
        <v>0</v>
      </c>
      <c r="Y68" s="37">
        <f t="shared" si="127"/>
        <v>0</v>
      </c>
      <c r="Z68" s="37">
        <f t="shared" si="127"/>
        <v>0</v>
      </c>
      <c r="AA68" s="37">
        <f t="shared" si="127"/>
        <v>390000</v>
      </c>
      <c r="AB68" s="37">
        <f t="shared" si="127"/>
        <v>797200</v>
      </c>
      <c r="AC68" s="37">
        <f t="shared" si="127"/>
        <v>614950</v>
      </c>
      <c r="AD68" s="37">
        <f t="shared" si="127"/>
        <v>350000</v>
      </c>
      <c r="AE68" s="37">
        <f t="shared" si="127"/>
        <v>-195000</v>
      </c>
      <c r="AF68" s="37">
        <f t="shared" si="127"/>
        <v>0</v>
      </c>
      <c r="AG68" s="37">
        <f t="shared" si="127"/>
        <v>1957150</v>
      </c>
      <c r="AH68" s="37">
        <f t="shared" si="127"/>
        <v>957500</v>
      </c>
      <c r="AI68" s="37">
        <f t="shared" si="127"/>
        <v>1319000</v>
      </c>
      <c r="AJ68" s="37">
        <f t="shared" si="127"/>
        <v>1784500</v>
      </c>
      <c r="AK68" s="37">
        <f t="shared" si="127"/>
        <v>4061000</v>
      </c>
      <c r="AL68" s="37">
        <f t="shared" si="127"/>
        <v>0</v>
      </c>
      <c r="AM68" s="37">
        <f t="shared" si="127"/>
        <v>0</v>
      </c>
      <c r="AN68" s="37">
        <f t="shared" si="127"/>
        <v>0</v>
      </c>
      <c r="AO68" s="37">
        <f t="shared" si="127"/>
        <v>0</v>
      </c>
      <c r="AP68" s="37">
        <f t="shared" si="127"/>
        <v>0</v>
      </c>
      <c r="AQ68" s="37">
        <f t="shared" si="127"/>
        <v>100000</v>
      </c>
      <c r="AR68" s="37">
        <f t="shared" si="127"/>
        <v>230000</v>
      </c>
      <c r="AS68" s="37">
        <f t="shared" si="127"/>
        <v>0</v>
      </c>
      <c r="AT68" s="37">
        <f t="shared" si="127"/>
        <v>0</v>
      </c>
      <c r="AU68" s="37">
        <f t="shared" si="127"/>
        <v>0</v>
      </c>
      <c r="AV68" s="37">
        <f t="shared" si="127"/>
        <v>330000</v>
      </c>
      <c r="AW68" s="37">
        <f t="shared" si="127"/>
        <v>700000</v>
      </c>
      <c r="AX68" s="37">
        <f t="shared" si="127"/>
        <v>1205200</v>
      </c>
      <c r="AY68" s="37">
        <f t="shared" si="127"/>
        <v>1054450</v>
      </c>
      <c r="AZ68" s="37">
        <f t="shared" si="127"/>
        <v>1467500</v>
      </c>
      <c r="BA68" s="37">
        <f t="shared" si="127"/>
        <v>969000</v>
      </c>
      <c r="BB68" s="37">
        <f t="shared" si="127"/>
        <v>1784500</v>
      </c>
      <c r="BC68" s="37">
        <f t="shared" si="127"/>
        <v>7180650</v>
      </c>
    </row>
    <row r="69" spans="1:55">
      <c r="A69" s="108" t="s">
        <v>28</v>
      </c>
      <c r="B69" s="8">
        <v>1</v>
      </c>
      <c r="C69" s="1" t="s">
        <v>3</v>
      </c>
      <c r="D69" s="5" t="s">
        <v>412</v>
      </c>
      <c r="E69" s="4" t="s">
        <v>28</v>
      </c>
      <c r="F69" s="4"/>
      <c r="G69" s="4"/>
      <c r="H69" s="5"/>
      <c r="I69" s="4"/>
      <c r="J69" s="4"/>
      <c r="K69" s="4"/>
      <c r="L69" s="9">
        <f>SUM(F69:K69)</f>
        <v>0</v>
      </c>
      <c r="M69" s="4"/>
      <c r="N69" s="4"/>
      <c r="O69" s="4"/>
      <c r="P69" s="4"/>
      <c r="Q69" s="4"/>
      <c r="R69" s="4"/>
      <c r="S69" s="9">
        <f>SUM(M69:R69)</f>
        <v>0</v>
      </c>
      <c r="T69" s="20"/>
      <c r="U69" s="22">
        <v>290000</v>
      </c>
      <c r="V69" s="20"/>
      <c r="W69" s="20"/>
      <c r="X69" s="20"/>
      <c r="Y69" s="20"/>
      <c r="Z69" s="9">
        <f>SUM(T69:Y69)</f>
        <v>290000</v>
      </c>
      <c r="AA69" s="20"/>
      <c r="AB69" s="24">
        <v>195000</v>
      </c>
      <c r="AC69" s="20"/>
      <c r="AD69" s="20"/>
      <c r="AE69" s="20"/>
      <c r="AF69" s="20"/>
      <c r="AG69" s="21">
        <f>SUM(AA69:AF69)</f>
        <v>195000</v>
      </c>
      <c r="AH69" s="25"/>
      <c r="AI69" s="20"/>
      <c r="AJ69" s="20"/>
      <c r="AK69" s="21">
        <f>SUM(AH69:AJ69)</f>
        <v>0</v>
      </c>
      <c r="AL69" s="25"/>
      <c r="AM69" s="20"/>
      <c r="AN69" s="20"/>
      <c r="AO69" s="21">
        <f>SUM(AL69:AN69)</f>
        <v>0</v>
      </c>
      <c r="AP69" s="25"/>
      <c r="AQ69" s="25"/>
      <c r="AR69" s="25"/>
      <c r="AS69" s="25"/>
      <c r="AT69" s="20"/>
      <c r="AU69" s="20"/>
      <c r="AV69" s="21">
        <f>SUM(AP69:AU69)</f>
        <v>0</v>
      </c>
      <c r="AW69" s="4">
        <f>F69+M69+T69+AA69+AP69</f>
        <v>0</v>
      </c>
      <c r="AX69" s="4">
        <f>G69+N69+U69+AB69+AQ69</f>
        <v>485000</v>
      </c>
      <c r="AY69" s="4">
        <f>H69+O69+V69+AC69+AR69</f>
        <v>0</v>
      </c>
      <c r="AZ69" s="4">
        <f>I69+P69+W69+AD69+AH69+AL69+AS69</f>
        <v>0</v>
      </c>
      <c r="BA69" s="94">
        <f>J69+Q69+X69+AE69+AI69+AM69+AT69</f>
        <v>0</v>
      </c>
      <c r="BB69" s="94">
        <f>K69+R69+Y69+AF69+AJ69+AN69+AU69</f>
        <v>0</v>
      </c>
      <c r="BC69" s="9">
        <f>SUM(AW69:BB69)</f>
        <v>485000</v>
      </c>
    </row>
    <row r="70" spans="1:55" s="38" customFormat="1">
      <c r="A70" s="34"/>
      <c r="B70" s="34"/>
      <c r="C70" s="35" t="s">
        <v>158</v>
      </c>
      <c r="D70" s="37"/>
      <c r="E70" s="37"/>
      <c r="F70" s="37">
        <f>SUM(F69)</f>
        <v>0</v>
      </c>
      <c r="G70" s="37">
        <f t="shared" ref="G70:BC70" si="128">SUM(G69)</f>
        <v>0</v>
      </c>
      <c r="H70" s="37">
        <f t="shared" si="128"/>
        <v>0</v>
      </c>
      <c r="I70" s="37">
        <f t="shared" si="128"/>
        <v>0</v>
      </c>
      <c r="J70" s="37">
        <f t="shared" si="128"/>
        <v>0</v>
      </c>
      <c r="K70" s="37">
        <f t="shared" si="128"/>
        <v>0</v>
      </c>
      <c r="L70" s="37">
        <f t="shared" si="128"/>
        <v>0</v>
      </c>
      <c r="M70" s="37">
        <f t="shared" si="128"/>
        <v>0</v>
      </c>
      <c r="N70" s="37">
        <f t="shared" si="128"/>
        <v>0</v>
      </c>
      <c r="O70" s="37">
        <f t="shared" si="128"/>
        <v>0</v>
      </c>
      <c r="P70" s="37">
        <f t="shared" si="128"/>
        <v>0</v>
      </c>
      <c r="Q70" s="37">
        <f t="shared" si="128"/>
        <v>0</v>
      </c>
      <c r="R70" s="37">
        <f t="shared" si="128"/>
        <v>0</v>
      </c>
      <c r="S70" s="37">
        <f t="shared" si="128"/>
        <v>0</v>
      </c>
      <c r="T70" s="37">
        <f t="shared" si="128"/>
        <v>0</v>
      </c>
      <c r="U70" s="37">
        <f t="shared" si="128"/>
        <v>290000</v>
      </c>
      <c r="V70" s="37">
        <f t="shared" si="128"/>
        <v>0</v>
      </c>
      <c r="W70" s="37">
        <f t="shared" si="128"/>
        <v>0</v>
      </c>
      <c r="X70" s="37">
        <f t="shared" si="128"/>
        <v>0</v>
      </c>
      <c r="Y70" s="37">
        <f t="shared" si="128"/>
        <v>0</v>
      </c>
      <c r="Z70" s="37">
        <f t="shared" si="128"/>
        <v>290000</v>
      </c>
      <c r="AA70" s="37">
        <f t="shared" si="128"/>
        <v>0</v>
      </c>
      <c r="AB70" s="37">
        <f t="shared" si="128"/>
        <v>195000</v>
      </c>
      <c r="AC70" s="37">
        <f t="shared" si="128"/>
        <v>0</v>
      </c>
      <c r="AD70" s="37">
        <f t="shared" si="128"/>
        <v>0</v>
      </c>
      <c r="AE70" s="37">
        <f t="shared" si="128"/>
        <v>0</v>
      </c>
      <c r="AF70" s="37">
        <f t="shared" si="128"/>
        <v>0</v>
      </c>
      <c r="AG70" s="37">
        <f t="shared" si="128"/>
        <v>195000</v>
      </c>
      <c r="AH70" s="37">
        <f t="shared" si="128"/>
        <v>0</v>
      </c>
      <c r="AI70" s="37">
        <f t="shared" si="128"/>
        <v>0</v>
      </c>
      <c r="AJ70" s="37">
        <f t="shared" si="128"/>
        <v>0</v>
      </c>
      <c r="AK70" s="37">
        <f t="shared" si="128"/>
        <v>0</v>
      </c>
      <c r="AL70" s="37">
        <f t="shared" si="128"/>
        <v>0</v>
      </c>
      <c r="AM70" s="37">
        <f t="shared" si="128"/>
        <v>0</v>
      </c>
      <c r="AN70" s="37">
        <f t="shared" si="128"/>
        <v>0</v>
      </c>
      <c r="AO70" s="37">
        <f t="shared" si="128"/>
        <v>0</v>
      </c>
      <c r="AP70" s="37">
        <f t="shared" si="128"/>
        <v>0</v>
      </c>
      <c r="AQ70" s="37">
        <f t="shared" si="128"/>
        <v>0</v>
      </c>
      <c r="AR70" s="37">
        <f t="shared" si="128"/>
        <v>0</v>
      </c>
      <c r="AS70" s="37">
        <f t="shared" si="128"/>
        <v>0</v>
      </c>
      <c r="AT70" s="37">
        <f t="shared" si="128"/>
        <v>0</v>
      </c>
      <c r="AU70" s="37">
        <f t="shared" si="128"/>
        <v>0</v>
      </c>
      <c r="AV70" s="37">
        <f t="shared" si="128"/>
        <v>0</v>
      </c>
      <c r="AW70" s="37">
        <f t="shared" si="128"/>
        <v>0</v>
      </c>
      <c r="AX70" s="37">
        <f t="shared" si="128"/>
        <v>485000</v>
      </c>
      <c r="AY70" s="37">
        <f t="shared" si="128"/>
        <v>0</v>
      </c>
      <c r="AZ70" s="37">
        <f t="shared" si="128"/>
        <v>0</v>
      </c>
      <c r="BA70" s="37">
        <f t="shared" si="128"/>
        <v>0</v>
      </c>
      <c r="BB70" s="37">
        <f t="shared" si="128"/>
        <v>0</v>
      </c>
      <c r="BC70" s="37">
        <f t="shared" si="128"/>
        <v>485000</v>
      </c>
    </row>
    <row r="71" spans="1:55" ht="31.5">
      <c r="A71" s="185" t="s">
        <v>159</v>
      </c>
      <c r="B71" s="8">
        <v>1</v>
      </c>
      <c r="C71" s="1" t="s">
        <v>160</v>
      </c>
      <c r="D71" s="4" t="s">
        <v>161</v>
      </c>
      <c r="E71" s="4" t="s">
        <v>159</v>
      </c>
      <c r="F71" s="4"/>
      <c r="G71" s="4"/>
      <c r="H71" s="4">
        <v>155000</v>
      </c>
      <c r="I71" s="4"/>
      <c r="J71" s="4"/>
      <c r="K71" s="4"/>
      <c r="L71" s="9">
        <f t="shared" ref="L71:L79" si="129">SUM(F71:K71)</f>
        <v>155000</v>
      </c>
      <c r="M71" s="4"/>
      <c r="N71" s="4"/>
      <c r="O71" s="4"/>
      <c r="P71" s="4"/>
      <c r="Q71" s="4"/>
      <c r="R71" s="4"/>
      <c r="S71" s="9">
        <f t="shared" ref="S71:S79" si="130">SUM(M71:R71)</f>
        <v>0</v>
      </c>
      <c r="T71" s="20"/>
      <c r="U71" s="20"/>
      <c r="V71" s="20"/>
      <c r="W71" s="20"/>
      <c r="X71" s="20"/>
      <c r="Y71" s="20"/>
      <c r="Z71" s="9">
        <f t="shared" ref="Z71:Z79" si="131">SUM(T71:Y71)</f>
        <v>0</v>
      </c>
      <c r="AA71" s="20"/>
      <c r="AB71" s="20"/>
      <c r="AC71" s="20"/>
      <c r="AD71" s="20"/>
      <c r="AE71" s="20"/>
      <c r="AF71" s="20"/>
      <c r="AG71" s="21">
        <f t="shared" ref="AG71:AG79" si="132">SUM(AA71:AF71)</f>
        <v>0</v>
      </c>
      <c r="AH71" s="25"/>
      <c r="AI71" s="20"/>
      <c r="AJ71" s="20"/>
      <c r="AK71" s="21">
        <f t="shared" ref="AK71:AK79" si="133">SUM(AH71:AJ71)</f>
        <v>0</v>
      </c>
      <c r="AL71" s="25"/>
      <c r="AM71" s="20"/>
      <c r="AN71" s="20"/>
      <c r="AO71" s="21">
        <f t="shared" ref="AO71:AO79" si="134">SUM(AL71:AN71)</f>
        <v>0</v>
      </c>
      <c r="AP71" s="25"/>
      <c r="AQ71" s="25"/>
      <c r="AR71" s="25"/>
      <c r="AS71" s="25"/>
      <c r="AT71" s="20"/>
      <c r="AU71" s="20"/>
      <c r="AV71" s="21">
        <f t="shared" ref="AV71:AV79" si="135">SUM(AP71:AU71)</f>
        <v>0</v>
      </c>
      <c r="AW71" s="4">
        <f t="shared" ref="AW71:AW79" si="136">F71+M71+T71+AA71+AP71</f>
        <v>0</v>
      </c>
      <c r="AX71" s="4">
        <f t="shared" ref="AX71:AX79" si="137">G71+N71+U71+AB71+AQ71</f>
        <v>0</v>
      </c>
      <c r="AY71" s="4">
        <f t="shared" ref="AY71:AY79" si="138">H71+O71+V71+AC71+AR71</f>
        <v>155000</v>
      </c>
      <c r="AZ71" s="4">
        <f t="shared" ref="AZ71:AZ79" si="139">I71+P71+W71+AD71+AH71+AL71+AS71</f>
        <v>0</v>
      </c>
      <c r="BA71" s="94">
        <f t="shared" ref="BA71:BA79" si="140">J71+Q71+X71+AE71+AI71+AM71+AT71</f>
        <v>0</v>
      </c>
      <c r="BB71" s="94">
        <f t="shared" ref="BB71:BB79" si="141">K71+R71+Y71+AF71+AJ71+AN71+AU71</f>
        <v>0</v>
      </c>
      <c r="BC71" s="9">
        <f t="shared" ref="BC71:BC79" si="142">SUM(AW71:BB71)</f>
        <v>155000</v>
      </c>
    </row>
    <row r="72" spans="1:55">
      <c r="A72" s="186"/>
      <c r="B72" s="8">
        <v>2</v>
      </c>
      <c r="C72" s="1" t="s">
        <v>162</v>
      </c>
      <c r="D72" s="4" t="s">
        <v>163</v>
      </c>
      <c r="E72" s="4" t="s">
        <v>159</v>
      </c>
      <c r="F72" s="4"/>
      <c r="G72" s="4">
        <v>430000</v>
      </c>
      <c r="H72" s="4">
        <f>60500+60500+286000+100000</f>
        <v>507000</v>
      </c>
      <c r="I72" s="4">
        <v>136500</v>
      </c>
      <c r="J72" s="4"/>
      <c r="K72" s="4"/>
      <c r="L72" s="9">
        <f t="shared" si="129"/>
        <v>1073500</v>
      </c>
      <c r="M72" s="4"/>
      <c r="N72" s="4"/>
      <c r="O72" s="4"/>
      <c r="P72" s="4"/>
      <c r="Q72" s="4"/>
      <c r="R72" s="4"/>
      <c r="S72" s="9">
        <f t="shared" si="130"/>
        <v>0</v>
      </c>
      <c r="T72" s="20"/>
      <c r="U72" s="20"/>
      <c r="V72" s="20"/>
      <c r="W72" s="20"/>
      <c r="X72" s="20"/>
      <c r="Y72" s="20"/>
      <c r="Z72" s="9">
        <f t="shared" si="131"/>
        <v>0</v>
      </c>
      <c r="AA72" s="20"/>
      <c r="AB72" s="20"/>
      <c r="AC72" s="20"/>
      <c r="AD72" s="20"/>
      <c r="AE72" s="20"/>
      <c r="AF72" s="20"/>
      <c r="AG72" s="21">
        <f t="shared" si="132"/>
        <v>0</v>
      </c>
      <c r="AH72" s="25"/>
      <c r="AI72" s="20"/>
      <c r="AJ72" s="20"/>
      <c r="AK72" s="21">
        <f t="shared" si="133"/>
        <v>0</v>
      </c>
      <c r="AL72" s="25"/>
      <c r="AM72" s="20"/>
      <c r="AN72" s="20"/>
      <c r="AO72" s="21">
        <f t="shared" si="134"/>
        <v>0</v>
      </c>
      <c r="AP72" s="25"/>
      <c r="AQ72" s="25"/>
      <c r="AR72" s="25"/>
      <c r="AS72" s="25"/>
      <c r="AT72" s="20"/>
      <c r="AU72" s="20"/>
      <c r="AV72" s="21">
        <f t="shared" si="135"/>
        <v>0</v>
      </c>
      <c r="AW72" s="4">
        <f t="shared" si="136"/>
        <v>0</v>
      </c>
      <c r="AX72" s="4">
        <f t="shared" si="137"/>
        <v>430000</v>
      </c>
      <c r="AY72" s="4">
        <f t="shared" si="138"/>
        <v>507000</v>
      </c>
      <c r="AZ72" s="4">
        <f t="shared" si="139"/>
        <v>136500</v>
      </c>
      <c r="BA72" s="94">
        <f t="shared" si="140"/>
        <v>0</v>
      </c>
      <c r="BB72" s="94">
        <f t="shared" si="141"/>
        <v>0</v>
      </c>
      <c r="BC72" s="9">
        <f t="shared" si="142"/>
        <v>1073500</v>
      </c>
    </row>
    <row r="73" spans="1:55">
      <c r="A73" s="186"/>
      <c r="B73" s="8">
        <v>3</v>
      </c>
      <c r="C73" s="1" t="s">
        <v>164</v>
      </c>
      <c r="D73" s="4" t="s">
        <v>165</v>
      </c>
      <c r="E73" s="4" t="s">
        <v>159</v>
      </c>
      <c r="F73" s="4"/>
      <c r="G73" s="4">
        <v>942500</v>
      </c>
      <c r="H73" s="4">
        <v>87500</v>
      </c>
      <c r="I73" s="4"/>
      <c r="J73" s="4"/>
      <c r="K73" s="4"/>
      <c r="L73" s="9">
        <f t="shared" si="129"/>
        <v>1030000</v>
      </c>
      <c r="M73" s="4"/>
      <c r="N73" s="4"/>
      <c r="O73" s="4"/>
      <c r="P73" s="4"/>
      <c r="Q73" s="4"/>
      <c r="R73" s="4"/>
      <c r="S73" s="9">
        <f t="shared" si="130"/>
        <v>0</v>
      </c>
      <c r="T73" s="20"/>
      <c r="U73" s="22">
        <v>794000</v>
      </c>
      <c r="V73" s="20"/>
      <c r="W73" s="20"/>
      <c r="X73" s="20"/>
      <c r="Y73" s="20"/>
      <c r="Z73" s="9">
        <f t="shared" si="131"/>
        <v>794000</v>
      </c>
      <c r="AA73" s="20"/>
      <c r="AB73" s="20"/>
      <c r="AC73" s="25"/>
      <c r="AD73" s="25"/>
      <c r="AE73" s="20"/>
      <c r="AF73" s="20"/>
      <c r="AG73" s="21">
        <f t="shared" si="132"/>
        <v>0</v>
      </c>
      <c r="AH73" s="25"/>
      <c r="AI73" s="20"/>
      <c r="AJ73" s="20"/>
      <c r="AK73" s="21">
        <f t="shared" si="133"/>
        <v>0</v>
      </c>
      <c r="AL73" s="25"/>
      <c r="AM73" s="20"/>
      <c r="AN73" s="20"/>
      <c r="AO73" s="21">
        <f t="shared" si="134"/>
        <v>0</v>
      </c>
      <c r="AP73" s="25"/>
      <c r="AQ73" s="25"/>
      <c r="AR73" s="25"/>
      <c r="AS73" s="25"/>
      <c r="AT73" s="20"/>
      <c r="AU73" s="20"/>
      <c r="AV73" s="21">
        <f t="shared" si="135"/>
        <v>0</v>
      </c>
      <c r="AW73" s="4">
        <f t="shared" si="136"/>
        <v>0</v>
      </c>
      <c r="AX73" s="4">
        <f t="shared" si="137"/>
        <v>1736500</v>
      </c>
      <c r="AY73" s="4">
        <f t="shared" si="138"/>
        <v>87500</v>
      </c>
      <c r="AZ73" s="4">
        <f t="shared" si="139"/>
        <v>0</v>
      </c>
      <c r="BA73" s="94">
        <f t="shared" si="140"/>
        <v>0</v>
      </c>
      <c r="BB73" s="94">
        <f t="shared" si="141"/>
        <v>0</v>
      </c>
      <c r="BC73" s="9">
        <f t="shared" si="142"/>
        <v>1824000</v>
      </c>
    </row>
    <row r="74" spans="1:55">
      <c r="A74" s="186"/>
      <c r="B74" s="8">
        <v>4</v>
      </c>
      <c r="C74" s="1" t="s">
        <v>166</v>
      </c>
      <c r="D74" s="4" t="s">
        <v>167</v>
      </c>
      <c r="E74" s="4" t="s">
        <v>159</v>
      </c>
      <c r="F74" s="4"/>
      <c r="G74" s="4"/>
      <c r="H74" s="4">
        <f>155000+104500+93500+110000+20000</f>
        <v>483000</v>
      </c>
      <c r="I74" s="4">
        <v>884000</v>
      </c>
      <c r="J74" s="4">
        <f>70000+210000+210000+210000+140000</f>
        <v>840000</v>
      </c>
      <c r="K74" s="4">
        <f>1000000+220000+110000</f>
        <v>1330000</v>
      </c>
      <c r="L74" s="9">
        <f t="shared" si="129"/>
        <v>3537000</v>
      </c>
      <c r="M74" s="4"/>
      <c r="N74" s="4"/>
      <c r="O74" s="4"/>
      <c r="P74" s="4"/>
      <c r="Q74" s="4"/>
      <c r="R74" s="4"/>
      <c r="S74" s="9">
        <f t="shared" si="130"/>
        <v>0</v>
      </c>
      <c r="T74" s="20"/>
      <c r="U74" s="20"/>
      <c r="V74" s="20"/>
      <c r="W74" s="20"/>
      <c r="X74" s="20"/>
      <c r="Y74" s="20"/>
      <c r="Z74" s="9">
        <f t="shared" si="131"/>
        <v>0</v>
      </c>
      <c r="AA74" s="20"/>
      <c r="AB74" s="20"/>
      <c r="AC74" s="20"/>
      <c r="AD74" s="20"/>
      <c r="AE74" s="20"/>
      <c r="AF74" s="20"/>
      <c r="AG74" s="21">
        <f t="shared" si="132"/>
        <v>0</v>
      </c>
      <c r="AH74" s="25"/>
      <c r="AI74" s="20"/>
      <c r="AJ74" s="20"/>
      <c r="AK74" s="21">
        <f t="shared" si="133"/>
        <v>0</v>
      </c>
      <c r="AL74" s="25"/>
      <c r="AM74" s="20"/>
      <c r="AN74" s="20"/>
      <c r="AO74" s="21">
        <f t="shared" si="134"/>
        <v>0</v>
      </c>
      <c r="AP74" s="25"/>
      <c r="AQ74" s="25"/>
      <c r="AR74" s="25"/>
      <c r="AS74" s="25"/>
      <c r="AT74" s="20"/>
      <c r="AU74" s="20"/>
      <c r="AV74" s="21">
        <f t="shared" si="135"/>
        <v>0</v>
      </c>
      <c r="AW74" s="4">
        <f t="shared" si="136"/>
        <v>0</v>
      </c>
      <c r="AX74" s="4">
        <f t="shared" si="137"/>
        <v>0</v>
      </c>
      <c r="AY74" s="4">
        <f t="shared" si="138"/>
        <v>483000</v>
      </c>
      <c r="AZ74" s="4">
        <f t="shared" si="139"/>
        <v>884000</v>
      </c>
      <c r="BA74" s="94">
        <f t="shared" si="140"/>
        <v>840000</v>
      </c>
      <c r="BB74" s="94">
        <f t="shared" si="141"/>
        <v>1330000</v>
      </c>
      <c r="BC74" s="9">
        <f t="shared" si="142"/>
        <v>3537000</v>
      </c>
    </row>
    <row r="75" spans="1:55">
      <c r="A75" s="186"/>
      <c r="B75" s="8">
        <v>5</v>
      </c>
      <c r="C75" s="1" t="s">
        <v>168</v>
      </c>
      <c r="D75" s="4" t="s">
        <v>169</v>
      </c>
      <c r="E75" s="4" t="s">
        <v>159</v>
      </c>
      <c r="F75" s="4"/>
      <c r="G75" s="4">
        <v>155000</v>
      </c>
      <c r="H75" s="4">
        <v>469000</v>
      </c>
      <c r="I75" s="4">
        <v>632000</v>
      </c>
      <c r="J75" s="4">
        <f>38500+126000+129500+112000+70000</f>
        <v>476000</v>
      </c>
      <c r="K75" s="4">
        <v>35000</v>
      </c>
      <c r="L75" s="9">
        <f t="shared" si="129"/>
        <v>1767000</v>
      </c>
      <c r="M75" s="4"/>
      <c r="N75" s="4"/>
      <c r="O75" s="4"/>
      <c r="P75" s="4"/>
      <c r="Q75" s="4"/>
      <c r="R75" s="4"/>
      <c r="S75" s="9">
        <f t="shared" si="130"/>
        <v>0</v>
      </c>
      <c r="T75" s="20"/>
      <c r="U75" s="20"/>
      <c r="V75" s="20"/>
      <c r="W75" s="20"/>
      <c r="X75" s="20"/>
      <c r="Y75" s="20"/>
      <c r="Z75" s="9">
        <f t="shared" si="131"/>
        <v>0</v>
      </c>
      <c r="AA75" s="20"/>
      <c r="AB75" s="20"/>
      <c r="AC75" s="20"/>
      <c r="AD75" s="20"/>
      <c r="AE75" s="20"/>
      <c r="AF75" s="20"/>
      <c r="AG75" s="21">
        <f t="shared" si="132"/>
        <v>0</v>
      </c>
      <c r="AH75" s="25"/>
      <c r="AI75" s="20"/>
      <c r="AJ75" s="20"/>
      <c r="AK75" s="21">
        <f t="shared" si="133"/>
        <v>0</v>
      </c>
      <c r="AL75" s="25"/>
      <c r="AM75" s="20"/>
      <c r="AN75" s="20"/>
      <c r="AO75" s="21">
        <f t="shared" si="134"/>
        <v>0</v>
      </c>
      <c r="AP75" s="25"/>
      <c r="AQ75" s="25"/>
      <c r="AR75" s="25"/>
      <c r="AS75" s="25"/>
      <c r="AT75" s="20"/>
      <c r="AU75" s="20"/>
      <c r="AV75" s="21">
        <f t="shared" si="135"/>
        <v>0</v>
      </c>
      <c r="AW75" s="4">
        <f t="shared" si="136"/>
        <v>0</v>
      </c>
      <c r="AX75" s="4">
        <f t="shared" si="137"/>
        <v>155000</v>
      </c>
      <c r="AY75" s="4">
        <f t="shared" si="138"/>
        <v>469000</v>
      </c>
      <c r="AZ75" s="4">
        <f t="shared" si="139"/>
        <v>632000</v>
      </c>
      <c r="BA75" s="94">
        <f t="shared" si="140"/>
        <v>476000</v>
      </c>
      <c r="BB75" s="94">
        <f t="shared" si="141"/>
        <v>35000</v>
      </c>
      <c r="BC75" s="9">
        <f t="shared" si="142"/>
        <v>1767000</v>
      </c>
    </row>
    <row r="76" spans="1:55">
      <c r="A76" s="186"/>
      <c r="B76" s="8">
        <v>6</v>
      </c>
      <c r="C76" s="1" t="s">
        <v>170</v>
      </c>
      <c r="D76" s="4" t="s">
        <v>171</v>
      </c>
      <c r="E76" s="4" t="s">
        <v>159</v>
      </c>
      <c r="F76" s="4"/>
      <c r="G76" s="4"/>
      <c r="H76" s="4"/>
      <c r="I76" s="4"/>
      <c r="J76" s="4"/>
      <c r="K76" s="4"/>
      <c r="L76" s="9">
        <f t="shared" si="129"/>
        <v>0</v>
      </c>
      <c r="M76" s="4"/>
      <c r="N76" s="4"/>
      <c r="O76" s="4"/>
      <c r="P76" s="4"/>
      <c r="Q76" s="4"/>
      <c r="R76" s="4"/>
      <c r="S76" s="9">
        <f t="shared" si="130"/>
        <v>0</v>
      </c>
      <c r="T76" s="20"/>
      <c r="U76" s="20"/>
      <c r="V76" s="20"/>
      <c r="W76" s="20"/>
      <c r="X76" s="20"/>
      <c r="Y76" s="20"/>
      <c r="Z76" s="9">
        <f t="shared" si="131"/>
        <v>0</v>
      </c>
      <c r="AA76" s="20"/>
      <c r="AB76" s="25">
        <v>232800</v>
      </c>
      <c r="AC76" s="25">
        <v>424050</v>
      </c>
      <c r="AD76" s="25">
        <v>229000</v>
      </c>
      <c r="AE76" s="20">
        <f>59500+31500+168000+126000+42000</f>
        <v>427000</v>
      </c>
      <c r="AF76" s="20">
        <f>411600+138600+46200</f>
        <v>596400</v>
      </c>
      <c r="AG76" s="21">
        <f t="shared" si="132"/>
        <v>1909250</v>
      </c>
      <c r="AH76" s="25"/>
      <c r="AI76" s="20"/>
      <c r="AJ76" s="20"/>
      <c r="AK76" s="21">
        <f t="shared" si="133"/>
        <v>0</v>
      </c>
      <c r="AL76" s="25"/>
      <c r="AM76" s="20"/>
      <c r="AN76" s="20"/>
      <c r="AO76" s="21">
        <f t="shared" si="134"/>
        <v>0</v>
      </c>
      <c r="AP76" s="25"/>
      <c r="AQ76" s="25"/>
      <c r="AR76" s="25"/>
      <c r="AS76" s="25"/>
      <c r="AT76" s="20"/>
      <c r="AU76" s="20"/>
      <c r="AV76" s="21">
        <f t="shared" si="135"/>
        <v>0</v>
      </c>
      <c r="AW76" s="4">
        <f t="shared" si="136"/>
        <v>0</v>
      </c>
      <c r="AX76" s="4">
        <f t="shared" si="137"/>
        <v>232800</v>
      </c>
      <c r="AY76" s="4">
        <f t="shared" si="138"/>
        <v>424050</v>
      </c>
      <c r="AZ76" s="4">
        <f t="shared" si="139"/>
        <v>229000</v>
      </c>
      <c r="BA76" s="94">
        <f t="shared" si="140"/>
        <v>427000</v>
      </c>
      <c r="BB76" s="94">
        <f t="shared" si="141"/>
        <v>596400</v>
      </c>
      <c r="BC76" s="9">
        <f t="shared" si="142"/>
        <v>1909250</v>
      </c>
    </row>
    <row r="77" spans="1:55">
      <c r="A77" s="186"/>
      <c r="B77" s="8">
        <v>7</v>
      </c>
      <c r="C77" s="1" t="s">
        <v>172</v>
      </c>
      <c r="D77" s="4" t="s">
        <v>165</v>
      </c>
      <c r="E77" s="4" t="s">
        <v>159</v>
      </c>
      <c r="F77" s="4"/>
      <c r="G77" s="4"/>
      <c r="H77" s="4">
        <v>155000</v>
      </c>
      <c r="I77" s="4">
        <v>-155000</v>
      </c>
      <c r="J77" s="4"/>
      <c r="K77" s="4"/>
      <c r="L77" s="9">
        <f t="shared" si="129"/>
        <v>0</v>
      </c>
      <c r="M77" s="4"/>
      <c r="N77" s="4"/>
      <c r="O77" s="4"/>
      <c r="P77" s="4"/>
      <c r="Q77" s="4"/>
      <c r="R77" s="4"/>
      <c r="S77" s="9">
        <f t="shared" si="130"/>
        <v>0</v>
      </c>
      <c r="T77" s="20"/>
      <c r="U77" s="20"/>
      <c r="V77" s="20"/>
      <c r="W77" s="20"/>
      <c r="X77" s="20"/>
      <c r="Y77" s="20"/>
      <c r="Z77" s="9">
        <f t="shared" si="131"/>
        <v>0</v>
      </c>
      <c r="AA77" s="20"/>
      <c r="AB77" s="20"/>
      <c r="AC77" s="20"/>
      <c r="AD77" s="20"/>
      <c r="AE77" s="20"/>
      <c r="AF77" s="20"/>
      <c r="AG77" s="21">
        <f t="shared" si="132"/>
        <v>0</v>
      </c>
      <c r="AH77" s="25"/>
      <c r="AI77" s="20"/>
      <c r="AJ77" s="20"/>
      <c r="AK77" s="21">
        <f t="shared" si="133"/>
        <v>0</v>
      </c>
      <c r="AL77" s="25"/>
      <c r="AM77" s="20"/>
      <c r="AN77" s="20"/>
      <c r="AO77" s="21">
        <f t="shared" si="134"/>
        <v>0</v>
      </c>
      <c r="AP77" s="25"/>
      <c r="AQ77" s="25"/>
      <c r="AR77" s="25"/>
      <c r="AS77" s="25"/>
      <c r="AT77" s="20"/>
      <c r="AU77" s="20"/>
      <c r="AV77" s="21">
        <f t="shared" si="135"/>
        <v>0</v>
      </c>
      <c r="AW77" s="4">
        <f t="shared" si="136"/>
        <v>0</v>
      </c>
      <c r="AX77" s="4">
        <f t="shared" si="137"/>
        <v>0</v>
      </c>
      <c r="AY77" s="4">
        <f t="shared" si="138"/>
        <v>155000</v>
      </c>
      <c r="AZ77" s="4">
        <f t="shared" si="139"/>
        <v>-155000</v>
      </c>
      <c r="BA77" s="94">
        <f t="shared" si="140"/>
        <v>0</v>
      </c>
      <c r="BB77" s="94">
        <f t="shared" si="141"/>
        <v>0</v>
      </c>
      <c r="BC77" s="9">
        <f t="shared" si="142"/>
        <v>0</v>
      </c>
    </row>
    <row r="78" spans="1:55" ht="31.5">
      <c r="A78" s="186"/>
      <c r="B78" s="8">
        <v>8</v>
      </c>
      <c r="C78" s="1" t="s">
        <v>173</v>
      </c>
      <c r="D78" s="4" t="s">
        <v>174</v>
      </c>
      <c r="E78" s="4" t="s">
        <v>159</v>
      </c>
      <c r="F78" s="4"/>
      <c r="G78" s="4"/>
      <c r="H78" s="4">
        <v>155000</v>
      </c>
      <c r="I78" s="4"/>
      <c r="J78" s="4"/>
      <c r="K78" s="4"/>
      <c r="L78" s="9">
        <f t="shared" si="129"/>
        <v>155000</v>
      </c>
      <c r="M78" s="4"/>
      <c r="N78" s="4"/>
      <c r="O78" s="4"/>
      <c r="P78" s="4"/>
      <c r="Q78" s="4"/>
      <c r="R78" s="4"/>
      <c r="S78" s="9">
        <f t="shared" si="130"/>
        <v>0</v>
      </c>
      <c r="T78" s="20"/>
      <c r="U78" s="20"/>
      <c r="V78" s="20"/>
      <c r="W78" s="20"/>
      <c r="X78" s="20"/>
      <c r="Y78" s="20"/>
      <c r="Z78" s="9">
        <f t="shared" si="131"/>
        <v>0</v>
      </c>
      <c r="AA78" s="20"/>
      <c r="AB78" s="20"/>
      <c r="AC78" s="20"/>
      <c r="AD78" s="20"/>
      <c r="AE78" s="20"/>
      <c r="AF78" s="20"/>
      <c r="AG78" s="21">
        <f t="shared" si="132"/>
        <v>0</v>
      </c>
      <c r="AH78" s="25"/>
      <c r="AI78" s="20"/>
      <c r="AJ78" s="20"/>
      <c r="AK78" s="21">
        <f t="shared" si="133"/>
        <v>0</v>
      </c>
      <c r="AL78" s="25"/>
      <c r="AM78" s="20"/>
      <c r="AN78" s="20"/>
      <c r="AO78" s="21">
        <f t="shared" si="134"/>
        <v>0</v>
      </c>
      <c r="AP78" s="25"/>
      <c r="AQ78" s="25"/>
      <c r="AR78" s="25"/>
      <c r="AS78" s="25"/>
      <c r="AT78" s="20"/>
      <c r="AU78" s="20"/>
      <c r="AV78" s="21">
        <f t="shared" si="135"/>
        <v>0</v>
      </c>
      <c r="AW78" s="4">
        <f t="shared" si="136"/>
        <v>0</v>
      </c>
      <c r="AX78" s="4">
        <f t="shared" si="137"/>
        <v>0</v>
      </c>
      <c r="AY78" s="4">
        <f t="shared" si="138"/>
        <v>155000</v>
      </c>
      <c r="AZ78" s="4">
        <f t="shared" si="139"/>
        <v>0</v>
      </c>
      <c r="BA78" s="94">
        <f t="shared" si="140"/>
        <v>0</v>
      </c>
      <c r="BB78" s="94">
        <f t="shared" si="141"/>
        <v>0</v>
      </c>
      <c r="BC78" s="9">
        <f t="shared" si="142"/>
        <v>155000</v>
      </c>
    </row>
    <row r="79" spans="1:55">
      <c r="A79" s="187"/>
      <c r="B79" s="8">
        <v>9</v>
      </c>
      <c r="C79" s="1" t="s">
        <v>175</v>
      </c>
      <c r="D79" s="4" t="s">
        <v>163</v>
      </c>
      <c r="E79" s="4" t="s">
        <v>159</v>
      </c>
      <c r="F79" s="4"/>
      <c r="G79" s="4"/>
      <c r="H79" s="4">
        <v>155000</v>
      </c>
      <c r="I79" s="4">
        <v>776500</v>
      </c>
      <c r="J79" s="4">
        <f>200000+273000+210000+140000</f>
        <v>823000</v>
      </c>
      <c r="K79" s="4">
        <v>160000</v>
      </c>
      <c r="L79" s="9">
        <f t="shared" si="129"/>
        <v>1914500</v>
      </c>
      <c r="M79" s="4"/>
      <c r="N79" s="4"/>
      <c r="O79" s="4"/>
      <c r="P79" s="4"/>
      <c r="Q79" s="4"/>
      <c r="R79" s="4"/>
      <c r="S79" s="9">
        <f t="shared" si="130"/>
        <v>0</v>
      </c>
      <c r="T79" s="20"/>
      <c r="U79" s="20"/>
      <c r="V79" s="20"/>
      <c r="W79" s="20"/>
      <c r="X79" s="20"/>
      <c r="Y79" s="20"/>
      <c r="Z79" s="9">
        <f t="shared" si="131"/>
        <v>0</v>
      </c>
      <c r="AA79" s="20"/>
      <c r="AB79" s="20"/>
      <c r="AC79" s="20"/>
      <c r="AD79" s="20"/>
      <c r="AE79" s="20"/>
      <c r="AF79" s="20"/>
      <c r="AG79" s="21">
        <f t="shared" si="132"/>
        <v>0</v>
      </c>
      <c r="AH79" s="25"/>
      <c r="AI79" s="20"/>
      <c r="AJ79" s="20"/>
      <c r="AK79" s="21">
        <f t="shared" si="133"/>
        <v>0</v>
      </c>
      <c r="AL79" s="25"/>
      <c r="AM79" s="20"/>
      <c r="AN79" s="20"/>
      <c r="AO79" s="21">
        <f t="shared" si="134"/>
        <v>0</v>
      </c>
      <c r="AP79" s="25"/>
      <c r="AQ79" s="25"/>
      <c r="AR79" s="25"/>
      <c r="AS79" s="25"/>
      <c r="AT79" s="20"/>
      <c r="AU79" s="20"/>
      <c r="AV79" s="21">
        <f t="shared" si="135"/>
        <v>0</v>
      </c>
      <c r="AW79" s="4">
        <f t="shared" si="136"/>
        <v>0</v>
      </c>
      <c r="AX79" s="4">
        <f t="shared" si="137"/>
        <v>0</v>
      </c>
      <c r="AY79" s="4">
        <f t="shared" si="138"/>
        <v>155000</v>
      </c>
      <c r="AZ79" s="4">
        <f t="shared" si="139"/>
        <v>776500</v>
      </c>
      <c r="BA79" s="94">
        <f t="shared" si="140"/>
        <v>823000</v>
      </c>
      <c r="BB79" s="94">
        <f t="shared" si="141"/>
        <v>160000</v>
      </c>
      <c r="BC79" s="9">
        <f t="shared" si="142"/>
        <v>1914500</v>
      </c>
    </row>
    <row r="80" spans="1:55" s="38" customFormat="1">
      <c r="A80" s="34"/>
      <c r="B80" s="34"/>
      <c r="C80" s="35" t="s">
        <v>176</v>
      </c>
      <c r="D80" s="37"/>
      <c r="E80" s="37"/>
      <c r="F80" s="37">
        <f>SUM(F71:F79)</f>
        <v>0</v>
      </c>
      <c r="G80" s="37">
        <f t="shared" ref="G80:BC80" si="143">SUM(G71:G79)</f>
        <v>1527500</v>
      </c>
      <c r="H80" s="37">
        <f t="shared" si="143"/>
        <v>2166500</v>
      </c>
      <c r="I80" s="37">
        <f t="shared" si="143"/>
        <v>2274000</v>
      </c>
      <c r="J80" s="37">
        <f t="shared" si="143"/>
        <v>2139000</v>
      </c>
      <c r="K80" s="37">
        <f t="shared" si="143"/>
        <v>1525000</v>
      </c>
      <c r="L80" s="37">
        <f t="shared" si="143"/>
        <v>9632000</v>
      </c>
      <c r="M80" s="37">
        <f t="shared" si="143"/>
        <v>0</v>
      </c>
      <c r="N80" s="37">
        <f t="shared" si="143"/>
        <v>0</v>
      </c>
      <c r="O80" s="37">
        <f t="shared" si="143"/>
        <v>0</v>
      </c>
      <c r="P80" s="37">
        <f t="shared" si="143"/>
        <v>0</v>
      </c>
      <c r="Q80" s="37">
        <f t="shared" si="143"/>
        <v>0</v>
      </c>
      <c r="R80" s="37">
        <f t="shared" si="143"/>
        <v>0</v>
      </c>
      <c r="S80" s="37">
        <f t="shared" si="143"/>
        <v>0</v>
      </c>
      <c r="T80" s="37">
        <f t="shared" si="143"/>
        <v>0</v>
      </c>
      <c r="U80" s="37">
        <f t="shared" si="143"/>
        <v>794000</v>
      </c>
      <c r="V80" s="37">
        <f t="shared" si="143"/>
        <v>0</v>
      </c>
      <c r="W80" s="37">
        <f t="shared" si="143"/>
        <v>0</v>
      </c>
      <c r="X80" s="37">
        <f t="shared" si="143"/>
        <v>0</v>
      </c>
      <c r="Y80" s="37">
        <f t="shared" si="143"/>
        <v>0</v>
      </c>
      <c r="Z80" s="37">
        <f t="shared" si="143"/>
        <v>794000</v>
      </c>
      <c r="AA80" s="37">
        <f t="shared" si="143"/>
        <v>0</v>
      </c>
      <c r="AB80" s="37">
        <f t="shared" si="143"/>
        <v>232800</v>
      </c>
      <c r="AC80" s="37">
        <f t="shared" si="143"/>
        <v>424050</v>
      </c>
      <c r="AD80" s="37">
        <f t="shared" si="143"/>
        <v>229000</v>
      </c>
      <c r="AE80" s="37">
        <f t="shared" si="143"/>
        <v>427000</v>
      </c>
      <c r="AF80" s="37">
        <f t="shared" si="143"/>
        <v>596400</v>
      </c>
      <c r="AG80" s="37">
        <f t="shared" si="143"/>
        <v>1909250</v>
      </c>
      <c r="AH80" s="37">
        <f t="shared" si="143"/>
        <v>0</v>
      </c>
      <c r="AI80" s="37">
        <f t="shared" si="143"/>
        <v>0</v>
      </c>
      <c r="AJ80" s="37">
        <f t="shared" si="143"/>
        <v>0</v>
      </c>
      <c r="AK80" s="37">
        <f t="shared" si="143"/>
        <v>0</v>
      </c>
      <c r="AL80" s="37">
        <f t="shared" si="143"/>
        <v>0</v>
      </c>
      <c r="AM80" s="37">
        <f t="shared" si="143"/>
        <v>0</v>
      </c>
      <c r="AN80" s="37">
        <f t="shared" si="143"/>
        <v>0</v>
      </c>
      <c r="AO80" s="37">
        <f t="shared" si="143"/>
        <v>0</v>
      </c>
      <c r="AP80" s="37">
        <f t="shared" si="143"/>
        <v>0</v>
      </c>
      <c r="AQ80" s="37">
        <f t="shared" si="143"/>
        <v>0</v>
      </c>
      <c r="AR80" s="37">
        <f t="shared" si="143"/>
        <v>0</v>
      </c>
      <c r="AS80" s="37">
        <f t="shared" si="143"/>
        <v>0</v>
      </c>
      <c r="AT80" s="37">
        <f t="shared" si="143"/>
        <v>0</v>
      </c>
      <c r="AU80" s="37">
        <f t="shared" si="143"/>
        <v>0</v>
      </c>
      <c r="AV80" s="37">
        <f t="shared" si="143"/>
        <v>0</v>
      </c>
      <c r="AW80" s="37">
        <f t="shared" si="143"/>
        <v>0</v>
      </c>
      <c r="AX80" s="37">
        <f t="shared" si="143"/>
        <v>2554300</v>
      </c>
      <c r="AY80" s="37">
        <f t="shared" si="143"/>
        <v>2590550</v>
      </c>
      <c r="AZ80" s="37">
        <f t="shared" si="143"/>
        <v>2503000</v>
      </c>
      <c r="BA80" s="37">
        <f t="shared" si="143"/>
        <v>2566000</v>
      </c>
      <c r="BB80" s="37">
        <f t="shared" si="143"/>
        <v>2121400</v>
      </c>
      <c r="BC80" s="37">
        <f t="shared" si="143"/>
        <v>12335250</v>
      </c>
    </row>
    <row r="81" spans="1:55" ht="31.5">
      <c r="A81" s="108" t="s">
        <v>34</v>
      </c>
      <c r="B81" s="8">
        <v>1</v>
      </c>
      <c r="C81" s="1" t="s">
        <v>60</v>
      </c>
      <c r="D81" s="4" t="s">
        <v>33</v>
      </c>
      <c r="E81" s="4" t="s">
        <v>34</v>
      </c>
      <c r="F81" s="4"/>
      <c r="G81" s="4">
        <v>155000</v>
      </c>
      <c r="H81" s="4">
        <f>180000-155000</f>
        <v>25000</v>
      </c>
      <c r="I81" s="4">
        <v>160000</v>
      </c>
      <c r="J81" s="4">
        <f>590000+49000+378000</f>
        <v>1017000</v>
      </c>
      <c r="K81" s="4">
        <f>803000+185000+92500</f>
        <v>1080500</v>
      </c>
      <c r="L81" s="9">
        <f>SUM(F81:K81)</f>
        <v>2437500</v>
      </c>
      <c r="M81" s="4"/>
      <c r="N81" s="4"/>
      <c r="O81" s="4"/>
      <c r="P81" s="4"/>
      <c r="Q81" s="4"/>
      <c r="R81" s="4"/>
      <c r="S81" s="9">
        <f>SUM(M81:R81)</f>
        <v>0</v>
      </c>
      <c r="T81" s="20"/>
      <c r="U81" s="20"/>
      <c r="V81" s="20"/>
      <c r="W81" s="20"/>
      <c r="X81" s="20"/>
      <c r="Y81" s="20"/>
      <c r="Z81" s="9">
        <f>SUM(T81:Y81)</f>
        <v>0</v>
      </c>
      <c r="AA81" s="20"/>
      <c r="AB81" s="20"/>
      <c r="AC81" s="20"/>
      <c r="AD81" s="20"/>
      <c r="AE81" s="20"/>
      <c r="AF81" s="20"/>
      <c r="AG81" s="21">
        <f>SUM(AA81:AF81)</f>
        <v>0</v>
      </c>
      <c r="AH81" s="25"/>
      <c r="AI81" s="20"/>
      <c r="AJ81" s="20"/>
      <c r="AK81" s="21">
        <f>SUM(AH81:AJ81)</f>
        <v>0</v>
      </c>
      <c r="AL81" s="25"/>
      <c r="AM81" s="20"/>
      <c r="AN81" s="20"/>
      <c r="AO81" s="21">
        <f>SUM(AL81:AN81)</f>
        <v>0</v>
      </c>
      <c r="AP81" s="25"/>
      <c r="AQ81" s="25"/>
      <c r="AR81" s="25"/>
      <c r="AS81" s="25"/>
      <c r="AT81" s="20"/>
      <c r="AU81" s="20"/>
      <c r="AV81" s="21">
        <f>SUM(AP81:AU81)</f>
        <v>0</v>
      </c>
      <c r="AW81" s="4">
        <f>F81+M81+T81+AA81+AP81</f>
        <v>0</v>
      </c>
      <c r="AX81" s="4">
        <f>G81+N81+U81+AB81+AQ81</f>
        <v>155000</v>
      </c>
      <c r="AY81" s="4">
        <f>H81+O81+V81+AC81+AR81</f>
        <v>25000</v>
      </c>
      <c r="AZ81" s="4">
        <f>I81+P81+W81+AD81+AH81+AL81+AS81</f>
        <v>160000</v>
      </c>
      <c r="BA81" s="94">
        <f>J81+Q81+X81+AE81+AI81+AM81+AT81</f>
        <v>1017000</v>
      </c>
      <c r="BB81" s="94">
        <f>K81+R81+Y81+AF81+AJ81+AN81+AU81</f>
        <v>1080500</v>
      </c>
      <c r="BC81" s="9">
        <f>SUM(AW81:BB81)</f>
        <v>2437500</v>
      </c>
    </row>
    <row r="82" spans="1:55" s="38" customFormat="1">
      <c r="A82" s="34"/>
      <c r="B82" s="34"/>
      <c r="C82" s="35" t="s">
        <v>177</v>
      </c>
      <c r="D82" s="37"/>
      <c r="E82" s="37"/>
      <c r="F82" s="37">
        <f>SUM(F81)</f>
        <v>0</v>
      </c>
      <c r="G82" s="37">
        <f t="shared" ref="G82:BC82" si="144">SUM(G81)</f>
        <v>155000</v>
      </c>
      <c r="H82" s="37">
        <f t="shared" si="144"/>
        <v>25000</v>
      </c>
      <c r="I82" s="37">
        <f t="shared" si="144"/>
        <v>160000</v>
      </c>
      <c r="J82" s="37">
        <f t="shared" si="144"/>
        <v>1017000</v>
      </c>
      <c r="K82" s="37">
        <f t="shared" si="144"/>
        <v>1080500</v>
      </c>
      <c r="L82" s="37">
        <f t="shared" si="144"/>
        <v>2437500</v>
      </c>
      <c r="M82" s="37">
        <f t="shared" si="144"/>
        <v>0</v>
      </c>
      <c r="N82" s="37">
        <f t="shared" si="144"/>
        <v>0</v>
      </c>
      <c r="O82" s="37">
        <f t="shared" si="144"/>
        <v>0</v>
      </c>
      <c r="P82" s="37">
        <f t="shared" si="144"/>
        <v>0</v>
      </c>
      <c r="Q82" s="37">
        <f t="shared" si="144"/>
        <v>0</v>
      </c>
      <c r="R82" s="37">
        <f t="shared" si="144"/>
        <v>0</v>
      </c>
      <c r="S82" s="37">
        <f t="shared" si="144"/>
        <v>0</v>
      </c>
      <c r="T82" s="37">
        <f t="shared" si="144"/>
        <v>0</v>
      </c>
      <c r="U82" s="37">
        <f t="shared" si="144"/>
        <v>0</v>
      </c>
      <c r="V82" s="37">
        <f t="shared" si="144"/>
        <v>0</v>
      </c>
      <c r="W82" s="37">
        <f t="shared" si="144"/>
        <v>0</v>
      </c>
      <c r="X82" s="37">
        <f t="shared" si="144"/>
        <v>0</v>
      </c>
      <c r="Y82" s="37">
        <f t="shared" si="144"/>
        <v>0</v>
      </c>
      <c r="Z82" s="37">
        <f t="shared" si="144"/>
        <v>0</v>
      </c>
      <c r="AA82" s="37">
        <f t="shared" si="144"/>
        <v>0</v>
      </c>
      <c r="AB82" s="37">
        <f t="shared" si="144"/>
        <v>0</v>
      </c>
      <c r="AC82" s="37">
        <f t="shared" si="144"/>
        <v>0</v>
      </c>
      <c r="AD82" s="37">
        <f t="shared" si="144"/>
        <v>0</v>
      </c>
      <c r="AE82" s="37">
        <f t="shared" si="144"/>
        <v>0</v>
      </c>
      <c r="AF82" s="37">
        <f t="shared" si="144"/>
        <v>0</v>
      </c>
      <c r="AG82" s="37">
        <f t="shared" si="144"/>
        <v>0</v>
      </c>
      <c r="AH82" s="37">
        <f t="shared" si="144"/>
        <v>0</v>
      </c>
      <c r="AI82" s="37">
        <f t="shared" si="144"/>
        <v>0</v>
      </c>
      <c r="AJ82" s="37">
        <f t="shared" si="144"/>
        <v>0</v>
      </c>
      <c r="AK82" s="37">
        <f t="shared" si="144"/>
        <v>0</v>
      </c>
      <c r="AL82" s="37">
        <f t="shared" si="144"/>
        <v>0</v>
      </c>
      <c r="AM82" s="37">
        <f t="shared" si="144"/>
        <v>0</v>
      </c>
      <c r="AN82" s="37">
        <f t="shared" si="144"/>
        <v>0</v>
      </c>
      <c r="AO82" s="37">
        <f t="shared" si="144"/>
        <v>0</v>
      </c>
      <c r="AP82" s="37">
        <f t="shared" si="144"/>
        <v>0</v>
      </c>
      <c r="AQ82" s="37">
        <f t="shared" si="144"/>
        <v>0</v>
      </c>
      <c r="AR82" s="37">
        <f t="shared" si="144"/>
        <v>0</v>
      </c>
      <c r="AS82" s="37">
        <f t="shared" si="144"/>
        <v>0</v>
      </c>
      <c r="AT82" s="37">
        <f t="shared" si="144"/>
        <v>0</v>
      </c>
      <c r="AU82" s="37">
        <f t="shared" si="144"/>
        <v>0</v>
      </c>
      <c r="AV82" s="37">
        <f t="shared" si="144"/>
        <v>0</v>
      </c>
      <c r="AW82" s="37">
        <f t="shared" si="144"/>
        <v>0</v>
      </c>
      <c r="AX82" s="37">
        <f t="shared" si="144"/>
        <v>155000</v>
      </c>
      <c r="AY82" s="37">
        <f t="shared" si="144"/>
        <v>25000</v>
      </c>
      <c r="AZ82" s="37">
        <f t="shared" si="144"/>
        <v>160000</v>
      </c>
      <c r="BA82" s="37">
        <f t="shared" si="144"/>
        <v>1017000</v>
      </c>
      <c r="BB82" s="37">
        <f t="shared" si="144"/>
        <v>1080500</v>
      </c>
      <c r="BC82" s="37">
        <f t="shared" si="144"/>
        <v>2437500</v>
      </c>
    </row>
    <row r="83" spans="1:55">
      <c r="A83" s="185" t="s">
        <v>17</v>
      </c>
      <c r="B83" s="8">
        <v>1</v>
      </c>
      <c r="C83" s="1" t="s">
        <v>178</v>
      </c>
      <c r="D83" s="4" t="s">
        <v>179</v>
      </c>
      <c r="E83" s="4" t="s">
        <v>17</v>
      </c>
      <c r="F83" s="4">
        <v>155000</v>
      </c>
      <c r="G83" s="4">
        <v>1164000</v>
      </c>
      <c r="H83" s="4">
        <f>110000+110000+330000+110000+80000</f>
        <v>740000</v>
      </c>
      <c r="I83" s="4">
        <f>20000+60000</f>
        <v>80000</v>
      </c>
      <c r="J83" s="4"/>
      <c r="K83" s="4"/>
      <c r="L83" s="9">
        <f t="shared" ref="L83:L113" si="145">SUM(F83:K83)</f>
        <v>2139000</v>
      </c>
      <c r="M83" s="77">
        <v>290000</v>
      </c>
      <c r="N83" s="77">
        <v>2150000</v>
      </c>
      <c r="O83" s="77">
        <v>1650000</v>
      </c>
      <c r="P83" s="77">
        <v>200000</v>
      </c>
      <c r="Q83" s="4"/>
      <c r="R83" s="4"/>
      <c r="S83" s="9">
        <f t="shared" ref="S83:S113" si="146">SUM(M83:R83)</f>
        <v>4290000</v>
      </c>
      <c r="T83" s="20"/>
      <c r="U83" s="20"/>
      <c r="V83" s="4">
        <v>590000</v>
      </c>
      <c r="W83" s="23"/>
      <c r="X83" s="23"/>
      <c r="Y83" s="23"/>
      <c r="Z83" s="9">
        <f t="shared" ref="Z83:Z113" si="147">SUM(T83:Y83)</f>
        <v>590000</v>
      </c>
      <c r="AA83" s="20">
        <v>195000</v>
      </c>
      <c r="AB83" s="25">
        <v>1676350</v>
      </c>
      <c r="AC83" s="25">
        <f>792000+30000</f>
        <v>822000</v>
      </c>
      <c r="AD83" s="24">
        <v>30000</v>
      </c>
      <c r="AE83" s="20"/>
      <c r="AF83" s="20"/>
      <c r="AG83" s="21">
        <f t="shared" ref="AG83:AG113" si="148">SUM(AA83:AF83)</f>
        <v>2723350</v>
      </c>
      <c r="AH83" s="25">
        <v>0</v>
      </c>
      <c r="AI83" s="20"/>
      <c r="AJ83" s="20"/>
      <c r="AK83" s="21">
        <f t="shared" ref="AK83:AK113" si="149">SUM(AH83:AJ83)</f>
        <v>0</v>
      </c>
      <c r="AL83" s="24">
        <v>900000</v>
      </c>
      <c r="AM83" s="20">
        <f>300000+300000+300000+300000+200000</f>
        <v>1400000</v>
      </c>
      <c r="AN83" s="20">
        <f>1902000+765000</f>
        <v>2667000</v>
      </c>
      <c r="AO83" s="21">
        <f t="shared" ref="AO83:AO113" si="150">SUM(AL83:AN83)</f>
        <v>4967000</v>
      </c>
      <c r="AP83" s="25"/>
      <c r="AQ83" s="24">
        <f>100000+248400</f>
        <v>348400</v>
      </c>
      <c r="AR83" s="25"/>
      <c r="AS83" s="25"/>
      <c r="AT83" s="20"/>
      <c r="AU83" s="20"/>
      <c r="AV83" s="21">
        <f t="shared" ref="AV83:AV113" si="151">SUM(AP83:AU83)</f>
        <v>348400</v>
      </c>
      <c r="AW83" s="4">
        <f t="shared" ref="AW83:AW113" si="152">F83+M83+T83+AA83+AP83</f>
        <v>640000</v>
      </c>
      <c r="AX83" s="4">
        <f t="shared" ref="AX83:AX113" si="153">G83+N83+U83+AB83+AQ83</f>
        <v>5338750</v>
      </c>
      <c r="AY83" s="4">
        <f t="shared" ref="AY83:AY113" si="154">H83+O83+V83+AC83+AR83</f>
        <v>3802000</v>
      </c>
      <c r="AZ83" s="4">
        <f t="shared" ref="AZ83:AZ113" si="155">I83+P83+W83+AD83+AH83+AL83+AS83</f>
        <v>1210000</v>
      </c>
      <c r="BA83" s="94">
        <f t="shared" ref="BA83:BA113" si="156">J83+Q83+X83+AE83+AI83+AM83+AT83</f>
        <v>1400000</v>
      </c>
      <c r="BB83" s="94">
        <f t="shared" ref="BB83:BB113" si="157">K83+R83+Y83+AF83+AJ83+AN83+AU83</f>
        <v>2667000</v>
      </c>
      <c r="BC83" s="9">
        <f t="shared" ref="BC83:BC113" si="158">SUM(AW83:BB83)</f>
        <v>15057750</v>
      </c>
    </row>
    <row r="84" spans="1:55">
      <c r="A84" s="186"/>
      <c r="B84" s="8">
        <v>2</v>
      </c>
      <c r="C84" s="1" t="s">
        <v>180</v>
      </c>
      <c r="D84" s="4" t="s">
        <v>181</v>
      </c>
      <c r="E84" s="4" t="s">
        <v>17</v>
      </c>
      <c r="F84" s="4"/>
      <c r="G84" s="4"/>
      <c r="H84" s="4">
        <v>155000</v>
      </c>
      <c r="I84" s="4">
        <f>156000+16000</f>
        <v>172000</v>
      </c>
      <c r="J84" s="4"/>
      <c r="K84" s="4"/>
      <c r="L84" s="9">
        <f t="shared" si="145"/>
        <v>327000</v>
      </c>
      <c r="M84" s="77"/>
      <c r="N84" s="77"/>
      <c r="O84" s="77">
        <v>390000</v>
      </c>
      <c r="P84" s="77"/>
      <c r="Q84" s="4"/>
      <c r="R84" s="4"/>
      <c r="S84" s="9">
        <f t="shared" si="146"/>
        <v>390000</v>
      </c>
      <c r="T84" s="20"/>
      <c r="U84" s="20"/>
      <c r="V84" s="4"/>
      <c r="W84" s="20"/>
      <c r="X84" s="20"/>
      <c r="Y84" s="20"/>
      <c r="Z84" s="9">
        <f t="shared" si="147"/>
        <v>0</v>
      </c>
      <c r="AA84" s="20"/>
      <c r="AB84" s="25">
        <v>195000</v>
      </c>
      <c r="AC84" s="25">
        <f>165550+208000</f>
        <v>373550</v>
      </c>
      <c r="AD84" s="24">
        <v>30000</v>
      </c>
      <c r="AE84" s="20"/>
      <c r="AF84" s="20"/>
      <c r="AG84" s="21">
        <f t="shared" si="148"/>
        <v>598550</v>
      </c>
      <c r="AH84" s="25">
        <v>945000</v>
      </c>
      <c r="AI84" s="20">
        <f>315000+315000+315000</f>
        <v>945000</v>
      </c>
      <c r="AJ84" s="20"/>
      <c r="AK84" s="21">
        <f t="shared" si="149"/>
        <v>1890000</v>
      </c>
      <c r="AL84" s="25"/>
      <c r="AM84" s="20"/>
      <c r="AN84" s="20"/>
      <c r="AO84" s="21">
        <f t="shared" si="150"/>
        <v>0</v>
      </c>
      <c r="AP84" s="25"/>
      <c r="AQ84" s="25"/>
      <c r="AR84" s="25"/>
      <c r="AS84" s="25"/>
      <c r="AT84" s="20"/>
      <c r="AU84" s="20"/>
      <c r="AV84" s="21">
        <f t="shared" si="151"/>
        <v>0</v>
      </c>
      <c r="AW84" s="4">
        <f t="shared" si="152"/>
        <v>0</v>
      </c>
      <c r="AX84" s="4">
        <f t="shared" si="153"/>
        <v>195000</v>
      </c>
      <c r="AY84" s="4">
        <f t="shared" si="154"/>
        <v>918550</v>
      </c>
      <c r="AZ84" s="4">
        <f t="shared" si="155"/>
        <v>1147000</v>
      </c>
      <c r="BA84" s="94">
        <f t="shared" si="156"/>
        <v>945000</v>
      </c>
      <c r="BB84" s="94">
        <f t="shared" si="157"/>
        <v>0</v>
      </c>
      <c r="BC84" s="9">
        <f t="shared" si="158"/>
        <v>3205550</v>
      </c>
    </row>
    <row r="85" spans="1:55">
      <c r="A85" s="186"/>
      <c r="B85" s="8">
        <v>3</v>
      </c>
      <c r="C85" s="1" t="s">
        <v>182</v>
      </c>
      <c r="D85" s="4" t="s">
        <v>183</v>
      </c>
      <c r="E85" s="4" t="s">
        <v>17</v>
      </c>
      <c r="F85" s="4"/>
      <c r="G85" s="4"/>
      <c r="H85" s="4"/>
      <c r="I85" s="4"/>
      <c r="J85" s="4"/>
      <c r="K85" s="4"/>
      <c r="L85" s="9">
        <f t="shared" si="145"/>
        <v>0</v>
      </c>
      <c r="M85" s="77"/>
      <c r="N85" s="77"/>
      <c r="O85" s="77">
        <v>290000</v>
      </c>
      <c r="P85" s="77">
        <v>-290000</v>
      </c>
      <c r="Q85" s="4"/>
      <c r="R85" s="4"/>
      <c r="S85" s="9">
        <f t="shared" si="146"/>
        <v>0</v>
      </c>
      <c r="T85" s="20"/>
      <c r="U85" s="20"/>
      <c r="V85" s="4"/>
      <c r="W85" s="20"/>
      <c r="X85" s="20"/>
      <c r="Y85" s="20"/>
      <c r="Z85" s="9">
        <f t="shared" si="147"/>
        <v>0</v>
      </c>
      <c r="AA85" s="20"/>
      <c r="AB85" s="25"/>
      <c r="AC85" s="25">
        <v>225000</v>
      </c>
      <c r="AD85" s="24">
        <v>963000</v>
      </c>
      <c r="AE85" s="20">
        <f>70000+630000+140000</f>
        <v>840000</v>
      </c>
      <c r="AF85" s="20">
        <f>1122400+289000+144500</f>
        <v>1555900</v>
      </c>
      <c r="AG85" s="21">
        <f t="shared" si="148"/>
        <v>3583900</v>
      </c>
      <c r="AH85" s="25">
        <v>0</v>
      </c>
      <c r="AI85" s="20"/>
      <c r="AJ85" s="20"/>
      <c r="AK85" s="21">
        <f t="shared" si="149"/>
        <v>0</v>
      </c>
      <c r="AL85" s="25"/>
      <c r="AM85" s="20"/>
      <c r="AN85" s="20"/>
      <c r="AO85" s="21">
        <f t="shared" si="150"/>
        <v>0</v>
      </c>
      <c r="AP85" s="25"/>
      <c r="AQ85" s="25"/>
      <c r="AR85" s="25"/>
      <c r="AS85" s="25"/>
      <c r="AT85" s="20"/>
      <c r="AU85" s="20"/>
      <c r="AV85" s="21">
        <f t="shared" si="151"/>
        <v>0</v>
      </c>
      <c r="AW85" s="4">
        <f t="shared" si="152"/>
        <v>0</v>
      </c>
      <c r="AX85" s="4">
        <f t="shared" si="153"/>
        <v>0</v>
      </c>
      <c r="AY85" s="4">
        <f t="shared" si="154"/>
        <v>515000</v>
      </c>
      <c r="AZ85" s="4">
        <f t="shared" si="155"/>
        <v>673000</v>
      </c>
      <c r="BA85" s="94">
        <f t="shared" si="156"/>
        <v>840000</v>
      </c>
      <c r="BB85" s="94">
        <f t="shared" si="157"/>
        <v>1555900</v>
      </c>
      <c r="BC85" s="9">
        <f t="shared" si="158"/>
        <v>3583900</v>
      </c>
    </row>
    <row r="86" spans="1:55">
      <c r="A86" s="186"/>
      <c r="B86" s="8">
        <v>4</v>
      </c>
      <c r="C86" s="1" t="s">
        <v>184</v>
      </c>
      <c r="D86" s="4" t="s">
        <v>185</v>
      </c>
      <c r="E86" s="4" t="s">
        <v>17</v>
      </c>
      <c r="F86" s="4"/>
      <c r="G86" s="4">
        <v>323000</v>
      </c>
      <c r="H86" s="4">
        <f>93500+55000+253000+71500+55000+20000+60000</f>
        <v>608000</v>
      </c>
      <c r="I86" s="4">
        <v>649000</v>
      </c>
      <c r="J86" s="4">
        <f>59500+147000+154000+157500</f>
        <v>518000</v>
      </c>
      <c r="K86" s="4">
        <f>808000+162000+81000</f>
        <v>1051000</v>
      </c>
      <c r="L86" s="9">
        <f t="shared" si="145"/>
        <v>3149000</v>
      </c>
      <c r="M86" s="4"/>
      <c r="N86" s="4"/>
      <c r="O86" s="4"/>
      <c r="P86" s="4"/>
      <c r="Q86" s="4"/>
      <c r="R86" s="4"/>
      <c r="S86" s="9">
        <f t="shared" si="146"/>
        <v>0</v>
      </c>
      <c r="T86" s="20"/>
      <c r="U86" s="20"/>
      <c r="V86" s="4"/>
      <c r="W86" s="20"/>
      <c r="X86" s="20"/>
      <c r="Y86" s="20"/>
      <c r="Z86" s="9">
        <f t="shared" si="147"/>
        <v>0</v>
      </c>
      <c r="AA86" s="20"/>
      <c r="AB86" s="20"/>
      <c r="AC86" s="20"/>
      <c r="AD86" s="20"/>
      <c r="AE86" s="20"/>
      <c r="AF86" s="20"/>
      <c r="AG86" s="21">
        <f t="shared" si="148"/>
        <v>0</v>
      </c>
      <c r="AH86" s="25">
        <v>0</v>
      </c>
      <c r="AI86" s="20"/>
      <c r="AJ86" s="20"/>
      <c r="AK86" s="21">
        <f t="shared" si="149"/>
        <v>0</v>
      </c>
      <c r="AL86" s="25"/>
      <c r="AM86" s="20"/>
      <c r="AN86" s="20"/>
      <c r="AO86" s="21">
        <f t="shared" si="150"/>
        <v>0</v>
      </c>
      <c r="AP86" s="25"/>
      <c r="AQ86" s="25"/>
      <c r="AR86" s="25"/>
      <c r="AS86" s="25"/>
      <c r="AT86" s="20"/>
      <c r="AU86" s="20"/>
      <c r="AV86" s="21">
        <f t="shared" si="151"/>
        <v>0</v>
      </c>
      <c r="AW86" s="4">
        <f t="shared" si="152"/>
        <v>0</v>
      </c>
      <c r="AX86" s="4">
        <f t="shared" si="153"/>
        <v>323000</v>
      </c>
      <c r="AY86" s="4">
        <f t="shared" si="154"/>
        <v>608000</v>
      </c>
      <c r="AZ86" s="4">
        <f t="shared" si="155"/>
        <v>649000</v>
      </c>
      <c r="BA86" s="94">
        <f t="shared" si="156"/>
        <v>518000</v>
      </c>
      <c r="BB86" s="94">
        <f t="shared" si="157"/>
        <v>1051000</v>
      </c>
      <c r="BC86" s="9">
        <f t="shared" si="158"/>
        <v>3149000</v>
      </c>
    </row>
    <row r="87" spans="1:55">
      <c r="A87" s="186"/>
      <c r="B87" s="8">
        <v>5</v>
      </c>
      <c r="C87" s="42" t="s">
        <v>186</v>
      </c>
      <c r="D87" s="43" t="s">
        <v>187</v>
      </c>
      <c r="E87" s="4" t="s">
        <v>17</v>
      </c>
      <c r="F87" s="4"/>
      <c r="G87" s="4"/>
      <c r="H87" s="4"/>
      <c r="I87" s="4"/>
      <c r="J87" s="4"/>
      <c r="K87" s="4"/>
      <c r="L87" s="9">
        <f t="shared" si="145"/>
        <v>0</v>
      </c>
      <c r="M87" s="4"/>
      <c r="N87" s="4"/>
      <c r="O87" s="4"/>
      <c r="P87" s="4"/>
      <c r="Q87" s="4"/>
      <c r="R87" s="4"/>
      <c r="S87" s="9">
        <f t="shared" si="146"/>
        <v>0</v>
      </c>
      <c r="T87" s="20"/>
      <c r="U87" s="20"/>
      <c r="V87" s="4">
        <v>290000</v>
      </c>
      <c r="W87" s="20"/>
      <c r="X87" s="20"/>
      <c r="Y87" s="20"/>
      <c r="Z87" s="9">
        <f t="shared" si="147"/>
        <v>290000</v>
      </c>
      <c r="AA87" s="20"/>
      <c r="AB87" s="20"/>
      <c r="AC87" s="20"/>
      <c r="AD87" s="20"/>
      <c r="AE87" s="20"/>
      <c r="AF87" s="20"/>
      <c r="AG87" s="21">
        <f t="shared" si="148"/>
        <v>0</v>
      </c>
      <c r="AH87" s="25">
        <v>0</v>
      </c>
      <c r="AI87" s="20"/>
      <c r="AJ87" s="20"/>
      <c r="AK87" s="21">
        <f t="shared" si="149"/>
        <v>0</v>
      </c>
      <c r="AL87" s="25"/>
      <c r="AM87" s="20"/>
      <c r="AN87" s="20"/>
      <c r="AO87" s="21">
        <f t="shared" si="150"/>
        <v>0</v>
      </c>
      <c r="AP87" s="25"/>
      <c r="AQ87" s="25"/>
      <c r="AR87" s="25"/>
      <c r="AS87" s="25"/>
      <c r="AT87" s="20"/>
      <c r="AU87" s="20"/>
      <c r="AV87" s="21">
        <f t="shared" si="151"/>
        <v>0</v>
      </c>
      <c r="AW87" s="4">
        <f t="shared" si="152"/>
        <v>0</v>
      </c>
      <c r="AX87" s="4">
        <f t="shared" si="153"/>
        <v>0</v>
      </c>
      <c r="AY87" s="4">
        <f t="shared" si="154"/>
        <v>290000</v>
      </c>
      <c r="AZ87" s="4">
        <f t="shared" si="155"/>
        <v>0</v>
      </c>
      <c r="BA87" s="94">
        <f t="shared" si="156"/>
        <v>0</v>
      </c>
      <c r="BB87" s="94">
        <f t="shared" si="157"/>
        <v>0</v>
      </c>
      <c r="BC87" s="9">
        <f t="shared" si="158"/>
        <v>290000</v>
      </c>
    </row>
    <row r="88" spans="1:55">
      <c r="A88" s="186"/>
      <c r="B88" s="8">
        <v>6</v>
      </c>
      <c r="C88" s="1" t="s">
        <v>188</v>
      </c>
      <c r="D88" s="4" t="s">
        <v>413</v>
      </c>
      <c r="E88" s="4" t="s">
        <v>17</v>
      </c>
      <c r="F88" s="4"/>
      <c r="G88" s="4"/>
      <c r="H88" s="4"/>
      <c r="I88" s="4"/>
      <c r="J88" s="4"/>
      <c r="K88" s="4"/>
      <c r="L88" s="9">
        <f t="shared" si="145"/>
        <v>0</v>
      </c>
      <c r="M88" s="76"/>
      <c r="N88" s="76">
        <v>290000</v>
      </c>
      <c r="O88" s="76">
        <v>1620000</v>
      </c>
      <c r="P88" s="76"/>
      <c r="Q88" s="4"/>
      <c r="R88" s="4"/>
      <c r="S88" s="9">
        <f t="shared" si="146"/>
        <v>1910000</v>
      </c>
      <c r="T88" s="20"/>
      <c r="U88" s="20"/>
      <c r="V88" s="20"/>
      <c r="W88" s="20"/>
      <c r="X88" s="20"/>
      <c r="Y88" s="20"/>
      <c r="Z88" s="9">
        <f t="shared" si="147"/>
        <v>0</v>
      </c>
      <c r="AA88" s="20"/>
      <c r="AB88" s="25">
        <v>616950</v>
      </c>
      <c r="AC88" s="25">
        <v>708100</v>
      </c>
      <c r="AD88" s="24">
        <v>898000</v>
      </c>
      <c r="AE88" s="20">
        <f>140000+210000+210000+210000+140000</f>
        <v>910000</v>
      </c>
      <c r="AF88" s="20">
        <f>863000+194000+97000</f>
        <v>1154000</v>
      </c>
      <c r="AG88" s="21">
        <f t="shared" si="148"/>
        <v>4287050</v>
      </c>
      <c r="AH88" s="25">
        <v>0</v>
      </c>
      <c r="AI88" s="20"/>
      <c r="AJ88" s="20"/>
      <c r="AK88" s="21">
        <f t="shared" si="149"/>
        <v>0</v>
      </c>
      <c r="AL88" s="25"/>
      <c r="AM88" s="20"/>
      <c r="AN88" s="20"/>
      <c r="AO88" s="21">
        <f t="shared" si="150"/>
        <v>0</v>
      </c>
      <c r="AP88" s="25"/>
      <c r="AQ88" s="25"/>
      <c r="AR88" s="25"/>
      <c r="AS88" s="25"/>
      <c r="AT88" s="20"/>
      <c r="AU88" s="20"/>
      <c r="AV88" s="21">
        <f t="shared" si="151"/>
        <v>0</v>
      </c>
      <c r="AW88" s="4">
        <f t="shared" si="152"/>
        <v>0</v>
      </c>
      <c r="AX88" s="4">
        <f t="shared" si="153"/>
        <v>906950</v>
      </c>
      <c r="AY88" s="4">
        <f t="shared" si="154"/>
        <v>2328100</v>
      </c>
      <c r="AZ88" s="4">
        <f t="shared" si="155"/>
        <v>898000</v>
      </c>
      <c r="BA88" s="94">
        <f t="shared" si="156"/>
        <v>910000</v>
      </c>
      <c r="BB88" s="94">
        <f t="shared" si="157"/>
        <v>1154000</v>
      </c>
      <c r="BC88" s="9">
        <f t="shared" si="158"/>
        <v>6197050</v>
      </c>
    </row>
    <row r="89" spans="1:55" ht="47.25">
      <c r="A89" s="186"/>
      <c r="B89" s="8">
        <v>7</v>
      </c>
      <c r="C89" s="1" t="s">
        <v>189</v>
      </c>
      <c r="D89" s="4" t="s">
        <v>190</v>
      </c>
      <c r="E89" s="4" t="s">
        <v>17</v>
      </c>
      <c r="F89" s="4"/>
      <c r="G89" s="4">
        <v>287500</v>
      </c>
      <c r="H89" s="4">
        <f>137000+74000+352000</f>
        <v>563000</v>
      </c>
      <c r="I89" s="4"/>
      <c r="J89" s="4"/>
      <c r="K89" s="4"/>
      <c r="L89" s="9">
        <f t="shared" si="145"/>
        <v>850500</v>
      </c>
      <c r="M89" s="76"/>
      <c r="N89" s="76">
        <v>410000</v>
      </c>
      <c r="O89" s="76">
        <v>940000</v>
      </c>
      <c r="P89" s="76">
        <v>400000</v>
      </c>
      <c r="Q89" s="4"/>
      <c r="R89" s="4"/>
      <c r="S89" s="9">
        <f t="shared" si="146"/>
        <v>1750000</v>
      </c>
      <c r="T89" s="20"/>
      <c r="U89" s="20"/>
      <c r="V89" s="20"/>
      <c r="W89" s="20"/>
      <c r="X89" s="20"/>
      <c r="Y89" s="20"/>
      <c r="Z89" s="9">
        <f t="shared" si="147"/>
        <v>0</v>
      </c>
      <c r="AA89" s="20"/>
      <c r="AB89" s="20"/>
      <c r="AC89" s="25">
        <v>350200</v>
      </c>
      <c r="AD89" s="24">
        <v>1040000</v>
      </c>
      <c r="AE89" s="20">
        <f>70000+210000+210000+210000+140000</f>
        <v>840000</v>
      </c>
      <c r="AF89" s="20">
        <f>860500+194000+97000</f>
        <v>1151500</v>
      </c>
      <c r="AG89" s="21">
        <f t="shared" si="148"/>
        <v>3381700</v>
      </c>
      <c r="AH89" s="25">
        <v>0</v>
      </c>
      <c r="AI89" s="20"/>
      <c r="AJ89" s="20"/>
      <c r="AK89" s="21">
        <f t="shared" si="149"/>
        <v>0</v>
      </c>
      <c r="AL89" s="25"/>
      <c r="AM89" s="20"/>
      <c r="AN89" s="20"/>
      <c r="AO89" s="21">
        <f t="shared" si="150"/>
        <v>0</v>
      </c>
      <c r="AP89" s="25"/>
      <c r="AQ89" s="25"/>
      <c r="AR89" s="25"/>
      <c r="AS89" s="25"/>
      <c r="AT89" s="20"/>
      <c r="AU89" s="20"/>
      <c r="AV89" s="21">
        <f t="shared" si="151"/>
        <v>0</v>
      </c>
      <c r="AW89" s="4">
        <f t="shared" si="152"/>
        <v>0</v>
      </c>
      <c r="AX89" s="4">
        <f t="shared" si="153"/>
        <v>697500</v>
      </c>
      <c r="AY89" s="4">
        <f t="shared" si="154"/>
        <v>1853200</v>
      </c>
      <c r="AZ89" s="4">
        <f t="shared" si="155"/>
        <v>1440000</v>
      </c>
      <c r="BA89" s="94">
        <f t="shared" si="156"/>
        <v>840000</v>
      </c>
      <c r="BB89" s="94">
        <f t="shared" si="157"/>
        <v>1151500</v>
      </c>
      <c r="BC89" s="9">
        <f t="shared" si="158"/>
        <v>5982200</v>
      </c>
    </row>
    <row r="90" spans="1:55" ht="31.5">
      <c r="A90" s="186"/>
      <c r="B90" s="8">
        <v>8</v>
      </c>
      <c r="C90" s="1" t="s">
        <v>191</v>
      </c>
      <c r="D90" s="4" t="s">
        <v>185</v>
      </c>
      <c r="E90" s="4" t="s">
        <v>17</v>
      </c>
      <c r="F90" s="4">
        <v>155000</v>
      </c>
      <c r="G90" s="4">
        <v>490500</v>
      </c>
      <c r="H90" s="4">
        <f>93500+99000+396000+99000</f>
        <v>687500</v>
      </c>
      <c r="I90" s="4">
        <f>60000+20000+20000</f>
        <v>100000</v>
      </c>
      <c r="J90" s="4"/>
      <c r="K90" s="4"/>
      <c r="L90" s="9">
        <f t="shared" si="145"/>
        <v>1433000</v>
      </c>
      <c r="M90" s="4"/>
      <c r="N90" s="4"/>
      <c r="O90" s="4"/>
      <c r="P90" s="4"/>
      <c r="Q90" s="4"/>
      <c r="R90" s="4"/>
      <c r="S90" s="9">
        <f t="shared" si="146"/>
        <v>0</v>
      </c>
      <c r="T90" s="20"/>
      <c r="U90" s="20"/>
      <c r="V90" s="20"/>
      <c r="W90" s="20"/>
      <c r="X90" s="20"/>
      <c r="Y90" s="20"/>
      <c r="Z90" s="9">
        <f t="shared" si="147"/>
        <v>0</v>
      </c>
      <c r="AA90" s="20">
        <v>195000</v>
      </c>
      <c r="AB90" s="25">
        <v>662850</v>
      </c>
      <c r="AC90" s="25">
        <v>522700</v>
      </c>
      <c r="AD90" s="24">
        <v>144000</v>
      </c>
      <c r="AE90" s="20"/>
      <c r="AF90" s="20"/>
      <c r="AG90" s="21">
        <f t="shared" si="148"/>
        <v>1524550</v>
      </c>
      <c r="AH90" s="25">
        <v>781000</v>
      </c>
      <c r="AI90" s="20">
        <f>71000+212000+185500+175500+128500</f>
        <v>772500</v>
      </c>
      <c r="AJ90" s="20">
        <f>923900+175000+87000</f>
        <v>1185900</v>
      </c>
      <c r="AK90" s="21">
        <f t="shared" si="149"/>
        <v>2739400</v>
      </c>
      <c r="AL90" s="25"/>
      <c r="AM90" s="20"/>
      <c r="AN90" s="20"/>
      <c r="AO90" s="21">
        <f t="shared" si="150"/>
        <v>0</v>
      </c>
      <c r="AP90" s="25"/>
      <c r="AQ90" s="25"/>
      <c r="AR90" s="25"/>
      <c r="AS90" s="25"/>
      <c r="AT90" s="20"/>
      <c r="AU90" s="20"/>
      <c r="AV90" s="21">
        <f t="shared" si="151"/>
        <v>0</v>
      </c>
      <c r="AW90" s="4">
        <f t="shared" si="152"/>
        <v>350000</v>
      </c>
      <c r="AX90" s="4">
        <f t="shared" si="153"/>
        <v>1153350</v>
      </c>
      <c r="AY90" s="4">
        <f t="shared" si="154"/>
        <v>1210200</v>
      </c>
      <c r="AZ90" s="4">
        <f t="shared" si="155"/>
        <v>1025000</v>
      </c>
      <c r="BA90" s="94">
        <f t="shared" si="156"/>
        <v>772500</v>
      </c>
      <c r="BB90" s="94">
        <f t="shared" si="157"/>
        <v>1185900</v>
      </c>
      <c r="BC90" s="9">
        <f t="shared" si="158"/>
        <v>5696950</v>
      </c>
    </row>
    <row r="91" spans="1:55">
      <c r="A91" s="186"/>
      <c r="B91" s="8">
        <v>9</v>
      </c>
      <c r="C91" s="1" t="s">
        <v>192</v>
      </c>
      <c r="D91" s="4" t="s">
        <v>193</v>
      </c>
      <c r="E91" s="4" t="s">
        <v>17</v>
      </c>
      <c r="F91" s="4"/>
      <c r="G91" s="4">
        <v>804000</v>
      </c>
      <c r="H91" s="4">
        <f>99000+99000+297000</f>
        <v>495000</v>
      </c>
      <c r="I91" s="4">
        <f>20000+160000</f>
        <v>180000</v>
      </c>
      <c r="J91" s="4"/>
      <c r="K91" s="4"/>
      <c r="L91" s="9">
        <f t="shared" si="145"/>
        <v>1479000</v>
      </c>
      <c r="M91" s="76"/>
      <c r="N91" s="76">
        <v>1050000</v>
      </c>
      <c r="O91" s="76">
        <v>760000</v>
      </c>
      <c r="P91" s="76">
        <v>1025000</v>
      </c>
      <c r="Q91" s="4">
        <f>225000+225000+225000+225000+150000</f>
        <v>1050000</v>
      </c>
      <c r="R91" s="4">
        <f>1575000+560000</f>
        <v>2135000</v>
      </c>
      <c r="S91" s="9">
        <f t="shared" si="146"/>
        <v>6020000</v>
      </c>
      <c r="T91" s="20"/>
      <c r="U91" s="20"/>
      <c r="V91" s="20"/>
      <c r="W91" s="20"/>
      <c r="X91" s="20"/>
      <c r="Y91" s="20"/>
      <c r="Z91" s="9">
        <f t="shared" si="147"/>
        <v>0</v>
      </c>
      <c r="AA91" s="20"/>
      <c r="AB91" s="25">
        <v>1339600</v>
      </c>
      <c r="AC91" s="25">
        <v>582000</v>
      </c>
      <c r="AD91" s="24">
        <v>270000</v>
      </c>
      <c r="AE91" s="20"/>
      <c r="AF91" s="20"/>
      <c r="AG91" s="21">
        <f t="shared" si="148"/>
        <v>2191600</v>
      </c>
      <c r="AH91" s="25">
        <v>0</v>
      </c>
      <c r="AI91" s="20"/>
      <c r="AJ91" s="20"/>
      <c r="AK91" s="21">
        <f t="shared" si="149"/>
        <v>0</v>
      </c>
      <c r="AL91" s="25"/>
      <c r="AM91" s="20"/>
      <c r="AN91" s="20"/>
      <c r="AO91" s="21">
        <f t="shared" si="150"/>
        <v>0</v>
      </c>
      <c r="AP91" s="25"/>
      <c r="AQ91" s="25"/>
      <c r="AR91" s="25">
        <v>366800</v>
      </c>
      <c r="AS91" s="25"/>
      <c r="AT91" s="20"/>
      <c r="AU91" s="20"/>
      <c r="AV91" s="21">
        <f t="shared" si="151"/>
        <v>366800</v>
      </c>
      <c r="AW91" s="4">
        <f t="shared" si="152"/>
        <v>0</v>
      </c>
      <c r="AX91" s="4">
        <f t="shared" si="153"/>
        <v>3193600</v>
      </c>
      <c r="AY91" s="4">
        <f t="shared" si="154"/>
        <v>2203800</v>
      </c>
      <c r="AZ91" s="4">
        <f t="shared" si="155"/>
        <v>1475000</v>
      </c>
      <c r="BA91" s="94">
        <f t="shared" si="156"/>
        <v>1050000</v>
      </c>
      <c r="BB91" s="94">
        <f t="shared" si="157"/>
        <v>2135000</v>
      </c>
      <c r="BC91" s="9">
        <f t="shared" si="158"/>
        <v>10057400</v>
      </c>
    </row>
    <row r="92" spans="1:55" ht="31.5">
      <c r="A92" s="186"/>
      <c r="B92" s="8">
        <v>10</v>
      </c>
      <c r="C92" s="1" t="s">
        <v>194</v>
      </c>
      <c r="D92" s="4" t="s">
        <v>187</v>
      </c>
      <c r="E92" s="4" t="s">
        <v>17</v>
      </c>
      <c r="F92" s="4"/>
      <c r="G92" s="4">
        <v>155000</v>
      </c>
      <c r="H92" s="4">
        <v>151000</v>
      </c>
      <c r="I92" s="4"/>
      <c r="J92" s="4"/>
      <c r="K92" s="4"/>
      <c r="L92" s="9">
        <f t="shared" si="145"/>
        <v>306000</v>
      </c>
      <c r="M92" s="4"/>
      <c r="N92" s="4"/>
      <c r="O92" s="4"/>
      <c r="P92" s="4"/>
      <c r="Q92" s="4"/>
      <c r="R92" s="4"/>
      <c r="S92" s="9">
        <f t="shared" si="146"/>
        <v>0</v>
      </c>
      <c r="T92" s="20"/>
      <c r="U92" s="20"/>
      <c r="V92" s="20"/>
      <c r="W92" s="20"/>
      <c r="X92" s="20"/>
      <c r="Y92" s="20"/>
      <c r="Z92" s="9">
        <f t="shared" si="147"/>
        <v>0</v>
      </c>
      <c r="AA92" s="20"/>
      <c r="AB92" s="20"/>
      <c r="AC92" s="20"/>
      <c r="AD92" s="20"/>
      <c r="AE92" s="20"/>
      <c r="AF92" s="20"/>
      <c r="AG92" s="21">
        <f t="shared" si="148"/>
        <v>0</v>
      </c>
      <c r="AH92" s="25">
        <v>0</v>
      </c>
      <c r="AI92" s="20"/>
      <c r="AJ92" s="20"/>
      <c r="AK92" s="21">
        <f t="shared" si="149"/>
        <v>0</v>
      </c>
      <c r="AL92" s="25"/>
      <c r="AM92" s="20"/>
      <c r="AN92" s="20"/>
      <c r="AO92" s="21">
        <f t="shared" si="150"/>
        <v>0</v>
      </c>
      <c r="AP92" s="25"/>
      <c r="AQ92" s="25"/>
      <c r="AR92" s="25"/>
      <c r="AS92" s="25"/>
      <c r="AT92" s="20"/>
      <c r="AU92" s="20"/>
      <c r="AV92" s="21">
        <f t="shared" si="151"/>
        <v>0</v>
      </c>
      <c r="AW92" s="4">
        <f t="shared" si="152"/>
        <v>0</v>
      </c>
      <c r="AX92" s="4">
        <f t="shared" si="153"/>
        <v>155000</v>
      </c>
      <c r="AY92" s="4">
        <f t="shared" si="154"/>
        <v>151000</v>
      </c>
      <c r="AZ92" s="4">
        <f t="shared" si="155"/>
        <v>0</v>
      </c>
      <c r="BA92" s="94">
        <f t="shared" si="156"/>
        <v>0</v>
      </c>
      <c r="BB92" s="94">
        <f t="shared" si="157"/>
        <v>0</v>
      </c>
      <c r="BC92" s="9">
        <f t="shared" si="158"/>
        <v>306000</v>
      </c>
    </row>
    <row r="93" spans="1:55">
      <c r="A93" s="186"/>
      <c r="B93" s="8">
        <v>11</v>
      </c>
      <c r="C93" s="1" t="s">
        <v>195</v>
      </c>
      <c r="D93" s="4" t="s">
        <v>196</v>
      </c>
      <c r="E93" s="4" t="s">
        <v>17</v>
      </c>
      <c r="F93" s="4"/>
      <c r="G93" s="4">
        <v>155000</v>
      </c>
      <c r="H93" s="4">
        <v>154000</v>
      </c>
      <c r="I93" s="4"/>
      <c r="J93" s="4"/>
      <c r="K93" s="4"/>
      <c r="L93" s="9">
        <f t="shared" si="145"/>
        <v>309000</v>
      </c>
      <c r="M93" s="76"/>
      <c r="N93" s="76">
        <v>790000</v>
      </c>
      <c r="O93" s="76">
        <v>1260000</v>
      </c>
      <c r="P93" s="76">
        <v>975000</v>
      </c>
      <c r="Q93" s="4">
        <f>215000+225000+225000+225000+150000</f>
        <v>1040000</v>
      </c>
      <c r="R93" s="4">
        <v>2195000</v>
      </c>
      <c r="S93" s="9">
        <f t="shared" si="146"/>
        <v>6260000</v>
      </c>
      <c r="T93" s="20"/>
      <c r="U93" s="20"/>
      <c r="V93" s="20"/>
      <c r="W93" s="20"/>
      <c r="X93" s="20"/>
      <c r="Y93" s="20"/>
      <c r="Z93" s="9">
        <f t="shared" si="147"/>
        <v>0</v>
      </c>
      <c r="AA93" s="20"/>
      <c r="AB93" s="25">
        <v>447200</v>
      </c>
      <c r="AC93" s="25">
        <v>504400</v>
      </c>
      <c r="AD93" s="24">
        <v>270000</v>
      </c>
      <c r="AE93" s="20"/>
      <c r="AF93" s="20"/>
      <c r="AG93" s="21">
        <f t="shared" si="148"/>
        <v>1221600</v>
      </c>
      <c r="AH93" s="25">
        <v>0</v>
      </c>
      <c r="AI93" s="20"/>
      <c r="AJ93" s="20"/>
      <c r="AK93" s="21">
        <f t="shared" si="149"/>
        <v>0</v>
      </c>
      <c r="AL93" s="25"/>
      <c r="AM93" s="20"/>
      <c r="AN93" s="20"/>
      <c r="AO93" s="21">
        <f t="shared" si="150"/>
        <v>0</v>
      </c>
      <c r="AP93" s="25"/>
      <c r="AQ93" s="25"/>
      <c r="AR93" s="25"/>
      <c r="AS93" s="25"/>
      <c r="AT93" s="20"/>
      <c r="AU93" s="20"/>
      <c r="AV93" s="21">
        <f t="shared" si="151"/>
        <v>0</v>
      </c>
      <c r="AW93" s="4">
        <f t="shared" si="152"/>
        <v>0</v>
      </c>
      <c r="AX93" s="4">
        <f t="shared" si="153"/>
        <v>1392200</v>
      </c>
      <c r="AY93" s="4">
        <f t="shared" si="154"/>
        <v>1918400</v>
      </c>
      <c r="AZ93" s="4">
        <f t="shared" si="155"/>
        <v>1245000</v>
      </c>
      <c r="BA93" s="94">
        <f t="shared" si="156"/>
        <v>1040000</v>
      </c>
      <c r="BB93" s="94">
        <f t="shared" si="157"/>
        <v>2195000</v>
      </c>
      <c r="BC93" s="9">
        <f t="shared" si="158"/>
        <v>7790600</v>
      </c>
    </row>
    <row r="94" spans="1:55">
      <c r="A94" s="186"/>
      <c r="B94" s="8">
        <v>12</v>
      </c>
      <c r="C94" s="1" t="s">
        <v>197</v>
      </c>
      <c r="D94" s="4" t="s">
        <v>187</v>
      </c>
      <c r="E94" s="4" t="s">
        <v>17</v>
      </c>
      <c r="F94" s="4"/>
      <c r="G94" s="4">
        <v>512500</v>
      </c>
      <c r="H94" s="4">
        <f>104500+110000+110000</f>
        <v>324500</v>
      </c>
      <c r="I94" s="4">
        <v>200000</v>
      </c>
      <c r="J94" s="4"/>
      <c r="K94" s="4"/>
      <c r="L94" s="9">
        <f t="shared" si="145"/>
        <v>1037000</v>
      </c>
      <c r="M94" s="76"/>
      <c r="N94" s="76">
        <v>1300000</v>
      </c>
      <c r="O94" s="76">
        <v>1480000</v>
      </c>
      <c r="P94" s="76">
        <v>250000</v>
      </c>
      <c r="Q94" s="4"/>
      <c r="R94" s="4"/>
      <c r="S94" s="9">
        <f t="shared" si="146"/>
        <v>3030000</v>
      </c>
      <c r="T94" s="20"/>
      <c r="U94" s="20">
        <v>290000</v>
      </c>
      <c r="V94" s="20"/>
      <c r="W94" s="22">
        <v>1072000</v>
      </c>
      <c r="X94" s="22"/>
      <c r="Y94" s="22"/>
      <c r="Z94" s="9">
        <f t="shared" si="147"/>
        <v>1362000</v>
      </c>
      <c r="AA94" s="20"/>
      <c r="AB94" s="25">
        <v>943600</v>
      </c>
      <c r="AC94" s="20">
        <v>780850</v>
      </c>
      <c r="AD94" s="20">
        <v>150000</v>
      </c>
      <c r="AE94" s="20"/>
      <c r="AF94" s="20"/>
      <c r="AG94" s="21">
        <f t="shared" si="148"/>
        <v>1874450</v>
      </c>
      <c r="AH94" s="25">
        <v>0</v>
      </c>
      <c r="AI94" s="20"/>
      <c r="AJ94" s="20"/>
      <c r="AK94" s="21">
        <f t="shared" si="149"/>
        <v>0</v>
      </c>
      <c r="AL94" s="24">
        <v>900000</v>
      </c>
      <c r="AM94" s="20">
        <f>300000+300000+300000+300000+200000</f>
        <v>1400000</v>
      </c>
      <c r="AN94" s="20">
        <f>2072000+765000</f>
        <v>2837000</v>
      </c>
      <c r="AO94" s="21">
        <f t="shared" si="150"/>
        <v>5137000</v>
      </c>
      <c r="AP94" s="25"/>
      <c r="AQ94" s="25">
        <v>100000</v>
      </c>
      <c r="AR94" s="25">
        <v>276000</v>
      </c>
      <c r="AS94" s="25"/>
      <c r="AT94" s="20"/>
      <c r="AU94" s="20"/>
      <c r="AV94" s="21">
        <f t="shared" si="151"/>
        <v>376000</v>
      </c>
      <c r="AW94" s="4">
        <f t="shared" si="152"/>
        <v>0</v>
      </c>
      <c r="AX94" s="4">
        <f t="shared" si="153"/>
        <v>3146100</v>
      </c>
      <c r="AY94" s="4">
        <f t="shared" si="154"/>
        <v>2861350</v>
      </c>
      <c r="AZ94" s="4">
        <f t="shared" si="155"/>
        <v>2572000</v>
      </c>
      <c r="BA94" s="94">
        <f t="shared" si="156"/>
        <v>1400000</v>
      </c>
      <c r="BB94" s="94">
        <f t="shared" si="157"/>
        <v>2837000</v>
      </c>
      <c r="BC94" s="9">
        <f t="shared" si="158"/>
        <v>12816450</v>
      </c>
    </row>
    <row r="95" spans="1:55">
      <c r="A95" s="186"/>
      <c r="B95" s="8">
        <v>13</v>
      </c>
      <c r="C95" s="1" t="s">
        <v>198</v>
      </c>
      <c r="D95" s="4" t="s">
        <v>193</v>
      </c>
      <c r="E95" s="4" t="s">
        <v>17</v>
      </c>
      <c r="F95" s="4"/>
      <c r="G95" s="4"/>
      <c r="H95" s="4"/>
      <c r="I95" s="4"/>
      <c r="J95" s="4"/>
      <c r="K95" s="4"/>
      <c r="L95" s="9">
        <f t="shared" si="145"/>
        <v>0</v>
      </c>
      <c r="M95" s="76"/>
      <c r="N95" s="76">
        <v>1210000</v>
      </c>
      <c r="O95" s="76">
        <v>1000000</v>
      </c>
      <c r="P95" s="76">
        <v>1075000</v>
      </c>
      <c r="Q95" s="4">
        <f>225000+225000+225000+225000</f>
        <v>900000</v>
      </c>
      <c r="R95" s="4">
        <f>1715000+600000</f>
        <v>2315000</v>
      </c>
      <c r="S95" s="9">
        <f t="shared" si="146"/>
        <v>6500000</v>
      </c>
      <c r="T95" s="20"/>
      <c r="U95" s="20"/>
      <c r="V95" s="20"/>
      <c r="W95" s="20"/>
      <c r="X95" s="20"/>
      <c r="Y95" s="20"/>
      <c r="Z95" s="9">
        <f t="shared" si="147"/>
        <v>0</v>
      </c>
      <c r="AA95" s="20"/>
      <c r="AB95" s="25">
        <v>801250</v>
      </c>
      <c r="AC95" s="25">
        <v>582000</v>
      </c>
      <c r="AD95" s="24">
        <v>270000</v>
      </c>
      <c r="AE95" s="20"/>
      <c r="AF95" s="20"/>
      <c r="AG95" s="21">
        <f t="shared" si="148"/>
        <v>1653250</v>
      </c>
      <c r="AH95" s="25">
        <v>0</v>
      </c>
      <c r="AI95" s="20"/>
      <c r="AJ95" s="20"/>
      <c r="AK95" s="21">
        <f t="shared" si="149"/>
        <v>0</v>
      </c>
      <c r="AL95" s="25"/>
      <c r="AM95" s="20"/>
      <c r="AN95" s="20"/>
      <c r="AO95" s="21">
        <f t="shared" si="150"/>
        <v>0</v>
      </c>
      <c r="AP95" s="25"/>
      <c r="AQ95" s="25"/>
      <c r="AR95" s="25"/>
      <c r="AS95" s="25"/>
      <c r="AT95" s="20"/>
      <c r="AU95" s="20"/>
      <c r="AV95" s="21">
        <f t="shared" si="151"/>
        <v>0</v>
      </c>
      <c r="AW95" s="4">
        <f t="shared" si="152"/>
        <v>0</v>
      </c>
      <c r="AX95" s="4">
        <f t="shared" si="153"/>
        <v>2011250</v>
      </c>
      <c r="AY95" s="4">
        <f t="shared" si="154"/>
        <v>1582000</v>
      </c>
      <c r="AZ95" s="4">
        <f t="shared" si="155"/>
        <v>1345000</v>
      </c>
      <c r="BA95" s="94">
        <f t="shared" si="156"/>
        <v>900000</v>
      </c>
      <c r="BB95" s="94">
        <f t="shared" si="157"/>
        <v>2315000</v>
      </c>
      <c r="BC95" s="9">
        <f t="shared" si="158"/>
        <v>8153250</v>
      </c>
    </row>
    <row r="96" spans="1:55" ht="31.5">
      <c r="A96" s="186"/>
      <c r="B96" s="8">
        <v>14</v>
      </c>
      <c r="C96" s="1" t="s">
        <v>199</v>
      </c>
      <c r="D96" s="4" t="s">
        <v>185</v>
      </c>
      <c r="E96" s="4" t="s">
        <v>17</v>
      </c>
      <c r="F96" s="4"/>
      <c r="G96" s="4"/>
      <c r="H96" s="4"/>
      <c r="I96" s="4"/>
      <c r="J96" s="4"/>
      <c r="K96" s="4"/>
      <c r="L96" s="9">
        <f t="shared" si="145"/>
        <v>0</v>
      </c>
      <c r="M96" s="4"/>
      <c r="N96" s="4"/>
      <c r="O96" s="4"/>
      <c r="P96" s="4"/>
      <c r="Q96" s="4"/>
      <c r="R96" s="4"/>
      <c r="S96" s="9">
        <f t="shared" si="146"/>
        <v>0</v>
      </c>
      <c r="T96" s="20"/>
      <c r="U96" s="20"/>
      <c r="V96" s="20"/>
      <c r="W96" s="20"/>
      <c r="X96" s="20"/>
      <c r="Y96" s="20"/>
      <c r="Z96" s="9">
        <f t="shared" si="147"/>
        <v>0</v>
      </c>
      <c r="AA96" s="20"/>
      <c r="AB96" s="25"/>
      <c r="AC96" s="25">
        <v>680900</v>
      </c>
      <c r="AD96" s="24">
        <v>150000</v>
      </c>
      <c r="AE96" s="20"/>
      <c r="AF96" s="20"/>
      <c r="AG96" s="21">
        <f t="shared" si="148"/>
        <v>830900</v>
      </c>
      <c r="AH96" s="25">
        <v>0</v>
      </c>
      <c r="AI96" s="20"/>
      <c r="AJ96" s="20"/>
      <c r="AK96" s="21">
        <f t="shared" si="149"/>
        <v>0</v>
      </c>
      <c r="AL96" s="25"/>
      <c r="AM96" s="20"/>
      <c r="AN96" s="20"/>
      <c r="AO96" s="21">
        <f t="shared" si="150"/>
        <v>0</v>
      </c>
      <c r="AP96" s="25"/>
      <c r="AQ96" s="25"/>
      <c r="AR96" s="25"/>
      <c r="AS96" s="25"/>
      <c r="AT96" s="20"/>
      <c r="AU96" s="20"/>
      <c r="AV96" s="21">
        <f t="shared" si="151"/>
        <v>0</v>
      </c>
      <c r="AW96" s="4">
        <f t="shared" si="152"/>
        <v>0</v>
      </c>
      <c r="AX96" s="4">
        <f t="shared" si="153"/>
        <v>0</v>
      </c>
      <c r="AY96" s="4">
        <f t="shared" si="154"/>
        <v>680900</v>
      </c>
      <c r="AZ96" s="4">
        <f t="shared" si="155"/>
        <v>150000</v>
      </c>
      <c r="BA96" s="94">
        <f t="shared" si="156"/>
        <v>0</v>
      </c>
      <c r="BB96" s="94">
        <f t="shared" si="157"/>
        <v>0</v>
      </c>
      <c r="BC96" s="9">
        <f t="shared" si="158"/>
        <v>830900</v>
      </c>
    </row>
    <row r="97" spans="1:55">
      <c r="A97" s="186"/>
      <c r="B97" s="8">
        <v>15</v>
      </c>
      <c r="C97" s="1" t="s">
        <v>200</v>
      </c>
      <c r="D97" s="4" t="s">
        <v>201</v>
      </c>
      <c r="E97" s="4" t="s">
        <v>17</v>
      </c>
      <c r="F97" s="4"/>
      <c r="G97" s="4"/>
      <c r="H97" s="4">
        <f>155000+72000</f>
        <v>227000</v>
      </c>
      <c r="I97" s="4">
        <f>58000+42000</f>
        <v>100000</v>
      </c>
      <c r="J97" s="4"/>
      <c r="K97" s="4"/>
      <c r="L97" s="9">
        <f t="shared" si="145"/>
        <v>327000</v>
      </c>
      <c r="M97" s="4"/>
      <c r="N97" s="4"/>
      <c r="O97" s="4"/>
      <c r="P97" s="4"/>
      <c r="Q97" s="4"/>
      <c r="R97" s="4"/>
      <c r="S97" s="9">
        <f t="shared" si="146"/>
        <v>0</v>
      </c>
      <c r="T97" s="20"/>
      <c r="U97" s="20"/>
      <c r="V97" s="20"/>
      <c r="W97" s="20"/>
      <c r="X97" s="20"/>
      <c r="Y97" s="20"/>
      <c r="Z97" s="9">
        <f t="shared" si="147"/>
        <v>0</v>
      </c>
      <c r="AA97" s="20"/>
      <c r="AB97" s="20"/>
      <c r="AC97" s="25">
        <v>310500</v>
      </c>
      <c r="AD97" s="24"/>
      <c r="AE97" s="20"/>
      <c r="AF97" s="20"/>
      <c r="AG97" s="21">
        <f t="shared" si="148"/>
        <v>310500</v>
      </c>
      <c r="AH97" s="25">
        <v>720000</v>
      </c>
      <c r="AI97" s="20">
        <f>90000+360000+270000+180000</f>
        <v>900000</v>
      </c>
      <c r="AJ97" s="20">
        <f>1008000+252000+126000</f>
        <v>1386000</v>
      </c>
      <c r="AK97" s="21">
        <f t="shared" si="149"/>
        <v>3006000</v>
      </c>
      <c r="AL97" s="25"/>
      <c r="AM97" s="20"/>
      <c r="AN97" s="20"/>
      <c r="AO97" s="21">
        <f t="shared" si="150"/>
        <v>0</v>
      </c>
      <c r="AP97" s="25"/>
      <c r="AQ97" s="25"/>
      <c r="AR97" s="25"/>
      <c r="AS97" s="25"/>
      <c r="AT97" s="20"/>
      <c r="AU97" s="20"/>
      <c r="AV97" s="21">
        <f t="shared" si="151"/>
        <v>0</v>
      </c>
      <c r="AW97" s="4">
        <f t="shared" si="152"/>
        <v>0</v>
      </c>
      <c r="AX97" s="4">
        <f t="shared" si="153"/>
        <v>0</v>
      </c>
      <c r="AY97" s="4">
        <f t="shared" si="154"/>
        <v>537500</v>
      </c>
      <c r="AZ97" s="4">
        <f t="shared" si="155"/>
        <v>820000</v>
      </c>
      <c r="BA97" s="94">
        <f t="shared" si="156"/>
        <v>900000</v>
      </c>
      <c r="BB97" s="94">
        <f t="shared" si="157"/>
        <v>1386000</v>
      </c>
      <c r="BC97" s="9">
        <f t="shared" si="158"/>
        <v>3643500</v>
      </c>
    </row>
    <row r="98" spans="1:55">
      <c r="A98" s="186"/>
      <c r="B98" s="8">
        <v>16</v>
      </c>
      <c r="C98" s="1" t="s">
        <v>202</v>
      </c>
      <c r="D98" s="4" t="s">
        <v>203</v>
      </c>
      <c r="E98" s="4" t="s">
        <v>17</v>
      </c>
      <c r="F98" s="4">
        <v>155000</v>
      </c>
      <c r="G98" s="4">
        <v>699500</v>
      </c>
      <c r="H98" s="4">
        <f>198000+324500</f>
        <v>522500</v>
      </c>
      <c r="I98" s="4">
        <v>180000</v>
      </c>
      <c r="J98" s="4"/>
      <c r="K98" s="4"/>
      <c r="L98" s="9">
        <f t="shared" si="145"/>
        <v>1557000</v>
      </c>
      <c r="M98" s="76"/>
      <c r="N98" s="76"/>
      <c r="O98" s="76">
        <v>290000</v>
      </c>
      <c r="P98" s="76">
        <v>395000</v>
      </c>
      <c r="Q98" s="4"/>
      <c r="R98" s="4"/>
      <c r="S98" s="9">
        <f t="shared" si="146"/>
        <v>685000</v>
      </c>
      <c r="T98" s="20"/>
      <c r="U98" s="20"/>
      <c r="V98" s="20"/>
      <c r="W98" s="20"/>
      <c r="X98" s="20"/>
      <c r="Y98" s="20"/>
      <c r="Z98" s="9">
        <f t="shared" si="147"/>
        <v>0</v>
      </c>
      <c r="AA98" s="20"/>
      <c r="AB98" s="25">
        <v>1407050</v>
      </c>
      <c r="AC98" s="25">
        <v>582000</v>
      </c>
      <c r="AD98" s="24">
        <v>270000</v>
      </c>
      <c r="AE98" s="20"/>
      <c r="AF98" s="20"/>
      <c r="AG98" s="21">
        <f t="shared" si="148"/>
        <v>2259050</v>
      </c>
      <c r="AH98" s="25">
        <v>945000</v>
      </c>
      <c r="AI98" s="20">
        <f>315000+315000+315000+315000+210000</f>
        <v>1470000</v>
      </c>
      <c r="AJ98" s="20">
        <f>1388655+312000+156000</f>
        <v>1856655</v>
      </c>
      <c r="AK98" s="21">
        <f t="shared" si="149"/>
        <v>4271655</v>
      </c>
      <c r="AL98" s="25"/>
      <c r="AM98" s="20"/>
      <c r="AN98" s="20"/>
      <c r="AO98" s="21">
        <f t="shared" si="150"/>
        <v>0</v>
      </c>
      <c r="AP98" s="25"/>
      <c r="AQ98" s="24">
        <v>100000</v>
      </c>
      <c r="AR98" s="25"/>
      <c r="AS98" s="25">
        <v>208000</v>
      </c>
      <c r="AT98" s="20"/>
      <c r="AU98" s="20"/>
      <c r="AV98" s="21">
        <f t="shared" si="151"/>
        <v>308000</v>
      </c>
      <c r="AW98" s="4">
        <f t="shared" si="152"/>
        <v>155000</v>
      </c>
      <c r="AX98" s="4">
        <f t="shared" si="153"/>
        <v>2206550</v>
      </c>
      <c r="AY98" s="4">
        <f t="shared" si="154"/>
        <v>1394500</v>
      </c>
      <c r="AZ98" s="4">
        <f t="shared" si="155"/>
        <v>1998000</v>
      </c>
      <c r="BA98" s="94">
        <f t="shared" si="156"/>
        <v>1470000</v>
      </c>
      <c r="BB98" s="94">
        <f t="shared" si="157"/>
        <v>1856655</v>
      </c>
      <c r="BC98" s="9">
        <f t="shared" si="158"/>
        <v>9080705</v>
      </c>
    </row>
    <row r="99" spans="1:55">
      <c r="A99" s="186"/>
      <c r="B99" s="8">
        <v>17</v>
      </c>
      <c r="C99" s="1" t="s">
        <v>204</v>
      </c>
      <c r="D99" s="4" t="s">
        <v>205</v>
      </c>
      <c r="E99" s="4" t="s">
        <v>17</v>
      </c>
      <c r="F99" s="4"/>
      <c r="G99" s="4"/>
      <c r="H99" s="4">
        <v>155000</v>
      </c>
      <c r="I99" s="4"/>
      <c r="J99" s="4"/>
      <c r="K99" s="4"/>
      <c r="L99" s="9">
        <f t="shared" si="145"/>
        <v>155000</v>
      </c>
      <c r="M99" s="76"/>
      <c r="N99" s="76"/>
      <c r="O99" s="76">
        <v>290000</v>
      </c>
      <c r="P99" s="76"/>
      <c r="Q99" s="4"/>
      <c r="R99" s="4"/>
      <c r="S99" s="9">
        <f t="shared" si="146"/>
        <v>290000</v>
      </c>
      <c r="T99" s="20"/>
      <c r="U99" s="20"/>
      <c r="V99" s="20"/>
      <c r="W99" s="20"/>
      <c r="X99" s="20"/>
      <c r="Y99" s="20"/>
      <c r="Z99" s="9">
        <f t="shared" si="147"/>
        <v>0</v>
      </c>
      <c r="AA99" s="20"/>
      <c r="AB99" s="20">
        <v>195000</v>
      </c>
      <c r="AC99" s="25">
        <v>237650</v>
      </c>
      <c r="AD99" s="24"/>
      <c r="AE99" s="20"/>
      <c r="AF99" s="20"/>
      <c r="AG99" s="21">
        <f t="shared" si="148"/>
        <v>432650</v>
      </c>
      <c r="AH99" s="25">
        <v>0</v>
      </c>
      <c r="AI99" s="20"/>
      <c r="AJ99" s="20"/>
      <c r="AK99" s="21">
        <f t="shared" si="149"/>
        <v>0</v>
      </c>
      <c r="AL99" s="25"/>
      <c r="AM99" s="20"/>
      <c r="AN99" s="20"/>
      <c r="AO99" s="21">
        <f t="shared" si="150"/>
        <v>0</v>
      </c>
      <c r="AP99" s="25"/>
      <c r="AQ99" s="24"/>
      <c r="AR99" s="25"/>
      <c r="AS99" s="25"/>
      <c r="AT99" s="20"/>
      <c r="AU99" s="20"/>
      <c r="AV99" s="21">
        <f t="shared" si="151"/>
        <v>0</v>
      </c>
      <c r="AW99" s="4">
        <f t="shared" si="152"/>
        <v>0</v>
      </c>
      <c r="AX99" s="4">
        <f t="shared" si="153"/>
        <v>195000</v>
      </c>
      <c r="AY99" s="4">
        <f t="shared" si="154"/>
        <v>682650</v>
      </c>
      <c r="AZ99" s="4">
        <f t="shared" si="155"/>
        <v>0</v>
      </c>
      <c r="BA99" s="94">
        <f t="shared" si="156"/>
        <v>0</v>
      </c>
      <c r="BB99" s="94">
        <f t="shared" si="157"/>
        <v>0</v>
      </c>
      <c r="BC99" s="9">
        <f t="shared" si="158"/>
        <v>877650</v>
      </c>
    </row>
    <row r="100" spans="1:55">
      <c r="A100" s="186"/>
      <c r="B100" s="8">
        <v>18</v>
      </c>
      <c r="C100" s="1" t="s">
        <v>5</v>
      </c>
      <c r="D100" s="4" t="s">
        <v>36</v>
      </c>
      <c r="E100" s="4" t="s">
        <v>17</v>
      </c>
      <c r="F100" s="4">
        <v>155000</v>
      </c>
      <c r="G100" s="4">
        <v>925328</v>
      </c>
      <c r="H100" s="4">
        <f>104500+104500+330000+220000+110000</f>
        <v>869000</v>
      </c>
      <c r="I100" s="4">
        <f>100000+20000</f>
        <v>120000</v>
      </c>
      <c r="J100" s="4"/>
      <c r="K100" s="4"/>
      <c r="L100" s="9">
        <f t="shared" si="145"/>
        <v>2069328</v>
      </c>
      <c r="M100" s="4"/>
      <c r="N100" s="4"/>
      <c r="O100" s="4"/>
      <c r="P100" s="4"/>
      <c r="Q100" s="4"/>
      <c r="R100" s="4"/>
      <c r="S100" s="9">
        <f t="shared" si="146"/>
        <v>0</v>
      </c>
      <c r="T100" s="20"/>
      <c r="U100" s="20"/>
      <c r="V100" s="20"/>
      <c r="W100" s="20"/>
      <c r="X100" s="20"/>
      <c r="Y100" s="20"/>
      <c r="Z100" s="9">
        <f t="shared" si="147"/>
        <v>0</v>
      </c>
      <c r="AA100" s="20">
        <v>195000</v>
      </c>
      <c r="AB100" s="25">
        <v>1595650</v>
      </c>
      <c r="AC100" s="25">
        <v>1129700</v>
      </c>
      <c r="AD100" s="24">
        <v>30000</v>
      </c>
      <c r="AE100" s="20"/>
      <c r="AF100" s="20"/>
      <c r="AG100" s="21">
        <f t="shared" si="148"/>
        <v>2950350</v>
      </c>
      <c r="AH100" s="25">
        <v>1155000</v>
      </c>
      <c r="AI100" s="20">
        <f>(105000+315000+262500)-140000+262500+175000</f>
        <v>980000</v>
      </c>
      <c r="AJ100" s="20">
        <f>1282500+312000+156000</f>
        <v>1750500</v>
      </c>
      <c r="AK100" s="21">
        <f t="shared" si="149"/>
        <v>3885500</v>
      </c>
      <c r="AL100" s="25"/>
      <c r="AM100" s="20"/>
      <c r="AN100" s="20"/>
      <c r="AO100" s="21">
        <f t="shared" si="150"/>
        <v>0</v>
      </c>
      <c r="AP100" s="25"/>
      <c r="AQ100" s="24">
        <v>100000</v>
      </c>
      <c r="AR100" s="25">
        <f>276000+540000</f>
        <v>816000</v>
      </c>
      <c r="AS100" s="25"/>
      <c r="AT100" s="20"/>
      <c r="AU100" s="20"/>
      <c r="AV100" s="21">
        <f t="shared" si="151"/>
        <v>916000</v>
      </c>
      <c r="AW100" s="4">
        <f t="shared" si="152"/>
        <v>350000</v>
      </c>
      <c r="AX100" s="4">
        <f t="shared" si="153"/>
        <v>2620978</v>
      </c>
      <c r="AY100" s="4">
        <f t="shared" si="154"/>
        <v>2814700</v>
      </c>
      <c r="AZ100" s="4">
        <f t="shared" si="155"/>
        <v>1305000</v>
      </c>
      <c r="BA100" s="94">
        <f t="shared" si="156"/>
        <v>980000</v>
      </c>
      <c r="BB100" s="94">
        <f t="shared" si="157"/>
        <v>1750500</v>
      </c>
      <c r="BC100" s="9">
        <f t="shared" si="158"/>
        <v>9821178</v>
      </c>
    </row>
    <row r="101" spans="1:55" ht="31.5">
      <c r="A101" s="186"/>
      <c r="B101" s="8">
        <v>19</v>
      </c>
      <c r="C101" s="1" t="s">
        <v>206</v>
      </c>
      <c r="D101" s="4" t="s">
        <v>193</v>
      </c>
      <c r="E101" s="4" t="s">
        <v>17</v>
      </c>
      <c r="F101" s="4"/>
      <c r="G101" s="4">
        <v>821267</v>
      </c>
      <c r="H101" s="4">
        <f>99000+99000+297000</f>
        <v>495000</v>
      </c>
      <c r="I101" s="4">
        <f>160000+20000</f>
        <v>180000</v>
      </c>
      <c r="J101" s="4"/>
      <c r="K101" s="4"/>
      <c r="L101" s="9">
        <f t="shared" si="145"/>
        <v>1496267</v>
      </c>
      <c r="M101" s="76"/>
      <c r="N101" s="76">
        <v>1870000</v>
      </c>
      <c r="O101" s="76">
        <v>1200000</v>
      </c>
      <c r="P101" s="76">
        <v>350000</v>
      </c>
      <c r="Q101" s="4"/>
      <c r="R101" s="4"/>
      <c r="S101" s="9">
        <f t="shared" si="146"/>
        <v>3420000</v>
      </c>
      <c r="T101" s="20"/>
      <c r="U101" s="22">
        <v>920000</v>
      </c>
      <c r="V101" s="4">
        <v>434000</v>
      </c>
      <c r="W101" s="22">
        <v>424000</v>
      </c>
      <c r="X101" s="22"/>
      <c r="Y101" s="22"/>
      <c r="Z101" s="9">
        <f t="shared" si="147"/>
        <v>1778000</v>
      </c>
      <c r="AA101" s="20"/>
      <c r="AB101" s="25">
        <v>1203800</v>
      </c>
      <c r="AC101" s="25">
        <v>446200</v>
      </c>
      <c r="AD101" s="24">
        <v>270000</v>
      </c>
      <c r="AE101" s="20"/>
      <c r="AF101" s="20"/>
      <c r="AG101" s="21">
        <f t="shared" si="148"/>
        <v>1920000</v>
      </c>
      <c r="AH101" s="25">
        <v>0</v>
      </c>
      <c r="AI101" s="20"/>
      <c r="AJ101" s="20"/>
      <c r="AK101" s="21">
        <f t="shared" si="149"/>
        <v>0</v>
      </c>
      <c r="AL101" s="24">
        <v>900000</v>
      </c>
      <c r="AM101" s="20">
        <f>300000+300000+300000+300000+200000</f>
        <v>1400000</v>
      </c>
      <c r="AN101" s="20">
        <f>1842500+731000</f>
        <v>2573500</v>
      </c>
      <c r="AO101" s="21">
        <f t="shared" si="150"/>
        <v>4873500</v>
      </c>
      <c r="AP101" s="25"/>
      <c r="AQ101" s="25"/>
      <c r="AR101" s="25"/>
      <c r="AS101" s="25"/>
      <c r="AT101" s="20"/>
      <c r="AU101" s="20"/>
      <c r="AV101" s="21">
        <f t="shared" si="151"/>
        <v>0</v>
      </c>
      <c r="AW101" s="4">
        <f t="shared" si="152"/>
        <v>0</v>
      </c>
      <c r="AX101" s="4">
        <f t="shared" si="153"/>
        <v>4815067</v>
      </c>
      <c r="AY101" s="4">
        <f t="shared" si="154"/>
        <v>2575200</v>
      </c>
      <c r="AZ101" s="4">
        <f t="shared" si="155"/>
        <v>2124000</v>
      </c>
      <c r="BA101" s="94">
        <f t="shared" si="156"/>
        <v>1400000</v>
      </c>
      <c r="BB101" s="94">
        <f t="shared" si="157"/>
        <v>2573500</v>
      </c>
      <c r="BC101" s="9">
        <f t="shared" si="158"/>
        <v>13487767</v>
      </c>
    </row>
    <row r="102" spans="1:55" ht="31.5">
      <c r="A102" s="186"/>
      <c r="B102" s="8">
        <v>20</v>
      </c>
      <c r="C102" s="1" t="s">
        <v>207</v>
      </c>
      <c r="D102" s="5" t="s">
        <v>36</v>
      </c>
      <c r="E102" s="4" t="s">
        <v>17</v>
      </c>
      <c r="F102" s="4"/>
      <c r="G102" s="4"/>
      <c r="H102" s="4"/>
      <c r="I102" s="4"/>
      <c r="J102" s="4"/>
      <c r="K102" s="4"/>
      <c r="L102" s="9">
        <f t="shared" si="145"/>
        <v>0</v>
      </c>
      <c r="M102" s="4"/>
      <c r="N102" s="4"/>
      <c r="O102" s="4"/>
      <c r="P102" s="4"/>
      <c r="Q102" s="4"/>
      <c r="R102" s="4"/>
      <c r="S102" s="9">
        <f t="shared" si="146"/>
        <v>0</v>
      </c>
      <c r="T102" s="20"/>
      <c r="U102" s="20"/>
      <c r="V102" s="4"/>
      <c r="W102" s="20"/>
      <c r="X102" s="20"/>
      <c r="Y102" s="20"/>
      <c r="Z102" s="9">
        <f t="shared" si="147"/>
        <v>0</v>
      </c>
      <c r="AA102" s="20"/>
      <c r="AB102" s="25">
        <v>279700</v>
      </c>
      <c r="AC102" s="25">
        <v>140400</v>
      </c>
      <c r="AD102" s="24">
        <v>470000</v>
      </c>
      <c r="AE102" s="20">
        <f>72000+36000+111000+108000+72000</f>
        <v>399000</v>
      </c>
      <c r="AF102" s="20">
        <v>36000</v>
      </c>
      <c r="AG102" s="21">
        <f t="shared" si="148"/>
        <v>1325100</v>
      </c>
      <c r="AH102" s="25">
        <v>0</v>
      </c>
      <c r="AI102" s="20"/>
      <c r="AJ102" s="20"/>
      <c r="AK102" s="21">
        <f t="shared" si="149"/>
        <v>0</v>
      </c>
      <c r="AL102" s="25"/>
      <c r="AM102" s="20"/>
      <c r="AN102" s="20"/>
      <c r="AO102" s="21">
        <f t="shared" si="150"/>
        <v>0</v>
      </c>
      <c r="AP102" s="25"/>
      <c r="AQ102" s="25"/>
      <c r="AR102" s="25"/>
      <c r="AS102" s="25"/>
      <c r="AT102" s="20"/>
      <c r="AU102" s="20"/>
      <c r="AV102" s="21">
        <f t="shared" si="151"/>
        <v>0</v>
      </c>
      <c r="AW102" s="4">
        <f t="shared" si="152"/>
        <v>0</v>
      </c>
      <c r="AX102" s="4">
        <f t="shared" si="153"/>
        <v>279700</v>
      </c>
      <c r="AY102" s="4">
        <f t="shared" si="154"/>
        <v>140400</v>
      </c>
      <c r="AZ102" s="4">
        <f t="shared" si="155"/>
        <v>470000</v>
      </c>
      <c r="BA102" s="94">
        <f t="shared" si="156"/>
        <v>399000</v>
      </c>
      <c r="BB102" s="94">
        <f t="shared" si="157"/>
        <v>36000</v>
      </c>
      <c r="BC102" s="9">
        <f t="shared" si="158"/>
        <v>1325100</v>
      </c>
    </row>
    <row r="103" spans="1:55">
      <c r="A103" s="186"/>
      <c r="B103" s="8">
        <v>21</v>
      </c>
      <c r="C103" s="44" t="s">
        <v>208</v>
      </c>
      <c r="D103" s="45" t="s">
        <v>209</v>
      </c>
      <c r="E103" s="4" t="s">
        <v>17</v>
      </c>
      <c r="F103" s="4"/>
      <c r="G103" s="4"/>
      <c r="H103" s="4"/>
      <c r="I103" s="4"/>
      <c r="J103" s="4"/>
      <c r="K103" s="4"/>
      <c r="L103" s="9">
        <f t="shared" si="145"/>
        <v>0</v>
      </c>
      <c r="M103" s="76"/>
      <c r="N103" s="76"/>
      <c r="O103" s="76">
        <v>530000</v>
      </c>
      <c r="P103" s="76">
        <v>975000</v>
      </c>
      <c r="Q103" s="4">
        <f>225000+225000+225000+225000+150000</f>
        <v>1050000</v>
      </c>
      <c r="R103" s="4">
        <f>1475000+480000</f>
        <v>1955000</v>
      </c>
      <c r="S103" s="9">
        <f t="shared" si="146"/>
        <v>4510000</v>
      </c>
      <c r="T103" s="20"/>
      <c r="U103" s="20"/>
      <c r="V103" s="4"/>
      <c r="W103" s="20"/>
      <c r="X103" s="20"/>
      <c r="Y103" s="20"/>
      <c r="Z103" s="9">
        <f t="shared" si="147"/>
        <v>0</v>
      </c>
      <c r="AA103" s="20"/>
      <c r="AB103" s="25"/>
      <c r="AC103" s="25"/>
      <c r="AD103" s="25"/>
      <c r="AE103" s="20"/>
      <c r="AF103" s="20"/>
      <c r="AG103" s="21">
        <f t="shared" si="148"/>
        <v>0</v>
      </c>
      <c r="AH103" s="25">
        <v>0</v>
      </c>
      <c r="AI103" s="20"/>
      <c r="AJ103" s="20"/>
      <c r="AK103" s="21">
        <f t="shared" si="149"/>
        <v>0</v>
      </c>
      <c r="AL103" s="25"/>
      <c r="AM103" s="20"/>
      <c r="AN103" s="20"/>
      <c r="AO103" s="21">
        <f t="shared" si="150"/>
        <v>0</v>
      </c>
      <c r="AP103" s="25"/>
      <c r="AQ103" s="25"/>
      <c r="AR103" s="25"/>
      <c r="AS103" s="25"/>
      <c r="AT103" s="20"/>
      <c r="AU103" s="20"/>
      <c r="AV103" s="21">
        <f t="shared" si="151"/>
        <v>0</v>
      </c>
      <c r="AW103" s="4">
        <f t="shared" si="152"/>
        <v>0</v>
      </c>
      <c r="AX103" s="4">
        <f t="shared" si="153"/>
        <v>0</v>
      </c>
      <c r="AY103" s="4">
        <f t="shared" si="154"/>
        <v>530000</v>
      </c>
      <c r="AZ103" s="4">
        <f t="shared" si="155"/>
        <v>975000</v>
      </c>
      <c r="BA103" s="94">
        <f t="shared" si="156"/>
        <v>1050000</v>
      </c>
      <c r="BB103" s="94">
        <f t="shared" si="157"/>
        <v>1955000</v>
      </c>
      <c r="BC103" s="9">
        <f t="shared" si="158"/>
        <v>4510000</v>
      </c>
    </row>
    <row r="104" spans="1:55" ht="31.5">
      <c r="A104" s="186"/>
      <c r="B104" s="8">
        <v>22</v>
      </c>
      <c r="C104" s="1" t="s">
        <v>210</v>
      </c>
      <c r="D104" s="4" t="s">
        <v>211</v>
      </c>
      <c r="E104" s="4" t="s">
        <v>17</v>
      </c>
      <c r="F104" s="4">
        <v>155000</v>
      </c>
      <c r="G104" s="4">
        <v>501565</v>
      </c>
      <c r="H104" s="4">
        <f>544500+110000</f>
        <v>654500</v>
      </c>
      <c r="I104" s="4">
        <f>220000+20000</f>
        <v>240000</v>
      </c>
      <c r="J104" s="4"/>
      <c r="K104" s="4"/>
      <c r="L104" s="9">
        <f t="shared" si="145"/>
        <v>1551065</v>
      </c>
      <c r="M104" s="76"/>
      <c r="N104" s="76">
        <v>290000</v>
      </c>
      <c r="O104" s="76">
        <v>870000</v>
      </c>
      <c r="P104" s="76">
        <v>250000</v>
      </c>
      <c r="Q104" s="4"/>
      <c r="R104" s="4"/>
      <c r="S104" s="9">
        <f t="shared" si="146"/>
        <v>1410000</v>
      </c>
      <c r="T104" s="20"/>
      <c r="U104" s="20"/>
      <c r="V104" s="4"/>
      <c r="W104" s="20"/>
      <c r="X104" s="20"/>
      <c r="Y104" s="20"/>
      <c r="Z104" s="9">
        <f t="shared" si="147"/>
        <v>0</v>
      </c>
      <c r="AA104" s="20"/>
      <c r="AB104" s="25">
        <v>1475506</v>
      </c>
      <c r="AC104" s="25">
        <v>557750</v>
      </c>
      <c r="AD104" s="25">
        <v>270000</v>
      </c>
      <c r="AE104" s="20"/>
      <c r="AF104" s="20"/>
      <c r="AG104" s="21">
        <f t="shared" si="148"/>
        <v>2303256</v>
      </c>
      <c r="AH104" s="25">
        <v>1155000</v>
      </c>
      <c r="AI104" s="20">
        <f>105000+304500+203000+399000+10500+210000</f>
        <v>1232000</v>
      </c>
      <c r="AJ104" s="20">
        <f>1344000+282000+141000</f>
        <v>1767000</v>
      </c>
      <c r="AK104" s="21">
        <f t="shared" si="149"/>
        <v>4154000</v>
      </c>
      <c r="AL104" s="25"/>
      <c r="AM104" s="20"/>
      <c r="AN104" s="20"/>
      <c r="AO104" s="21">
        <f t="shared" si="150"/>
        <v>0</v>
      </c>
      <c r="AP104" s="25"/>
      <c r="AQ104" s="25">
        <v>100000</v>
      </c>
      <c r="AR104" s="25">
        <v>276000</v>
      </c>
      <c r="AS104" s="25"/>
      <c r="AT104" s="20"/>
      <c r="AU104" s="20"/>
      <c r="AV104" s="21">
        <f t="shared" si="151"/>
        <v>376000</v>
      </c>
      <c r="AW104" s="4">
        <f t="shared" si="152"/>
        <v>155000</v>
      </c>
      <c r="AX104" s="4">
        <f t="shared" si="153"/>
        <v>2367071</v>
      </c>
      <c r="AY104" s="4">
        <f t="shared" si="154"/>
        <v>2358250</v>
      </c>
      <c r="AZ104" s="4">
        <f t="shared" si="155"/>
        <v>1915000</v>
      </c>
      <c r="BA104" s="94">
        <f t="shared" si="156"/>
        <v>1232000</v>
      </c>
      <c r="BB104" s="94">
        <f t="shared" si="157"/>
        <v>1767000</v>
      </c>
      <c r="BC104" s="9">
        <f t="shared" si="158"/>
        <v>9794321</v>
      </c>
    </row>
    <row r="105" spans="1:55" ht="31.5">
      <c r="A105" s="186"/>
      <c r="B105" s="8">
        <v>23</v>
      </c>
      <c r="C105" s="1" t="s">
        <v>212</v>
      </c>
      <c r="D105" s="4" t="s">
        <v>213</v>
      </c>
      <c r="E105" s="4" t="s">
        <v>17</v>
      </c>
      <c r="F105" s="4"/>
      <c r="G105" s="4"/>
      <c r="H105" s="4">
        <v>155000</v>
      </c>
      <c r="I105" s="4"/>
      <c r="J105" s="4"/>
      <c r="K105" s="4"/>
      <c r="L105" s="9">
        <f t="shared" si="145"/>
        <v>155000</v>
      </c>
      <c r="M105" s="76"/>
      <c r="N105" s="76">
        <v>890000</v>
      </c>
      <c r="O105" s="76">
        <v>580000</v>
      </c>
      <c r="P105" s="76"/>
      <c r="Q105" s="4"/>
      <c r="R105" s="4"/>
      <c r="S105" s="9">
        <f t="shared" si="146"/>
        <v>1470000</v>
      </c>
      <c r="T105" s="20"/>
      <c r="U105" s="20"/>
      <c r="V105" s="4"/>
      <c r="W105" s="20"/>
      <c r="X105" s="20"/>
      <c r="Y105" s="20"/>
      <c r="Z105" s="9">
        <f t="shared" si="147"/>
        <v>0</v>
      </c>
      <c r="AA105" s="20"/>
      <c r="AB105" s="25">
        <v>413250</v>
      </c>
      <c r="AC105" s="25">
        <v>548050</v>
      </c>
      <c r="AD105" s="25"/>
      <c r="AE105" s="20"/>
      <c r="AF105" s="20"/>
      <c r="AG105" s="21">
        <f t="shared" si="148"/>
        <v>961300</v>
      </c>
      <c r="AH105" s="25">
        <v>0</v>
      </c>
      <c r="AI105" s="20"/>
      <c r="AJ105" s="20"/>
      <c r="AK105" s="21">
        <f t="shared" si="149"/>
        <v>0</v>
      </c>
      <c r="AL105" s="25"/>
      <c r="AM105" s="20"/>
      <c r="AN105" s="20"/>
      <c r="AO105" s="21">
        <f t="shared" si="150"/>
        <v>0</v>
      </c>
      <c r="AP105" s="25"/>
      <c r="AQ105" s="25"/>
      <c r="AR105" s="25"/>
      <c r="AS105" s="25"/>
      <c r="AT105" s="20"/>
      <c r="AU105" s="20"/>
      <c r="AV105" s="21">
        <f t="shared" si="151"/>
        <v>0</v>
      </c>
      <c r="AW105" s="4">
        <f t="shared" si="152"/>
        <v>0</v>
      </c>
      <c r="AX105" s="4">
        <f t="shared" si="153"/>
        <v>1303250</v>
      </c>
      <c r="AY105" s="4">
        <f t="shared" si="154"/>
        <v>1283050</v>
      </c>
      <c r="AZ105" s="4">
        <f t="shared" si="155"/>
        <v>0</v>
      </c>
      <c r="BA105" s="94">
        <f t="shared" si="156"/>
        <v>0</v>
      </c>
      <c r="BB105" s="94">
        <f t="shared" si="157"/>
        <v>0</v>
      </c>
      <c r="BC105" s="9">
        <f t="shared" si="158"/>
        <v>2586300</v>
      </c>
    </row>
    <row r="106" spans="1:55" ht="31.5">
      <c r="A106" s="186"/>
      <c r="B106" s="8">
        <v>24</v>
      </c>
      <c r="C106" s="1" t="s">
        <v>214</v>
      </c>
      <c r="D106" s="4" t="s">
        <v>187</v>
      </c>
      <c r="E106" s="4" t="s">
        <v>17</v>
      </c>
      <c r="F106" s="4"/>
      <c r="G106" s="4">
        <v>155000</v>
      </c>
      <c r="H106" s="4">
        <f>52983+660000</f>
        <v>712983</v>
      </c>
      <c r="I106" s="4"/>
      <c r="J106" s="4"/>
      <c r="K106" s="4"/>
      <c r="L106" s="9">
        <f t="shared" si="145"/>
        <v>867983</v>
      </c>
      <c r="M106" s="76"/>
      <c r="N106" s="76">
        <v>1420000</v>
      </c>
      <c r="O106" s="76">
        <v>200000</v>
      </c>
      <c r="P106" s="76"/>
      <c r="Q106" s="4"/>
      <c r="R106" s="4"/>
      <c r="S106" s="9">
        <f t="shared" si="146"/>
        <v>1620000</v>
      </c>
      <c r="T106" s="20"/>
      <c r="U106" s="22">
        <v>1228000</v>
      </c>
      <c r="V106" s="4">
        <v>182000</v>
      </c>
      <c r="W106" s="23">
        <v>720000</v>
      </c>
      <c r="X106" s="23"/>
      <c r="Y106" s="23"/>
      <c r="Z106" s="9">
        <f t="shared" si="147"/>
        <v>2130000</v>
      </c>
      <c r="AA106" s="20"/>
      <c r="AB106" s="25">
        <v>592700</v>
      </c>
      <c r="AC106" s="25">
        <v>530500</v>
      </c>
      <c r="AD106" s="25">
        <v>900000</v>
      </c>
      <c r="AE106" s="20">
        <f>210000+210000+210000+350000</f>
        <v>980000</v>
      </c>
      <c r="AF106" s="20">
        <f>883000+180150+92000</f>
        <v>1155150</v>
      </c>
      <c r="AG106" s="21">
        <f t="shared" si="148"/>
        <v>4158350</v>
      </c>
      <c r="AH106" s="25">
        <v>0</v>
      </c>
      <c r="AI106" s="20"/>
      <c r="AJ106" s="20"/>
      <c r="AK106" s="21">
        <f t="shared" si="149"/>
        <v>0</v>
      </c>
      <c r="AL106" s="25"/>
      <c r="AM106" s="20"/>
      <c r="AN106" s="20"/>
      <c r="AO106" s="21">
        <f t="shared" si="150"/>
        <v>0</v>
      </c>
      <c r="AP106" s="25"/>
      <c r="AQ106" s="25">
        <v>100000</v>
      </c>
      <c r="AR106" s="25">
        <v>276000</v>
      </c>
      <c r="AS106" s="25"/>
      <c r="AT106" s="20"/>
      <c r="AU106" s="20"/>
      <c r="AV106" s="21">
        <f t="shared" si="151"/>
        <v>376000</v>
      </c>
      <c r="AW106" s="4">
        <f t="shared" si="152"/>
        <v>0</v>
      </c>
      <c r="AX106" s="4">
        <f t="shared" si="153"/>
        <v>3495700</v>
      </c>
      <c r="AY106" s="4">
        <f t="shared" si="154"/>
        <v>1901483</v>
      </c>
      <c r="AZ106" s="4">
        <f t="shared" si="155"/>
        <v>1620000</v>
      </c>
      <c r="BA106" s="94">
        <f t="shared" si="156"/>
        <v>980000</v>
      </c>
      <c r="BB106" s="94">
        <f t="shared" si="157"/>
        <v>1155150</v>
      </c>
      <c r="BC106" s="9">
        <f t="shared" si="158"/>
        <v>9152333</v>
      </c>
    </row>
    <row r="107" spans="1:55">
      <c r="A107" s="186"/>
      <c r="B107" s="8">
        <v>25</v>
      </c>
      <c r="C107" s="1" t="s">
        <v>215</v>
      </c>
      <c r="D107" s="4" t="s">
        <v>209</v>
      </c>
      <c r="E107" s="4" t="s">
        <v>17</v>
      </c>
      <c r="F107" s="4"/>
      <c r="G107" s="4"/>
      <c r="H107" s="4"/>
      <c r="I107" s="4"/>
      <c r="J107" s="4"/>
      <c r="K107" s="4"/>
      <c r="L107" s="9">
        <f t="shared" si="145"/>
        <v>0</v>
      </c>
      <c r="M107" s="4"/>
      <c r="N107" s="4"/>
      <c r="O107" s="4"/>
      <c r="P107" s="4"/>
      <c r="Q107" s="4"/>
      <c r="R107" s="4"/>
      <c r="S107" s="9">
        <f t="shared" si="146"/>
        <v>0</v>
      </c>
      <c r="T107" s="20"/>
      <c r="U107" s="22">
        <v>864000</v>
      </c>
      <c r="V107" s="4">
        <v>1078000</v>
      </c>
      <c r="W107" s="22">
        <v>1045000</v>
      </c>
      <c r="X107" s="22">
        <f>150000+225000+225000+225000+150000</f>
        <v>975000</v>
      </c>
      <c r="Y107" s="22">
        <f>1020000+315000</f>
        <v>1335000</v>
      </c>
      <c r="Z107" s="9">
        <f t="shared" si="147"/>
        <v>5297000</v>
      </c>
      <c r="AA107" s="20"/>
      <c r="AB107" s="25"/>
      <c r="AC107" s="25">
        <v>453700</v>
      </c>
      <c r="AD107" s="25">
        <v>180000</v>
      </c>
      <c r="AE107" s="20"/>
      <c r="AF107" s="20"/>
      <c r="AG107" s="21">
        <f t="shared" si="148"/>
        <v>633700</v>
      </c>
      <c r="AH107" s="25">
        <v>0</v>
      </c>
      <c r="AI107" s="20"/>
      <c r="AJ107" s="20"/>
      <c r="AK107" s="21">
        <f t="shared" si="149"/>
        <v>0</v>
      </c>
      <c r="AL107" s="25"/>
      <c r="AM107" s="20"/>
      <c r="AN107" s="20"/>
      <c r="AO107" s="21">
        <f t="shared" si="150"/>
        <v>0</v>
      </c>
      <c r="AP107" s="25"/>
      <c r="AQ107" s="25"/>
      <c r="AR107" s="25"/>
      <c r="AS107" s="25"/>
      <c r="AT107" s="20"/>
      <c r="AU107" s="20"/>
      <c r="AV107" s="21">
        <f t="shared" si="151"/>
        <v>0</v>
      </c>
      <c r="AW107" s="4">
        <f t="shared" si="152"/>
        <v>0</v>
      </c>
      <c r="AX107" s="4">
        <f t="shared" si="153"/>
        <v>864000</v>
      </c>
      <c r="AY107" s="4">
        <f t="shared" si="154"/>
        <v>1531700</v>
      </c>
      <c r="AZ107" s="4">
        <f t="shared" si="155"/>
        <v>1225000</v>
      </c>
      <c r="BA107" s="94">
        <f t="shared" si="156"/>
        <v>975000</v>
      </c>
      <c r="BB107" s="94">
        <f t="shared" si="157"/>
        <v>1335000</v>
      </c>
      <c r="BC107" s="9">
        <f t="shared" si="158"/>
        <v>5930700</v>
      </c>
    </row>
    <row r="108" spans="1:55" ht="47.25">
      <c r="A108" s="186"/>
      <c r="B108" s="8">
        <v>26</v>
      </c>
      <c r="C108" s="1" t="s">
        <v>217</v>
      </c>
      <c r="D108" s="4" t="s">
        <v>211</v>
      </c>
      <c r="E108" s="4" t="s">
        <v>17</v>
      </c>
      <c r="F108" s="4"/>
      <c r="G108" s="4"/>
      <c r="H108" s="4">
        <f>155000+52903</f>
        <v>207903</v>
      </c>
      <c r="I108" s="4">
        <v>270000</v>
      </c>
      <c r="J108" s="4">
        <f>101500+86500+151500+31000+62000</f>
        <v>432500</v>
      </c>
      <c r="K108" s="4">
        <f>412685+76200+38000</f>
        <v>526885</v>
      </c>
      <c r="L108" s="9">
        <f t="shared" si="145"/>
        <v>1437288</v>
      </c>
      <c r="M108" s="4"/>
      <c r="N108" s="4"/>
      <c r="O108" s="4"/>
      <c r="P108" s="4"/>
      <c r="Q108" s="4"/>
      <c r="R108" s="4"/>
      <c r="S108" s="9">
        <f t="shared" si="146"/>
        <v>0</v>
      </c>
      <c r="T108" s="20"/>
      <c r="U108" s="20"/>
      <c r="V108" s="20"/>
      <c r="W108" s="20"/>
      <c r="X108" s="20"/>
      <c r="Y108" s="20"/>
      <c r="Z108" s="9">
        <f t="shared" si="147"/>
        <v>0</v>
      </c>
      <c r="AA108" s="20"/>
      <c r="AB108" s="20"/>
      <c r="AC108" s="20"/>
      <c r="AD108" s="20"/>
      <c r="AE108" s="20"/>
      <c r="AF108" s="20"/>
      <c r="AG108" s="21">
        <f t="shared" si="148"/>
        <v>0</v>
      </c>
      <c r="AH108" s="25">
        <v>0</v>
      </c>
      <c r="AI108" s="20"/>
      <c r="AJ108" s="20"/>
      <c r="AK108" s="21">
        <f t="shared" si="149"/>
        <v>0</v>
      </c>
      <c r="AL108" s="25"/>
      <c r="AM108" s="20"/>
      <c r="AN108" s="20"/>
      <c r="AO108" s="21">
        <f t="shared" si="150"/>
        <v>0</v>
      </c>
      <c r="AP108" s="25"/>
      <c r="AQ108" s="25"/>
      <c r="AR108" s="25"/>
      <c r="AS108" s="25"/>
      <c r="AT108" s="20"/>
      <c r="AU108" s="20"/>
      <c r="AV108" s="21">
        <f t="shared" si="151"/>
        <v>0</v>
      </c>
      <c r="AW108" s="4">
        <f t="shared" si="152"/>
        <v>0</v>
      </c>
      <c r="AX108" s="4">
        <f t="shared" si="153"/>
        <v>0</v>
      </c>
      <c r="AY108" s="4">
        <f t="shared" si="154"/>
        <v>207903</v>
      </c>
      <c r="AZ108" s="4">
        <f t="shared" si="155"/>
        <v>270000</v>
      </c>
      <c r="BA108" s="94">
        <f t="shared" si="156"/>
        <v>432500</v>
      </c>
      <c r="BB108" s="94">
        <f t="shared" si="157"/>
        <v>526885</v>
      </c>
      <c r="BC108" s="9">
        <f t="shared" si="158"/>
        <v>1437288</v>
      </c>
    </row>
    <row r="109" spans="1:55">
      <c r="A109" s="186"/>
      <c r="B109" s="8">
        <v>27</v>
      </c>
      <c r="C109" s="1" t="s">
        <v>218</v>
      </c>
      <c r="D109" s="4" t="s">
        <v>193</v>
      </c>
      <c r="E109" s="4" t="s">
        <v>17</v>
      </c>
      <c r="F109" s="4"/>
      <c r="G109" s="4"/>
      <c r="H109" s="4"/>
      <c r="I109" s="4"/>
      <c r="J109" s="4"/>
      <c r="K109" s="4"/>
      <c r="L109" s="9">
        <f t="shared" si="145"/>
        <v>0</v>
      </c>
      <c r="M109" s="4"/>
      <c r="N109" s="4"/>
      <c r="O109" s="4"/>
      <c r="P109" s="4"/>
      <c r="Q109" s="4"/>
      <c r="R109" s="4"/>
      <c r="S109" s="9">
        <f t="shared" si="146"/>
        <v>0</v>
      </c>
      <c r="T109" s="20"/>
      <c r="U109" s="20"/>
      <c r="V109" s="20"/>
      <c r="W109" s="20"/>
      <c r="X109" s="20"/>
      <c r="Y109" s="20"/>
      <c r="Z109" s="9">
        <f t="shared" si="147"/>
        <v>0</v>
      </c>
      <c r="AA109" s="20"/>
      <c r="AB109" s="25">
        <v>340500</v>
      </c>
      <c r="AC109" s="25">
        <v>455900</v>
      </c>
      <c r="AD109" s="25">
        <v>-230000</v>
      </c>
      <c r="AE109" s="20"/>
      <c r="AF109" s="20"/>
      <c r="AG109" s="21">
        <f t="shared" si="148"/>
        <v>566400</v>
      </c>
      <c r="AH109" s="25">
        <v>0</v>
      </c>
      <c r="AI109" s="20"/>
      <c r="AJ109" s="20"/>
      <c r="AK109" s="21">
        <f t="shared" si="149"/>
        <v>0</v>
      </c>
      <c r="AL109" s="25"/>
      <c r="AM109" s="20"/>
      <c r="AN109" s="20"/>
      <c r="AO109" s="21">
        <f t="shared" si="150"/>
        <v>0</v>
      </c>
      <c r="AP109" s="25"/>
      <c r="AQ109" s="25"/>
      <c r="AR109" s="25"/>
      <c r="AS109" s="25"/>
      <c r="AT109" s="20"/>
      <c r="AU109" s="20"/>
      <c r="AV109" s="21">
        <f t="shared" si="151"/>
        <v>0</v>
      </c>
      <c r="AW109" s="4">
        <f t="shared" si="152"/>
        <v>0</v>
      </c>
      <c r="AX109" s="4">
        <f t="shared" si="153"/>
        <v>340500</v>
      </c>
      <c r="AY109" s="4">
        <f t="shared" si="154"/>
        <v>455900</v>
      </c>
      <c r="AZ109" s="4">
        <f t="shared" si="155"/>
        <v>-230000</v>
      </c>
      <c r="BA109" s="94">
        <f t="shared" si="156"/>
        <v>0</v>
      </c>
      <c r="BB109" s="94">
        <f t="shared" si="157"/>
        <v>0</v>
      </c>
      <c r="BC109" s="9">
        <f t="shared" si="158"/>
        <v>566400</v>
      </c>
    </row>
    <row r="110" spans="1:55">
      <c r="A110" s="186"/>
      <c r="B110" s="8">
        <v>28</v>
      </c>
      <c r="C110" s="1" t="s">
        <v>219</v>
      </c>
      <c r="D110" s="4" t="s">
        <v>185</v>
      </c>
      <c r="E110" s="4" t="s">
        <v>17</v>
      </c>
      <c r="F110" s="4"/>
      <c r="G110" s="4">
        <v>155000</v>
      </c>
      <c r="H110" s="4">
        <v>108928</v>
      </c>
      <c r="I110" s="4"/>
      <c r="J110" s="4"/>
      <c r="K110" s="4"/>
      <c r="L110" s="9">
        <f t="shared" si="145"/>
        <v>263928</v>
      </c>
      <c r="M110" s="76"/>
      <c r="N110" s="76">
        <v>450000</v>
      </c>
      <c r="O110" s="76">
        <v>720000</v>
      </c>
      <c r="P110" s="76"/>
      <c r="Q110" s="4"/>
      <c r="R110" s="4"/>
      <c r="S110" s="9">
        <f t="shared" si="146"/>
        <v>1170000</v>
      </c>
      <c r="T110" s="20"/>
      <c r="U110" s="20"/>
      <c r="V110" s="20"/>
      <c r="W110" s="20"/>
      <c r="X110" s="20"/>
      <c r="Y110" s="20"/>
      <c r="Z110" s="9">
        <f t="shared" si="147"/>
        <v>0</v>
      </c>
      <c r="AA110" s="20"/>
      <c r="AB110" s="25">
        <v>519950</v>
      </c>
      <c r="AC110" s="25">
        <v>349200</v>
      </c>
      <c r="AD110" s="25"/>
      <c r="AE110" s="20"/>
      <c r="AF110" s="20"/>
      <c r="AG110" s="21">
        <f t="shared" si="148"/>
        <v>869150</v>
      </c>
      <c r="AH110" s="25">
        <v>0</v>
      </c>
      <c r="AI110" s="20"/>
      <c r="AJ110" s="20"/>
      <c r="AK110" s="21">
        <f t="shared" si="149"/>
        <v>0</v>
      </c>
      <c r="AL110" s="25"/>
      <c r="AM110" s="20"/>
      <c r="AN110" s="20"/>
      <c r="AO110" s="21">
        <f t="shared" si="150"/>
        <v>0</v>
      </c>
      <c r="AP110" s="25"/>
      <c r="AQ110" s="25"/>
      <c r="AR110" s="25"/>
      <c r="AS110" s="25"/>
      <c r="AT110" s="20"/>
      <c r="AU110" s="20"/>
      <c r="AV110" s="21">
        <f t="shared" si="151"/>
        <v>0</v>
      </c>
      <c r="AW110" s="4">
        <f t="shared" si="152"/>
        <v>0</v>
      </c>
      <c r="AX110" s="4">
        <f t="shared" si="153"/>
        <v>1124950</v>
      </c>
      <c r="AY110" s="4">
        <f t="shared" si="154"/>
        <v>1178128</v>
      </c>
      <c r="AZ110" s="4">
        <f t="shared" si="155"/>
        <v>0</v>
      </c>
      <c r="BA110" s="94">
        <f t="shared" si="156"/>
        <v>0</v>
      </c>
      <c r="BB110" s="94">
        <f t="shared" si="157"/>
        <v>0</v>
      </c>
      <c r="BC110" s="9">
        <f t="shared" si="158"/>
        <v>2303078</v>
      </c>
    </row>
    <row r="111" spans="1:55">
      <c r="A111" s="186"/>
      <c r="B111" s="8">
        <v>29</v>
      </c>
      <c r="C111" s="1" t="s">
        <v>428</v>
      </c>
      <c r="D111" s="4" t="s">
        <v>187</v>
      </c>
      <c r="E111" s="4" t="s">
        <v>17</v>
      </c>
      <c r="F111" s="4"/>
      <c r="G111" s="4"/>
      <c r="H111" s="4">
        <v>155000</v>
      </c>
      <c r="I111" s="4">
        <f>60000+120000</f>
        <v>180000</v>
      </c>
      <c r="J111" s="4"/>
      <c r="K111" s="4"/>
      <c r="L111" s="9">
        <f t="shared" si="145"/>
        <v>335000</v>
      </c>
      <c r="M111" s="4"/>
      <c r="N111" s="4"/>
      <c r="O111" s="4"/>
      <c r="P111" s="4"/>
      <c r="Q111" s="4"/>
      <c r="R111" s="4"/>
      <c r="S111" s="9">
        <f t="shared" si="146"/>
        <v>0</v>
      </c>
      <c r="T111" s="20"/>
      <c r="U111" s="20"/>
      <c r="V111" s="20"/>
      <c r="W111" s="20"/>
      <c r="X111" s="20"/>
      <c r="Y111" s="20"/>
      <c r="Z111" s="9">
        <f t="shared" si="147"/>
        <v>0</v>
      </c>
      <c r="AA111" s="20"/>
      <c r="AB111" s="20">
        <v>195000</v>
      </c>
      <c r="AC111" s="25">
        <v>446200</v>
      </c>
      <c r="AD111" s="25">
        <v>240000</v>
      </c>
      <c r="AE111" s="20"/>
      <c r="AF111" s="20"/>
      <c r="AG111" s="21">
        <f t="shared" si="148"/>
        <v>881200</v>
      </c>
      <c r="AH111" s="25">
        <v>945000</v>
      </c>
      <c r="AI111" s="20">
        <f>630000+315000+525000</f>
        <v>1470000</v>
      </c>
      <c r="AJ111" s="20">
        <f>1359000+282000+141000</f>
        <v>1782000</v>
      </c>
      <c r="AK111" s="21">
        <f t="shared" si="149"/>
        <v>4197000</v>
      </c>
      <c r="AL111" s="25"/>
      <c r="AM111" s="20"/>
      <c r="AN111" s="20"/>
      <c r="AO111" s="21">
        <f t="shared" si="150"/>
        <v>0</v>
      </c>
      <c r="AP111" s="25"/>
      <c r="AQ111" s="25"/>
      <c r="AR111" s="25"/>
      <c r="AS111" s="25"/>
      <c r="AT111" s="20"/>
      <c r="AU111" s="20"/>
      <c r="AV111" s="21">
        <f t="shared" si="151"/>
        <v>0</v>
      </c>
      <c r="AW111" s="4">
        <f t="shared" si="152"/>
        <v>0</v>
      </c>
      <c r="AX111" s="4">
        <f t="shared" si="153"/>
        <v>195000</v>
      </c>
      <c r="AY111" s="4">
        <f t="shared" si="154"/>
        <v>601200</v>
      </c>
      <c r="AZ111" s="4">
        <f t="shared" si="155"/>
        <v>1365000</v>
      </c>
      <c r="BA111" s="94">
        <f t="shared" si="156"/>
        <v>1470000</v>
      </c>
      <c r="BB111" s="94">
        <f t="shared" si="157"/>
        <v>1782000</v>
      </c>
      <c r="BC111" s="9">
        <f t="shared" si="158"/>
        <v>5413200</v>
      </c>
    </row>
    <row r="112" spans="1:55">
      <c r="A112" s="186"/>
      <c r="B112" s="8">
        <v>30</v>
      </c>
      <c r="C112" s="1" t="s">
        <v>221</v>
      </c>
      <c r="D112" s="4" t="s">
        <v>222</v>
      </c>
      <c r="E112" s="4" t="s">
        <v>17</v>
      </c>
      <c r="F112" s="4"/>
      <c r="G112" s="4"/>
      <c r="H112" s="4">
        <v>155000</v>
      </c>
      <c r="I112" s="4">
        <f>40000+96000</f>
        <v>136000</v>
      </c>
      <c r="J112" s="4"/>
      <c r="K112" s="4"/>
      <c r="L112" s="9">
        <f t="shared" si="145"/>
        <v>291000</v>
      </c>
      <c r="M112" s="4"/>
      <c r="N112" s="4"/>
      <c r="O112" s="4"/>
      <c r="P112" s="4"/>
      <c r="Q112" s="4"/>
      <c r="R112" s="4"/>
      <c r="S112" s="9">
        <f t="shared" si="146"/>
        <v>0</v>
      </c>
      <c r="T112" s="20"/>
      <c r="U112" s="20"/>
      <c r="V112" s="20"/>
      <c r="W112" s="20"/>
      <c r="X112" s="20"/>
      <c r="Y112" s="20"/>
      <c r="Z112" s="9">
        <f t="shared" si="147"/>
        <v>0</v>
      </c>
      <c r="AA112" s="20"/>
      <c r="AB112" s="20"/>
      <c r="AC112" s="25">
        <v>195000</v>
      </c>
      <c r="AD112" s="25">
        <v>182000</v>
      </c>
      <c r="AE112" s="20"/>
      <c r="AF112" s="20"/>
      <c r="AG112" s="21">
        <f t="shared" si="148"/>
        <v>377000</v>
      </c>
      <c r="AH112" s="25">
        <v>945000</v>
      </c>
      <c r="AI112" s="20">
        <f>315000+234500+280000+283500+196000</f>
        <v>1309000</v>
      </c>
      <c r="AJ112" s="20">
        <f>1294400+312000+156000</f>
        <v>1762400</v>
      </c>
      <c r="AK112" s="21">
        <f t="shared" si="149"/>
        <v>4016400</v>
      </c>
      <c r="AL112" s="25"/>
      <c r="AM112" s="20"/>
      <c r="AN112" s="20"/>
      <c r="AO112" s="21">
        <f t="shared" si="150"/>
        <v>0</v>
      </c>
      <c r="AP112" s="25"/>
      <c r="AQ112" s="25"/>
      <c r="AR112" s="25"/>
      <c r="AS112" s="25"/>
      <c r="AT112" s="20"/>
      <c r="AU112" s="20"/>
      <c r="AV112" s="21">
        <f t="shared" si="151"/>
        <v>0</v>
      </c>
      <c r="AW112" s="4">
        <f t="shared" si="152"/>
        <v>0</v>
      </c>
      <c r="AX112" s="4">
        <f t="shared" si="153"/>
        <v>0</v>
      </c>
      <c r="AY112" s="4">
        <f t="shared" si="154"/>
        <v>350000</v>
      </c>
      <c r="AZ112" s="4">
        <f t="shared" si="155"/>
        <v>1263000</v>
      </c>
      <c r="BA112" s="94">
        <f t="shared" si="156"/>
        <v>1309000</v>
      </c>
      <c r="BB112" s="94">
        <f t="shared" si="157"/>
        <v>1762400</v>
      </c>
      <c r="BC112" s="9">
        <f t="shared" si="158"/>
        <v>4684400</v>
      </c>
    </row>
    <row r="113" spans="1:55" ht="31.5">
      <c r="A113" s="187"/>
      <c r="B113" s="8">
        <v>31</v>
      </c>
      <c r="C113" s="1" t="s">
        <v>223</v>
      </c>
      <c r="D113" s="4" t="s">
        <v>224</v>
      </c>
      <c r="E113" s="4" t="s">
        <v>17</v>
      </c>
      <c r="F113" s="4"/>
      <c r="G113" s="4"/>
      <c r="H113" s="4">
        <v>155000</v>
      </c>
      <c r="I113" s="4"/>
      <c r="J113" s="4"/>
      <c r="K113" s="4"/>
      <c r="L113" s="9">
        <f t="shared" si="145"/>
        <v>155000</v>
      </c>
      <c r="M113" s="4"/>
      <c r="N113" s="4"/>
      <c r="O113" s="4"/>
      <c r="P113" s="4"/>
      <c r="Q113" s="4"/>
      <c r="R113" s="4"/>
      <c r="S113" s="9">
        <f t="shared" si="146"/>
        <v>0</v>
      </c>
      <c r="T113" s="20"/>
      <c r="U113" s="20"/>
      <c r="V113" s="4">
        <v>290000</v>
      </c>
      <c r="W113" s="20"/>
      <c r="X113" s="20"/>
      <c r="Y113" s="20"/>
      <c r="Z113" s="9">
        <f t="shared" si="147"/>
        <v>290000</v>
      </c>
      <c r="AA113" s="20"/>
      <c r="AB113" s="20"/>
      <c r="AC113" s="25">
        <v>195000</v>
      </c>
      <c r="AD113" s="25"/>
      <c r="AE113" s="20"/>
      <c r="AF113" s="20"/>
      <c r="AG113" s="21">
        <f t="shared" si="148"/>
        <v>195000</v>
      </c>
      <c r="AH113" s="25">
        <v>0</v>
      </c>
      <c r="AI113" s="20"/>
      <c r="AJ113" s="20"/>
      <c r="AK113" s="21">
        <f t="shared" si="149"/>
        <v>0</v>
      </c>
      <c r="AL113" s="25"/>
      <c r="AM113" s="20"/>
      <c r="AN113" s="20"/>
      <c r="AO113" s="21">
        <f t="shared" si="150"/>
        <v>0</v>
      </c>
      <c r="AP113" s="25"/>
      <c r="AQ113" s="25"/>
      <c r="AR113" s="25"/>
      <c r="AS113" s="25"/>
      <c r="AT113" s="20"/>
      <c r="AU113" s="20"/>
      <c r="AV113" s="21">
        <f t="shared" si="151"/>
        <v>0</v>
      </c>
      <c r="AW113" s="4">
        <f t="shared" si="152"/>
        <v>0</v>
      </c>
      <c r="AX113" s="4">
        <f t="shared" si="153"/>
        <v>0</v>
      </c>
      <c r="AY113" s="4">
        <f t="shared" si="154"/>
        <v>640000</v>
      </c>
      <c r="AZ113" s="4">
        <f t="shared" si="155"/>
        <v>0</v>
      </c>
      <c r="BA113" s="94">
        <f t="shared" si="156"/>
        <v>0</v>
      </c>
      <c r="BB113" s="94">
        <f t="shared" si="157"/>
        <v>0</v>
      </c>
      <c r="BC113" s="9">
        <f t="shared" si="158"/>
        <v>640000</v>
      </c>
    </row>
    <row r="114" spans="1:55" s="38" customFormat="1">
      <c r="A114" s="34"/>
      <c r="B114" s="34"/>
      <c r="C114" s="35" t="s">
        <v>225</v>
      </c>
      <c r="D114" s="37"/>
      <c r="E114" s="37"/>
      <c r="F114" s="37">
        <f>SUM(F83:F113)</f>
        <v>775000</v>
      </c>
      <c r="G114" s="37">
        <f t="shared" ref="G114:BC114" si="159">SUM(G83:G113)</f>
        <v>7149160</v>
      </c>
      <c r="H114" s="37">
        <f t="shared" si="159"/>
        <v>8450814</v>
      </c>
      <c r="I114" s="37">
        <f t="shared" si="159"/>
        <v>2787000</v>
      </c>
      <c r="J114" s="37">
        <f t="shared" si="159"/>
        <v>950500</v>
      </c>
      <c r="K114" s="37">
        <f t="shared" si="159"/>
        <v>1577885</v>
      </c>
      <c r="L114" s="37">
        <f t="shared" si="159"/>
        <v>21690359</v>
      </c>
      <c r="M114" s="37">
        <f t="shared" si="159"/>
        <v>290000</v>
      </c>
      <c r="N114" s="37">
        <f t="shared" si="159"/>
        <v>12120000</v>
      </c>
      <c r="O114" s="37">
        <f t="shared" si="159"/>
        <v>14070000</v>
      </c>
      <c r="P114" s="37">
        <f t="shared" si="159"/>
        <v>5605000</v>
      </c>
      <c r="Q114" s="37">
        <f t="shared" si="159"/>
        <v>4040000</v>
      </c>
      <c r="R114" s="37">
        <f t="shared" si="159"/>
        <v>8600000</v>
      </c>
      <c r="S114" s="37">
        <f t="shared" si="159"/>
        <v>44725000</v>
      </c>
      <c r="T114" s="37">
        <f t="shared" si="159"/>
        <v>0</v>
      </c>
      <c r="U114" s="37">
        <f t="shared" si="159"/>
        <v>3302000</v>
      </c>
      <c r="V114" s="37">
        <f t="shared" si="159"/>
        <v>2864000</v>
      </c>
      <c r="W114" s="37">
        <f t="shared" si="159"/>
        <v>3261000</v>
      </c>
      <c r="X114" s="37">
        <f t="shared" si="159"/>
        <v>975000</v>
      </c>
      <c r="Y114" s="37">
        <f t="shared" si="159"/>
        <v>1335000</v>
      </c>
      <c r="Z114" s="37">
        <f t="shared" si="159"/>
        <v>11737000</v>
      </c>
      <c r="AA114" s="37">
        <f t="shared" si="159"/>
        <v>585000</v>
      </c>
      <c r="AB114" s="37">
        <f t="shared" si="159"/>
        <v>14900906</v>
      </c>
      <c r="AC114" s="37">
        <f t="shared" si="159"/>
        <v>12709450</v>
      </c>
      <c r="AD114" s="37">
        <f t="shared" si="159"/>
        <v>6797000</v>
      </c>
      <c r="AE114" s="37">
        <f t="shared" si="159"/>
        <v>3969000</v>
      </c>
      <c r="AF114" s="37">
        <f t="shared" si="159"/>
        <v>5052550</v>
      </c>
      <c r="AG114" s="37">
        <f t="shared" si="159"/>
        <v>44013906</v>
      </c>
      <c r="AH114" s="37">
        <f t="shared" si="159"/>
        <v>7591000</v>
      </c>
      <c r="AI114" s="37">
        <f t="shared" si="159"/>
        <v>9078500</v>
      </c>
      <c r="AJ114" s="37">
        <f t="shared" si="159"/>
        <v>11490455</v>
      </c>
      <c r="AK114" s="37">
        <f t="shared" si="159"/>
        <v>28159955</v>
      </c>
      <c r="AL114" s="37">
        <f t="shared" si="159"/>
        <v>2700000</v>
      </c>
      <c r="AM114" s="37">
        <f t="shared" si="159"/>
        <v>4200000</v>
      </c>
      <c r="AN114" s="37">
        <f t="shared" si="159"/>
        <v>8077500</v>
      </c>
      <c r="AO114" s="37">
        <f t="shared" si="159"/>
        <v>14977500</v>
      </c>
      <c r="AP114" s="37">
        <f t="shared" si="159"/>
        <v>0</v>
      </c>
      <c r="AQ114" s="37">
        <f t="shared" si="159"/>
        <v>848400</v>
      </c>
      <c r="AR114" s="37">
        <f t="shared" si="159"/>
        <v>2010800</v>
      </c>
      <c r="AS114" s="37">
        <f t="shared" si="159"/>
        <v>208000</v>
      </c>
      <c r="AT114" s="37">
        <f t="shared" si="159"/>
        <v>0</v>
      </c>
      <c r="AU114" s="37">
        <f t="shared" si="159"/>
        <v>0</v>
      </c>
      <c r="AV114" s="37">
        <f t="shared" si="159"/>
        <v>3067200</v>
      </c>
      <c r="AW114" s="37">
        <f t="shared" si="159"/>
        <v>1650000</v>
      </c>
      <c r="AX114" s="37">
        <f t="shared" si="159"/>
        <v>38320466</v>
      </c>
      <c r="AY114" s="37">
        <f t="shared" si="159"/>
        <v>40105064</v>
      </c>
      <c r="AZ114" s="37">
        <f t="shared" si="159"/>
        <v>28949000</v>
      </c>
      <c r="BA114" s="37">
        <f t="shared" si="159"/>
        <v>23213000</v>
      </c>
      <c r="BB114" s="37">
        <f t="shared" si="159"/>
        <v>36133390</v>
      </c>
      <c r="BC114" s="37">
        <f t="shared" si="159"/>
        <v>168370920</v>
      </c>
    </row>
    <row r="115" spans="1:55" ht="31.5">
      <c r="A115" s="185" t="s">
        <v>226</v>
      </c>
      <c r="B115" s="8">
        <v>1</v>
      </c>
      <c r="C115" s="1" t="s">
        <v>227</v>
      </c>
      <c r="D115" s="5" t="s">
        <v>228</v>
      </c>
      <c r="E115" s="4" t="s">
        <v>226</v>
      </c>
      <c r="F115" s="4"/>
      <c r="G115" s="4"/>
      <c r="H115" s="5"/>
      <c r="I115" s="4"/>
      <c r="J115" s="4"/>
      <c r="K115" s="4"/>
      <c r="L115" s="9">
        <f t="shared" ref="L115:L118" si="160">SUM(F115:K115)</f>
        <v>0</v>
      </c>
      <c r="M115" s="4"/>
      <c r="N115" s="4"/>
      <c r="O115" s="4"/>
      <c r="P115" s="4"/>
      <c r="Q115" s="4"/>
      <c r="R115" s="4"/>
      <c r="S115" s="9">
        <f t="shared" ref="S115:S118" si="161">SUM(M115:R115)</f>
        <v>0</v>
      </c>
      <c r="T115" s="20">
        <v>290000</v>
      </c>
      <c r="U115" s="20"/>
      <c r="V115" s="4">
        <v>273000</v>
      </c>
      <c r="W115" s="22">
        <v>252000</v>
      </c>
      <c r="X115" s="22"/>
      <c r="Y115" s="22"/>
      <c r="Z115" s="9">
        <f t="shared" ref="Z115:Z118" si="162">SUM(T115:Y115)</f>
        <v>815000</v>
      </c>
      <c r="AA115" s="20"/>
      <c r="AB115" s="20"/>
      <c r="AC115" s="25"/>
      <c r="AD115" s="25"/>
      <c r="AE115" s="20"/>
      <c r="AF115" s="20"/>
      <c r="AG115" s="21">
        <f t="shared" ref="AG115:AG118" si="163">SUM(AA115:AF115)</f>
        <v>0</v>
      </c>
      <c r="AH115" s="25"/>
      <c r="AI115" s="20"/>
      <c r="AJ115" s="20"/>
      <c r="AK115" s="21">
        <f t="shared" ref="AK115:AK118" si="164">SUM(AH115:AJ115)</f>
        <v>0</v>
      </c>
      <c r="AL115" s="25"/>
      <c r="AM115" s="20"/>
      <c r="AN115" s="20"/>
      <c r="AO115" s="21">
        <f t="shared" ref="AO115:AO118" si="165">SUM(AL115:AN115)</f>
        <v>0</v>
      </c>
      <c r="AP115" s="25"/>
      <c r="AQ115" s="25"/>
      <c r="AR115" s="25"/>
      <c r="AS115" s="25"/>
      <c r="AT115" s="20"/>
      <c r="AU115" s="20"/>
      <c r="AV115" s="21">
        <f t="shared" ref="AV115:AV118" si="166">SUM(AP115:AU115)</f>
        <v>0</v>
      </c>
      <c r="AW115" s="4">
        <f t="shared" ref="AW115:AY118" si="167">F115+M115+T115+AA115+AP115</f>
        <v>290000</v>
      </c>
      <c r="AX115" s="4">
        <f t="shared" si="167"/>
        <v>0</v>
      </c>
      <c r="AY115" s="4">
        <f t="shared" si="167"/>
        <v>273000</v>
      </c>
      <c r="AZ115" s="4">
        <f t="shared" ref="AZ115:BA118" si="168">I115+P115+W115+AD115+AH115+AL115+AS115</f>
        <v>252000</v>
      </c>
      <c r="BA115" s="94">
        <f t="shared" si="168"/>
        <v>0</v>
      </c>
      <c r="BB115" s="94">
        <f t="shared" ref="BB115:BB118" si="169">K115+R115+Y115+AF115+AJ115+AN115+AU115</f>
        <v>0</v>
      </c>
      <c r="BC115" s="9">
        <f t="shared" ref="BC115:BC118" si="170">SUM(AW115:BB115)</f>
        <v>815000</v>
      </c>
    </row>
    <row r="116" spans="1:55" ht="47.25">
      <c r="A116" s="186"/>
      <c r="B116" s="8">
        <v>2</v>
      </c>
      <c r="C116" s="1" t="s">
        <v>229</v>
      </c>
      <c r="D116" s="4" t="s">
        <v>230</v>
      </c>
      <c r="E116" s="4" t="s">
        <v>226</v>
      </c>
      <c r="F116" s="4"/>
      <c r="G116" s="4"/>
      <c r="H116" s="5"/>
      <c r="I116" s="4"/>
      <c r="J116" s="4"/>
      <c r="K116" s="4"/>
      <c r="L116" s="9">
        <f t="shared" si="160"/>
        <v>0</v>
      </c>
      <c r="M116" s="76"/>
      <c r="N116" s="76">
        <v>310000</v>
      </c>
      <c r="O116" s="76">
        <v>480000</v>
      </c>
      <c r="P116" s="76">
        <v>330000</v>
      </c>
      <c r="Q116" s="4">
        <f>340000+60000+60000</f>
        <v>460000</v>
      </c>
      <c r="R116" s="4">
        <v>1450000</v>
      </c>
      <c r="S116" s="9">
        <f t="shared" si="161"/>
        <v>3030000</v>
      </c>
      <c r="T116" s="20"/>
      <c r="U116" s="20"/>
      <c r="V116" s="4"/>
      <c r="W116" s="20"/>
      <c r="X116" s="20"/>
      <c r="Y116" s="20"/>
      <c r="Z116" s="9">
        <f t="shared" si="162"/>
        <v>0</v>
      </c>
      <c r="AA116" s="20"/>
      <c r="AB116" s="20"/>
      <c r="AC116" s="25"/>
      <c r="AD116" s="25"/>
      <c r="AE116" s="20"/>
      <c r="AF116" s="20"/>
      <c r="AG116" s="21">
        <f t="shared" si="163"/>
        <v>0</v>
      </c>
      <c r="AH116" s="25"/>
      <c r="AI116" s="20"/>
      <c r="AJ116" s="20"/>
      <c r="AK116" s="21">
        <f t="shared" si="164"/>
        <v>0</v>
      </c>
      <c r="AL116" s="25"/>
      <c r="AM116" s="20"/>
      <c r="AN116" s="20"/>
      <c r="AO116" s="21">
        <f t="shared" si="165"/>
        <v>0</v>
      </c>
      <c r="AP116" s="25"/>
      <c r="AQ116" s="25"/>
      <c r="AR116" s="25"/>
      <c r="AS116" s="25"/>
      <c r="AT116" s="20"/>
      <c r="AU116" s="20"/>
      <c r="AV116" s="21">
        <f t="shared" si="166"/>
        <v>0</v>
      </c>
      <c r="AW116" s="4">
        <f t="shared" si="167"/>
        <v>0</v>
      </c>
      <c r="AX116" s="4">
        <f t="shared" si="167"/>
        <v>310000</v>
      </c>
      <c r="AY116" s="4">
        <f t="shared" si="167"/>
        <v>480000</v>
      </c>
      <c r="AZ116" s="4">
        <f t="shared" si="168"/>
        <v>330000</v>
      </c>
      <c r="BA116" s="94">
        <f t="shared" si="168"/>
        <v>460000</v>
      </c>
      <c r="BB116" s="94">
        <f t="shared" si="169"/>
        <v>1450000</v>
      </c>
      <c r="BC116" s="9">
        <f t="shared" si="170"/>
        <v>3030000</v>
      </c>
    </row>
    <row r="117" spans="1:55" ht="31.5">
      <c r="A117" s="186"/>
      <c r="B117" s="8">
        <v>3</v>
      </c>
      <c r="C117" s="1" t="s">
        <v>231</v>
      </c>
      <c r="D117" s="5" t="s">
        <v>414</v>
      </c>
      <c r="E117" s="4" t="s">
        <v>226</v>
      </c>
      <c r="F117" s="4"/>
      <c r="G117" s="4"/>
      <c r="H117" s="5"/>
      <c r="I117" s="4"/>
      <c r="J117" s="4"/>
      <c r="K117" s="4"/>
      <c r="L117" s="9">
        <f t="shared" si="160"/>
        <v>0</v>
      </c>
      <c r="M117" s="4"/>
      <c r="N117" s="4"/>
      <c r="O117" s="4"/>
      <c r="P117" s="4"/>
      <c r="Q117" s="4"/>
      <c r="R117" s="4"/>
      <c r="S117" s="9">
        <f t="shared" si="161"/>
        <v>0</v>
      </c>
      <c r="T117" s="20"/>
      <c r="U117" s="20"/>
      <c r="V117" s="4"/>
      <c r="W117" s="20"/>
      <c r="X117" s="20"/>
      <c r="Y117" s="20"/>
      <c r="Z117" s="9">
        <f t="shared" si="162"/>
        <v>0</v>
      </c>
      <c r="AA117" s="20"/>
      <c r="AB117" s="25">
        <v>330800</v>
      </c>
      <c r="AC117" s="25">
        <f>106700+198000</f>
        <v>304700</v>
      </c>
      <c r="AD117" s="25">
        <v>446500</v>
      </c>
      <c r="AE117" s="20">
        <f>91000+234500+262500</f>
        <v>588000</v>
      </c>
      <c r="AF117" s="20">
        <v>341250</v>
      </c>
      <c r="AG117" s="21">
        <f t="shared" si="163"/>
        <v>2011250</v>
      </c>
      <c r="AH117" s="25"/>
      <c r="AI117" s="20"/>
      <c r="AJ117" s="20"/>
      <c r="AK117" s="21">
        <f t="shared" si="164"/>
        <v>0</v>
      </c>
      <c r="AL117" s="25"/>
      <c r="AM117" s="20"/>
      <c r="AN117" s="20"/>
      <c r="AO117" s="21">
        <f t="shared" si="165"/>
        <v>0</v>
      </c>
      <c r="AP117" s="25"/>
      <c r="AQ117" s="25"/>
      <c r="AR117" s="25"/>
      <c r="AS117" s="25"/>
      <c r="AT117" s="20"/>
      <c r="AU117" s="20"/>
      <c r="AV117" s="21">
        <f t="shared" si="166"/>
        <v>0</v>
      </c>
      <c r="AW117" s="4">
        <f t="shared" si="167"/>
        <v>0</v>
      </c>
      <c r="AX117" s="4">
        <f t="shared" si="167"/>
        <v>330800</v>
      </c>
      <c r="AY117" s="4">
        <f t="shared" si="167"/>
        <v>304700</v>
      </c>
      <c r="AZ117" s="4">
        <f t="shared" si="168"/>
        <v>446500</v>
      </c>
      <c r="BA117" s="94">
        <f t="shared" si="168"/>
        <v>588000</v>
      </c>
      <c r="BB117" s="94">
        <f t="shared" si="169"/>
        <v>341250</v>
      </c>
      <c r="BC117" s="9">
        <f t="shared" si="170"/>
        <v>2011250</v>
      </c>
    </row>
    <row r="118" spans="1:55" ht="31.5">
      <c r="A118" s="187"/>
      <c r="B118" s="8">
        <v>4</v>
      </c>
      <c r="C118" s="1" t="s">
        <v>232</v>
      </c>
      <c r="D118" s="4" t="s">
        <v>233</v>
      </c>
      <c r="E118" s="4" t="s">
        <v>226</v>
      </c>
      <c r="F118" s="4">
        <v>155000</v>
      </c>
      <c r="G118" s="4"/>
      <c r="H118" s="5"/>
      <c r="I118" s="4"/>
      <c r="J118" s="4"/>
      <c r="K118" s="4"/>
      <c r="L118" s="9">
        <f t="shared" si="160"/>
        <v>155000</v>
      </c>
      <c r="M118" s="4"/>
      <c r="N118" s="4"/>
      <c r="O118" s="4"/>
      <c r="P118" s="4"/>
      <c r="Q118" s="4"/>
      <c r="R118" s="4"/>
      <c r="S118" s="9">
        <f t="shared" si="161"/>
        <v>0</v>
      </c>
      <c r="T118" s="20"/>
      <c r="U118" s="20"/>
      <c r="V118" s="20"/>
      <c r="W118" s="20"/>
      <c r="X118" s="20"/>
      <c r="Y118" s="20"/>
      <c r="Z118" s="9">
        <f t="shared" si="162"/>
        <v>0</v>
      </c>
      <c r="AA118" s="20">
        <v>195000</v>
      </c>
      <c r="AB118" s="20"/>
      <c r="AC118" s="20"/>
      <c r="AD118" s="20"/>
      <c r="AE118" s="20"/>
      <c r="AF118" s="20"/>
      <c r="AG118" s="21">
        <f t="shared" si="163"/>
        <v>195000</v>
      </c>
      <c r="AH118" s="25"/>
      <c r="AI118" s="20"/>
      <c r="AJ118" s="20"/>
      <c r="AK118" s="21">
        <f t="shared" si="164"/>
        <v>0</v>
      </c>
      <c r="AL118" s="25"/>
      <c r="AM118" s="20"/>
      <c r="AN118" s="20"/>
      <c r="AO118" s="21">
        <f t="shared" si="165"/>
        <v>0</v>
      </c>
      <c r="AP118" s="25"/>
      <c r="AQ118" s="25"/>
      <c r="AR118" s="25"/>
      <c r="AS118" s="25"/>
      <c r="AT118" s="20"/>
      <c r="AU118" s="20"/>
      <c r="AV118" s="21">
        <f t="shared" si="166"/>
        <v>0</v>
      </c>
      <c r="AW118" s="4">
        <f t="shared" si="167"/>
        <v>350000</v>
      </c>
      <c r="AX118" s="4">
        <f t="shared" si="167"/>
        <v>0</v>
      </c>
      <c r="AY118" s="4">
        <f t="shared" si="167"/>
        <v>0</v>
      </c>
      <c r="AZ118" s="4">
        <f t="shared" si="168"/>
        <v>0</v>
      </c>
      <c r="BA118" s="94">
        <f t="shared" si="168"/>
        <v>0</v>
      </c>
      <c r="BB118" s="94">
        <f t="shared" si="169"/>
        <v>0</v>
      </c>
      <c r="BC118" s="9">
        <f t="shared" si="170"/>
        <v>350000</v>
      </c>
    </row>
    <row r="119" spans="1:55" s="38" customFormat="1">
      <c r="A119" s="34"/>
      <c r="B119" s="34"/>
      <c r="C119" s="35" t="s">
        <v>234</v>
      </c>
      <c r="D119" s="37"/>
      <c r="E119" s="37"/>
      <c r="F119" s="37">
        <f>SUM(F115:F118)</f>
        <v>155000</v>
      </c>
      <c r="G119" s="37">
        <f t="shared" ref="G119:BC119" si="171">SUM(G115:G118)</f>
        <v>0</v>
      </c>
      <c r="H119" s="37">
        <f t="shared" si="171"/>
        <v>0</v>
      </c>
      <c r="I119" s="37">
        <f t="shared" si="171"/>
        <v>0</v>
      </c>
      <c r="J119" s="37">
        <f t="shared" si="171"/>
        <v>0</v>
      </c>
      <c r="K119" s="37">
        <f t="shared" si="171"/>
        <v>0</v>
      </c>
      <c r="L119" s="37">
        <f t="shared" si="171"/>
        <v>155000</v>
      </c>
      <c r="M119" s="37">
        <f t="shared" si="171"/>
        <v>0</v>
      </c>
      <c r="N119" s="37">
        <f t="shared" si="171"/>
        <v>310000</v>
      </c>
      <c r="O119" s="37">
        <f t="shared" si="171"/>
        <v>480000</v>
      </c>
      <c r="P119" s="37">
        <f t="shared" si="171"/>
        <v>330000</v>
      </c>
      <c r="Q119" s="37">
        <f t="shared" si="171"/>
        <v>460000</v>
      </c>
      <c r="R119" s="37">
        <f t="shared" si="171"/>
        <v>1450000</v>
      </c>
      <c r="S119" s="37">
        <f t="shared" si="171"/>
        <v>3030000</v>
      </c>
      <c r="T119" s="37">
        <f t="shared" si="171"/>
        <v>290000</v>
      </c>
      <c r="U119" s="37">
        <f t="shared" si="171"/>
        <v>0</v>
      </c>
      <c r="V119" s="37">
        <f t="shared" si="171"/>
        <v>273000</v>
      </c>
      <c r="W119" s="37">
        <f t="shared" si="171"/>
        <v>252000</v>
      </c>
      <c r="X119" s="37">
        <f t="shared" si="171"/>
        <v>0</v>
      </c>
      <c r="Y119" s="37">
        <f t="shared" si="171"/>
        <v>0</v>
      </c>
      <c r="Z119" s="37">
        <f t="shared" si="171"/>
        <v>815000</v>
      </c>
      <c r="AA119" s="37">
        <f t="shared" si="171"/>
        <v>195000</v>
      </c>
      <c r="AB119" s="37">
        <f t="shared" si="171"/>
        <v>330800</v>
      </c>
      <c r="AC119" s="37">
        <f t="shared" si="171"/>
        <v>304700</v>
      </c>
      <c r="AD119" s="37">
        <f t="shared" si="171"/>
        <v>446500</v>
      </c>
      <c r="AE119" s="37">
        <f t="shared" si="171"/>
        <v>588000</v>
      </c>
      <c r="AF119" s="37">
        <f t="shared" si="171"/>
        <v>341250</v>
      </c>
      <c r="AG119" s="37">
        <f t="shared" si="171"/>
        <v>2206250</v>
      </c>
      <c r="AH119" s="37">
        <f t="shared" si="171"/>
        <v>0</v>
      </c>
      <c r="AI119" s="37">
        <f t="shared" si="171"/>
        <v>0</v>
      </c>
      <c r="AJ119" s="37">
        <f t="shared" si="171"/>
        <v>0</v>
      </c>
      <c r="AK119" s="37">
        <f t="shared" si="171"/>
        <v>0</v>
      </c>
      <c r="AL119" s="37">
        <f t="shared" si="171"/>
        <v>0</v>
      </c>
      <c r="AM119" s="37">
        <f t="shared" si="171"/>
        <v>0</v>
      </c>
      <c r="AN119" s="37">
        <f t="shared" si="171"/>
        <v>0</v>
      </c>
      <c r="AO119" s="37">
        <f t="shared" si="171"/>
        <v>0</v>
      </c>
      <c r="AP119" s="37">
        <f t="shared" si="171"/>
        <v>0</v>
      </c>
      <c r="AQ119" s="37">
        <f t="shared" si="171"/>
        <v>0</v>
      </c>
      <c r="AR119" s="37">
        <f t="shared" si="171"/>
        <v>0</v>
      </c>
      <c r="AS119" s="37">
        <f t="shared" si="171"/>
        <v>0</v>
      </c>
      <c r="AT119" s="37">
        <f t="shared" si="171"/>
        <v>0</v>
      </c>
      <c r="AU119" s="37">
        <f t="shared" si="171"/>
        <v>0</v>
      </c>
      <c r="AV119" s="37">
        <f t="shared" si="171"/>
        <v>0</v>
      </c>
      <c r="AW119" s="37">
        <f t="shared" si="171"/>
        <v>640000</v>
      </c>
      <c r="AX119" s="37">
        <f t="shared" si="171"/>
        <v>640800</v>
      </c>
      <c r="AY119" s="37">
        <f t="shared" si="171"/>
        <v>1057700</v>
      </c>
      <c r="AZ119" s="37">
        <f t="shared" si="171"/>
        <v>1028500</v>
      </c>
      <c r="BA119" s="37">
        <f t="shared" si="171"/>
        <v>1048000</v>
      </c>
      <c r="BB119" s="37">
        <f t="shared" si="171"/>
        <v>1791250</v>
      </c>
      <c r="BC119" s="37">
        <f t="shared" si="171"/>
        <v>6206250</v>
      </c>
    </row>
    <row r="120" spans="1:55">
      <c r="A120" s="185" t="s">
        <v>235</v>
      </c>
      <c r="B120" s="8">
        <v>1</v>
      </c>
      <c r="C120" s="1" t="s">
        <v>236</v>
      </c>
      <c r="D120" s="4" t="s">
        <v>237</v>
      </c>
      <c r="E120" s="4" t="s">
        <v>235</v>
      </c>
      <c r="F120" s="4"/>
      <c r="G120" s="4">
        <v>155000</v>
      </c>
      <c r="H120" s="4"/>
      <c r="I120" s="4"/>
      <c r="J120" s="4"/>
      <c r="K120" s="4"/>
      <c r="L120" s="9">
        <f t="shared" ref="L120:L122" si="172">SUM(F120:K120)</f>
        <v>155000</v>
      </c>
      <c r="M120" s="76"/>
      <c r="N120" s="76">
        <v>290000</v>
      </c>
      <c r="O120" s="76"/>
      <c r="P120" s="76"/>
      <c r="Q120" s="4"/>
      <c r="R120" s="4"/>
      <c r="S120" s="9">
        <f t="shared" ref="S120:S122" si="173">SUM(M120:R120)</f>
        <v>290000</v>
      </c>
      <c r="T120" s="20"/>
      <c r="U120" s="20">
        <v>290000</v>
      </c>
      <c r="V120" s="4">
        <v>175000</v>
      </c>
      <c r="W120" s="20"/>
      <c r="X120" s="20"/>
      <c r="Y120" s="20"/>
      <c r="Z120" s="9">
        <f t="shared" ref="Z120:Z122" si="174">SUM(T120:Y120)</f>
        <v>465000</v>
      </c>
      <c r="AA120" s="20"/>
      <c r="AB120" s="20"/>
      <c r="AC120" s="20"/>
      <c r="AD120" s="20"/>
      <c r="AE120" s="20"/>
      <c r="AF120" s="20"/>
      <c r="AG120" s="21">
        <f t="shared" ref="AG120:AG122" si="175">SUM(AA120:AF120)</f>
        <v>0</v>
      </c>
      <c r="AH120" s="25"/>
      <c r="AI120" s="20"/>
      <c r="AJ120" s="20"/>
      <c r="AK120" s="21">
        <f t="shared" ref="AK120:AK122" si="176">SUM(AH120:AJ120)</f>
        <v>0</v>
      </c>
      <c r="AL120" s="25"/>
      <c r="AM120" s="20"/>
      <c r="AN120" s="20"/>
      <c r="AO120" s="21">
        <f t="shared" ref="AO120:AO122" si="177">SUM(AL120:AN120)</f>
        <v>0</v>
      </c>
      <c r="AP120" s="25"/>
      <c r="AQ120" s="25"/>
      <c r="AR120" s="25"/>
      <c r="AS120" s="25"/>
      <c r="AT120" s="20"/>
      <c r="AU120" s="20"/>
      <c r="AV120" s="21">
        <f t="shared" ref="AV120:AV122" si="178">SUM(AP120:AU120)</f>
        <v>0</v>
      </c>
      <c r="AW120" s="4">
        <f t="shared" ref="AW120:AY122" si="179">F120+M120+T120+AA120+AP120</f>
        <v>0</v>
      </c>
      <c r="AX120" s="4">
        <f t="shared" si="179"/>
        <v>735000</v>
      </c>
      <c r="AY120" s="4">
        <f t="shared" si="179"/>
        <v>175000</v>
      </c>
      <c r="AZ120" s="4">
        <f t="shared" ref="AZ120:BA122" si="180">I120+P120+W120+AD120+AH120+AL120+AS120</f>
        <v>0</v>
      </c>
      <c r="BA120" s="94">
        <f t="shared" si="180"/>
        <v>0</v>
      </c>
      <c r="BB120" s="94">
        <f t="shared" ref="BB120:BB122" si="181">K120+R120+Y120+AF120+AJ120+AN120+AU120</f>
        <v>0</v>
      </c>
      <c r="BC120" s="9">
        <f t="shared" ref="BC120:BC122" si="182">SUM(AW120:BB120)</f>
        <v>910000</v>
      </c>
    </row>
    <row r="121" spans="1:55" ht="31.5">
      <c r="A121" s="186"/>
      <c r="B121" s="8">
        <v>2</v>
      </c>
      <c r="C121" s="1" t="s">
        <v>238</v>
      </c>
      <c r="D121" s="4" t="s">
        <v>239</v>
      </c>
      <c r="E121" s="4" t="s">
        <v>235</v>
      </c>
      <c r="F121" s="4"/>
      <c r="G121" s="4"/>
      <c r="H121" s="4">
        <f>155000+31667+20000</f>
        <v>206667</v>
      </c>
      <c r="I121" s="4">
        <v>777500</v>
      </c>
      <c r="J121" s="4">
        <v>52500</v>
      </c>
      <c r="K121" s="4">
        <f>135000+135000+67500</f>
        <v>337500</v>
      </c>
      <c r="L121" s="9">
        <f t="shared" ref="L121" si="183">SUM(F121:K121)</f>
        <v>1374167</v>
      </c>
      <c r="M121" s="4"/>
      <c r="N121" s="4"/>
      <c r="O121" s="4"/>
      <c r="P121" s="4"/>
      <c r="Q121" s="4"/>
      <c r="R121" s="4"/>
      <c r="S121" s="9">
        <f t="shared" ref="S121" si="184">SUM(M121:R121)</f>
        <v>0</v>
      </c>
      <c r="T121" s="20"/>
      <c r="U121" s="20"/>
      <c r="V121" s="20"/>
      <c r="W121" s="20"/>
      <c r="X121" s="20"/>
      <c r="Y121" s="20"/>
      <c r="Z121" s="9">
        <f t="shared" ref="Z121" si="185">SUM(T121:Y121)</f>
        <v>0</v>
      </c>
      <c r="AA121" s="20"/>
      <c r="AB121" s="20"/>
      <c r="AC121" s="20"/>
      <c r="AD121" s="20"/>
      <c r="AE121" s="20"/>
      <c r="AF121" s="20"/>
      <c r="AG121" s="21">
        <f t="shared" ref="AG121" si="186">SUM(AA121:AF121)</f>
        <v>0</v>
      </c>
      <c r="AH121" s="25"/>
      <c r="AI121" s="20"/>
      <c r="AJ121" s="20"/>
      <c r="AK121" s="21">
        <f t="shared" ref="AK121" si="187">SUM(AH121:AJ121)</f>
        <v>0</v>
      </c>
      <c r="AL121" s="25"/>
      <c r="AM121" s="20"/>
      <c r="AN121" s="20"/>
      <c r="AO121" s="21">
        <f t="shared" ref="AO121" si="188">SUM(AL121:AN121)</f>
        <v>0</v>
      </c>
      <c r="AP121" s="25"/>
      <c r="AQ121" s="25"/>
      <c r="AR121" s="25"/>
      <c r="AS121" s="25"/>
      <c r="AT121" s="20"/>
      <c r="AU121" s="20"/>
      <c r="AV121" s="21">
        <f t="shared" ref="AV121" si="189">SUM(AP121:AU121)</f>
        <v>0</v>
      </c>
      <c r="AW121" s="4">
        <f t="shared" ref="AW121" si="190">F121+M121+T121+AA121+AP121</f>
        <v>0</v>
      </c>
      <c r="AX121" s="4">
        <f t="shared" ref="AX121" si="191">G121+N121+U121+AB121+AQ121</f>
        <v>0</v>
      </c>
      <c r="AY121" s="4">
        <f t="shared" ref="AY121" si="192">H121+O121+V121+AC121+AR121</f>
        <v>206667</v>
      </c>
      <c r="AZ121" s="4">
        <f t="shared" si="180"/>
        <v>777500</v>
      </c>
      <c r="BA121" s="94">
        <f t="shared" si="180"/>
        <v>52500</v>
      </c>
      <c r="BB121" s="94">
        <f t="shared" ref="BB121" si="193">K121+R121+Y121+AF121+AJ121+AN121+AU121</f>
        <v>337500</v>
      </c>
      <c r="BC121" s="9">
        <f t="shared" ref="BC121" si="194">SUM(AW121:BB121)</f>
        <v>1374167</v>
      </c>
    </row>
    <row r="122" spans="1:55" ht="31.5">
      <c r="A122" s="187"/>
      <c r="B122" s="8">
        <v>2</v>
      </c>
      <c r="C122" s="40" t="s">
        <v>459</v>
      </c>
      <c r="D122" s="40" t="s">
        <v>460</v>
      </c>
      <c r="E122" s="118" t="s">
        <v>235</v>
      </c>
      <c r="F122" s="4"/>
      <c r="G122" s="4"/>
      <c r="H122" s="4"/>
      <c r="I122" s="4"/>
      <c r="J122" s="4"/>
      <c r="K122" s="4">
        <v>442000</v>
      </c>
      <c r="L122" s="9">
        <f t="shared" si="172"/>
        <v>442000</v>
      </c>
      <c r="M122" s="4"/>
      <c r="N122" s="4"/>
      <c r="O122" s="4"/>
      <c r="P122" s="4"/>
      <c r="Q122" s="4"/>
      <c r="R122" s="4"/>
      <c r="S122" s="9">
        <f t="shared" si="173"/>
        <v>0</v>
      </c>
      <c r="T122" s="20"/>
      <c r="U122" s="20"/>
      <c r="V122" s="20"/>
      <c r="W122" s="20"/>
      <c r="X122" s="20"/>
      <c r="Y122" s="20"/>
      <c r="Z122" s="9">
        <f t="shared" si="174"/>
        <v>0</v>
      </c>
      <c r="AA122" s="20"/>
      <c r="AB122" s="20"/>
      <c r="AC122" s="20"/>
      <c r="AD122" s="20"/>
      <c r="AE122" s="20"/>
      <c r="AF122" s="20"/>
      <c r="AG122" s="21">
        <f t="shared" si="175"/>
        <v>0</v>
      </c>
      <c r="AH122" s="25"/>
      <c r="AI122" s="20"/>
      <c r="AJ122" s="20"/>
      <c r="AK122" s="21">
        <f t="shared" si="176"/>
        <v>0</v>
      </c>
      <c r="AL122" s="25"/>
      <c r="AM122" s="20"/>
      <c r="AN122" s="20"/>
      <c r="AO122" s="21">
        <f t="shared" si="177"/>
        <v>0</v>
      </c>
      <c r="AP122" s="25"/>
      <c r="AQ122" s="25"/>
      <c r="AR122" s="25"/>
      <c r="AS122" s="25"/>
      <c r="AT122" s="20"/>
      <c r="AU122" s="20"/>
      <c r="AV122" s="21">
        <f t="shared" si="178"/>
        <v>0</v>
      </c>
      <c r="AW122" s="4">
        <f t="shared" si="179"/>
        <v>0</v>
      </c>
      <c r="AX122" s="4">
        <f t="shared" si="179"/>
        <v>0</v>
      </c>
      <c r="AY122" s="4">
        <f t="shared" si="179"/>
        <v>0</v>
      </c>
      <c r="AZ122" s="4">
        <f t="shared" si="180"/>
        <v>0</v>
      </c>
      <c r="BA122" s="94">
        <f t="shared" si="180"/>
        <v>0</v>
      </c>
      <c r="BB122" s="94">
        <f t="shared" si="181"/>
        <v>442000</v>
      </c>
      <c r="BC122" s="9">
        <f t="shared" si="182"/>
        <v>442000</v>
      </c>
    </row>
    <row r="123" spans="1:55" s="38" customFormat="1">
      <c r="A123" s="34"/>
      <c r="B123" s="34"/>
      <c r="C123" s="35" t="s">
        <v>240</v>
      </c>
      <c r="D123" s="37"/>
      <c r="E123" s="37"/>
      <c r="F123" s="37">
        <f>SUM(F120:F122)</f>
        <v>0</v>
      </c>
      <c r="G123" s="37">
        <f t="shared" ref="G123:BC123" si="195">SUM(G120:G122)</f>
        <v>155000</v>
      </c>
      <c r="H123" s="37">
        <f t="shared" si="195"/>
        <v>206667</v>
      </c>
      <c r="I123" s="37">
        <f t="shared" si="195"/>
        <v>777500</v>
      </c>
      <c r="J123" s="37">
        <f t="shared" si="195"/>
        <v>52500</v>
      </c>
      <c r="K123" s="37">
        <f t="shared" si="195"/>
        <v>779500</v>
      </c>
      <c r="L123" s="37">
        <f t="shared" si="195"/>
        <v>1971167</v>
      </c>
      <c r="M123" s="37">
        <f t="shared" si="195"/>
        <v>0</v>
      </c>
      <c r="N123" s="37">
        <f t="shared" si="195"/>
        <v>290000</v>
      </c>
      <c r="O123" s="37">
        <f t="shared" si="195"/>
        <v>0</v>
      </c>
      <c r="P123" s="37">
        <f t="shared" si="195"/>
        <v>0</v>
      </c>
      <c r="Q123" s="37">
        <f t="shared" si="195"/>
        <v>0</v>
      </c>
      <c r="R123" s="37">
        <f t="shared" si="195"/>
        <v>0</v>
      </c>
      <c r="S123" s="37">
        <f t="shared" si="195"/>
        <v>290000</v>
      </c>
      <c r="T123" s="37">
        <f t="shared" si="195"/>
        <v>0</v>
      </c>
      <c r="U123" s="37">
        <f t="shared" si="195"/>
        <v>290000</v>
      </c>
      <c r="V123" s="37">
        <f t="shared" si="195"/>
        <v>175000</v>
      </c>
      <c r="W123" s="37">
        <f t="shared" si="195"/>
        <v>0</v>
      </c>
      <c r="X123" s="37">
        <f t="shared" si="195"/>
        <v>0</v>
      </c>
      <c r="Y123" s="37">
        <f t="shared" si="195"/>
        <v>0</v>
      </c>
      <c r="Z123" s="37">
        <f t="shared" si="195"/>
        <v>465000</v>
      </c>
      <c r="AA123" s="37">
        <f t="shared" si="195"/>
        <v>0</v>
      </c>
      <c r="AB123" s="37">
        <f t="shared" si="195"/>
        <v>0</v>
      </c>
      <c r="AC123" s="37">
        <f t="shared" si="195"/>
        <v>0</v>
      </c>
      <c r="AD123" s="37">
        <f t="shared" si="195"/>
        <v>0</v>
      </c>
      <c r="AE123" s="37">
        <f t="shared" si="195"/>
        <v>0</v>
      </c>
      <c r="AF123" s="37">
        <f t="shared" si="195"/>
        <v>0</v>
      </c>
      <c r="AG123" s="37">
        <f t="shared" si="195"/>
        <v>0</v>
      </c>
      <c r="AH123" s="37">
        <f t="shared" si="195"/>
        <v>0</v>
      </c>
      <c r="AI123" s="37">
        <f t="shared" si="195"/>
        <v>0</v>
      </c>
      <c r="AJ123" s="37">
        <f t="shared" si="195"/>
        <v>0</v>
      </c>
      <c r="AK123" s="37">
        <f t="shared" si="195"/>
        <v>0</v>
      </c>
      <c r="AL123" s="37">
        <f t="shared" si="195"/>
        <v>0</v>
      </c>
      <c r="AM123" s="37">
        <f t="shared" si="195"/>
        <v>0</v>
      </c>
      <c r="AN123" s="37">
        <f t="shared" si="195"/>
        <v>0</v>
      </c>
      <c r="AO123" s="37">
        <f t="shared" si="195"/>
        <v>0</v>
      </c>
      <c r="AP123" s="37">
        <f t="shared" si="195"/>
        <v>0</v>
      </c>
      <c r="AQ123" s="37">
        <f t="shared" si="195"/>
        <v>0</v>
      </c>
      <c r="AR123" s="37">
        <f t="shared" si="195"/>
        <v>0</v>
      </c>
      <c r="AS123" s="37">
        <f t="shared" si="195"/>
        <v>0</v>
      </c>
      <c r="AT123" s="37">
        <f t="shared" si="195"/>
        <v>0</v>
      </c>
      <c r="AU123" s="37">
        <f t="shared" si="195"/>
        <v>0</v>
      </c>
      <c r="AV123" s="37">
        <f t="shared" si="195"/>
        <v>0</v>
      </c>
      <c r="AW123" s="37">
        <f t="shared" si="195"/>
        <v>0</v>
      </c>
      <c r="AX123" s="37">
        <f t="shared" si="195"/>
        <v>735000</v>
      </c>
      <c r="AY123" s="37">
        <f t="shared" si="195"/>
        <v>381667</v>
      </c>
      <c r="AZ123" s="37">
        <f t="shared" si="195"/>
        <v>777500</v>
      </c>
      <c r="BA123" s="37">
        <f t="shared" si="195"/>
        <v>52500</v>
      </c>
      <c r="BB123" s="37">
        <f t="shared" si="195"/>
        <v>779500</v>
      </c>
      <c r="BC123" s="37">
        <f t="shared" si="195"/>
        <v>2726167</v>
      </c>
    </row>
    <row r="124" spans="1:55">
      <c r="A124" s="108" t="s">
        <v>442</v>
      </c>
      <c r="B124" s="8">
        <v>1</v>
      </c>
      <c r="C124" s="100" t="s">
        <v>444</v>
      </c>
      <c r="D124" s="101" t="s">
        <v>445</v>
      </c>
      <c r="E124" s="101" t="s">
        <v>442</v>
      </c>
      <c r="F124" s="4"/>
      <c r="G124" s="4"/>
      <c r="H124" s="5"/>
      <c r="I124" s="4"/>
      <c r="J124" s="4">
        <f>155000+129000+56000</f>
        <v>340000</v>
      </c>
      <c r="K124" s="4">
        <f>720000+176000+88000</f>
        <v>984000</v>
      </c>
      <c r="L124" s="9">
        <f>SUM(F124:K124)</f>
        <v>1324000</v>
      </c>
      <c r="M124" s="4"/>
      <c r="N124" s="4"/>
      <c r="O124" s="4"/>
      <c r="P124" s="4"/>
      <c r="Q124" s="4"/>
      <c r="R124" s="4"/>
      <c r="S124" s="9">
        <f>SUM(M124:R124)</f>
        <v>0</v>
      </c>
      <c r="T124" s="20"/>
      <c r="U124" s="20"/>
      <c r="V124" s="20"/>
      <c r="W124" s="20"/>
      <c r="X124" s="20"/>
      <c r="Y124" s="20"/>
      <c r="Z124" s="9">
        <f>SUM(T124:Y124)</f>
        <v>0</v>
      </c>
      <c r="AA124" s="20"/>
      <c r="AB124" s="20"/>
      <c r="AC124" s="20"/>
      <c r="AD124" s="20"/>
      <c r="AE124" s="20"/>
      <c r="AF124" s="20"/>
      <c r="AG124" s="21">
        <f>SUM(AA124:AF124)</f>
        <v>0</v>
      </c>
      <c r="AH124" s="25"/>
      <c r="AI124" s="20"/>
      <c r="AJ124" s="20"/>
      <c r="AK124" s="21">
        <f>SUM(AH124:AJ124)</f>
        <v>0</v>
      </c>
      <c r="AL124" s="25"/>
      <c r="AM124" s="21"/>
      <c r="AN124" s="21"/>
      <c r="AO124" s="21">
        <f>SUM(AL124:AN124)</f>
        <v>0</v>
      </c>
      <c r="AP124" s="25"/>
      <c r="AQ124" s="25"/>
      <c r="AR124" s="25"/>
      <c r="AS124" s="25"/>
      <c r="AT124" s="20"/>
      <c r="AU124" s="20"/>
      <c r="AV124" s="21">
        <f>SUM(AP124:AU124)</f>
        <v>0</v>
      </c>
      <c r="AW124" s="4">
        <f>F124+M124+T124+AA124+AP124</f>
        <v>0</v>
      </c>
      <c r="AX124" s="4">
        <f>G124+N124+U124+AB124+AQ124</f>
        <v>0</v>
      </c>
      <c r="AY124" s="4">
        <f>H124+O124+V124+AC124+AR124</f>
        <v>0</v>
      </c>
      <c r="AZ124" s="4">
        <f>I124+P124+W124+AD124+AH124+AL124+AS124</f>
        <v>0</v>
      </c>
      <c r="BA124" s="94">
        <f>J124+Q124+X124+AE124+AI124+AM124+AT124</f>
        <v>340000</v>
      </c>
      <c r="BB124" s="94">
        <f>K124+R124+Y124+AF124+AJ124+AN124+AU124</f>
        <v>984000</v>
      </c>
      <c r="BC124" s="9">
        <f>SUM(AW124:BB124)</f>
        <v>1324000</v>
      </c>
    </row>
    <row r="125" spans="1:55" s="38" customFormat="1">
      <c r="A125" s="34"/>
      <c r="B125" s="34"/>
      <c r="C125" s="35" t="s">
        <v>443</v>
      </c>
      <c r="D125" s="37"/>
      <c r="E125" s="37"/>
      <c r="F125" s="37">
        <f>F124</f>
        <v>0</v>
      </c>
      <c r="G125" s="37">
        <f t="shared" ref="G125:H125" si="196">G124</f>
        <v>0</v>
      </c>
      <c r="H125" s="37">
        <f t="shared" si="196"/>
        <v>0</v>
      </c>
      <c r="I125" s="37">
        <f t="shared" ref="I125:I127" si="197">SUM(I124)</f>
        <v>0</v>
      </c>
      <c r="J125" s="37">
        <f t="shared" ref="J125:O125" si="198">J124</f>
        <v>340000</v>
      </c>
      <c r="K125" s="37">
        <f t="shared" si="198"/>
        <v>984000</v>
      </c>
      <c r="L125" s="37">
        <f t="shared" si="198"/>
        <v>1324000</v>
      </c>
      <c r="M125" s="37">
        <f t="shared" si="198"/>
        <v>0</v>
      </c>
      <c r="N125" s="37">
        <f t="shared" si="198"/>
        <v>0</v>
      </c>
      <c r="O125" s="37">
        <f t="shared" si="198"/>
        <v>0</v>
      </c>
      <c r="P125" s="37">
        <f t="shared" ref="P125:P127" si="199">SUM(P124)</f>
        <v>0</v>
      </c>
      <c r="Q125" s="37">
        <f t="shared" ref="Q125:V125" si="200">Q124</f>
        <v>0</v>
      </c>
      <c r="R125" s="37">
        <f t="shared" si="200"/>
        <v>0</v>
      </c>
      <c r="S125" s="37">
        <f t="shared" si="200"/>
        <v>0</v>
      </c>
      <c r="T125" s="37">
        <f t="shared" si="200"/>
        <v>0</v>
      </c>
      <c r="U125" s="37">
        <f t="shared" si="200"/>
        <v>0</v>
      </c>
      <c r="V125" s="37">
        <f t="shared" si="200"/>
        <v>0</v>
      </c>
      <c r="W125" s="37">
        <f t="shared" ref="W125:Y127" si="201">SUM(W124)</f>
        <v>0</v>
      </c>
      <c r="X125" s="37">
        <f t="shared" si="201"/>
        <v>0</v>
      </c>
      <c r="Y125" s="37">
        <f t="shared" si="201"/>
        <v>0</v>
      </c>
      <c r="Z125" s="37">
        <f t="shared" ref="Z125:AC125" si="202">Z124</f>
        <v>0</v>
      </c>
      <c r="AA125" s="37">
        <f t="shared" si="202"/>
        <v>0</v>
      </c>
      <c r="AB125" s="37">
        <f t="shared" si="202"/>
        <v>0</v>
      </c>
      <c r="AC125" s="37">
        <f t="shared" si="202"/>
        <v>0</v>
      </c>
      <c r="AD125" s="37">
        <f t="shared" ref="AD125:AD127" si="203">SUM(AD124)</f>
        <v>0</v>
      </c>
      <c r="AE125" s="37">
        <f t="shared" ref="AE125:AG125" si="204">AE124</f>
        <v>0</v>
      </c>
      <c r="AF125" s="37">
        <f t="shared" si="204"/>
        <v>0</v>
      </c>
      <c r="AG125" s="37">
        <f t="shared" si="204"/>
        <v>0</v>
      </c>
      <c r="AH125" s="37">
        <f t="shared" ref="AH125:AH127" si="205">SUM(AH124)</f>
        <v>0</v>
      </c>
      <c r="AI125" s="37">
        <f t="shared" ref="AI125:AK125" si="206">AI124</f>
        <v>0</v>
      </c>
      <c r="AJ125" s="37">
        <f t="shared" si="206"/>
        <v>0</v>
      </c>
      <c r="AK125" s="37">
        <f t="shared" si="206"/>
        <v>0</v>
      </c>
      <c r="AL125" s="37">
        <f t="shared" ref="AL125:AL127" si="207">SUM(AL124)</f>
        <v>0</v>
      </c>
      <c r="AM125" s="37">
        <f t="shared" ref="AM125:AR125" si="208">AM124</f>
        <v>0</v>
      </c>
      <c r="AN125" s="37">
        <f t="shared" si="208"/>
        <v>0</v>
      </c>
      <c r="AO125" s="37">
        <f t="shared" si="208"/>
        <v>0</v>
      </c>
      <c r="AP125" s="37">
        <f t="shared" si="208"/>
        <v>0</v>
      </c>
      <c r="AQ125" s="37">
        <f t="shared" si="208"/>
        <v>0</v>
      </c>
      <c r="AR125" s="37">
        <f t="shared" si="208"/>
        <v>0</v>
      </c>
      <c r="AS125" s="37">
        <f t="shared" ref="AS125:AS127" si="209">SUM(AS124)</f>
        <v>0</v>
      </c>
      <c r="AT125" s="37">
        <f t="shared" ref="AT125:BC125" si="210">AT124</f>
        <v>0</v>
      </c>
      <c r="AU125" s="37">
        <f t="shared" si="210"/>
        <v>0</v>
      </c>
      <c r="AV125" s="37">
        <f t="shared" si="210"/>
        <v>0</v>
      </c>
      <c r="AW125" s="37">
        <f t="shared" si="210"/>
        <v>0</v>
      </c>
      <c r="AX125" s="37">
        <f t="shared" si="210"/>
        <v>0</v>
      </c>
      <c r="AY125" s="37">
        <f t="shared" si="210"/>
        <v>0</v>
      </c>
      <c r="AZ125" s="37">
        <f t="shared" si="210"/>
        <v>0</v>
      </c>
      <c r="BA125" s="37">
        <f t="shared" si="210"/>
        <v>340000</v>
      </c>
      <c r="BB125" s="37">
        <f t="shared" si="210"/>
        <v>984000</v>
      </c>
      <c r="BC125" s="37">
        <f t="shared" si="210"/>
        <v>1324000</v>
      </c>
    </row>
    <row r="126" spans="1:55">
      <c r="A126" s="108" t="s">
        <v>44</v>
      </c>
      <c r="B126" s="8">
        <v>1</v>
      </c>
      <c r="C126" s="1" t="s">
        <v>10</v>
      </c>
      <c r="D126" s="4" t="s">
        <v>43</v>
      </c>
      <c r="E126" s="4" t="s">
        <v>44</v>
      </c>
      <c r="F126" s="4"/>
      <c r="G126" s="4">
        <v>155000</v>
      </c>
      <c r="H126" s="5"/>
      <c r="I126" s="4">
        <f>72000+18000</f>
        <v>90000</v>
      </c>
      <c r="J126" s="4"/>
      <c r="K126" s="4"/>
      <c r="L126" s="9">
        <f>SUM(F126:K126)</f>
        <v>245000</v>
      </c>
      <c r="M126" s="4"/>
      <c r="N126" s="4"/>
      <c r="O126" s="4"/>
      <c r="P126" s="4"/>
      <c r="Q126" s="4"/>
      <c r="R126" s="4"/>
      <c r="S126" s="9">
        <f>SUM(M126:R126)</f>
        <v>0</v>
      </c>
      <c r="T126" s="20"/>
      <c r="U126" s="20">
        <v>290000</v>
      </c>
      <c r="V126" s="20"/>
      <c r="W126" s="20">
        <v>116000</v>
      </c>
      <c r="X126" s="20"/>
      <c r="Y126" s="20"/>
      <c r="Z126" s="9">
        <f>SUM(T126:Y126)</f>
        <v>406000</v>
      </c>
      <c r="AA126" s="20"/>
      <c r="AB126" s="20">
        <v>195000</v>
      </c>
      <c r="AC126" s="20">
        <v>96000</v>
      </c>
      <c r="AD126" s="20">
        <v>20000</v>
      </c>
      <c r="AE126" s="20"/>
      <c r="AF126" s="20"/>
      <c r="AG126" s="21">
        <f>SUM(AA126:AF126)</f>
        <v>311000</v>
      </c>
      <c r="AH126" s="25"/>
      <c r="AI126" s="20"/>
      <c r="AJ126" s="20"/>
      <c r="AK126" s="21">
        <f>SUM(AH126:AJ126)</f>
        <v>0</v>
      </c>
      <c r="AL126" s="25"/>
      <c r="AM126" s="21"/>
      <c r="AN126" s="21"/>
      <c r="AO126" s="21">
        <f>SUM(AL126:AN126)</f>
        <v>0</v>
      </c>
      <c r="AP126" s="25"/>
      <c r="AQ126" s="25"/>
      <c r="AR126" s="25"/>
      <c r="AS126" s="25"/>
      <c r="AT126" s="20"/>
      <c r="AU126" s="20"/>
      <c r="AV126" s="21">
        <f>SUM(AP126:AU126)</f>
        <v>0</v>
      </c>
      <c r="AW126" s="4">
        <f>F126+M126+T126+AA126+AP126</f>
        <v>0</v>
      </c>
      <c r="AX126" s="4">
        <f>G126+N126+U126+AB126+AQ126</f>
        <v>640000</v>
      </c>
      <c r="AY126" s="4">
        <f>H126+O126+V126+AC126+AR126</f>
        <v>96000</v>
      </c>
      <c r="AZ126" s="4">
        <f>I126+P126+W126+AD126+AH126+AL126+AS126</f>
        <v>226000</v>
      </c>
      <c r="BA126" s="94">
        <f>J126+Q126+X126+AE126+AI126+AM126+AT126</f>
        <v>0</v>
      </c>
      <c r="BB126" s="94">
        <f>K126+R126+Y126+AF126+AJ126+AN126+AU126</f>
        <v>0</v>
      </c>
      <c r="BC126" s="9">
        <f>SUM(AW126:BB126)</f>
        <v>962000</v>
      </c>
    </row>
    <row r="127" spans="1:55" s="38" customFormat="1">
      <c r="A127" s="34"/>
      <c r="B127" s="34"/>
      <c r="C127" s="35" t="s">
        <v>241</v>
      </c>
      <c r="D127" s="37"/>
      <c r="E127" s="37"/>
      <c r="F127" s="37">
        <f>F126</f>
        <v>0</v>
      </c>
      <c r="G127" s="37">
        <f t="shared" ref="G127:BC127" si="211">G126</f>
        <v>155000</v>
      </c>
      <c r="H127" s="37">
        <f t="shared" si="211"/>
        <v>0</v>
      </c>
      <c r="I127" s="37">
        <f t="shared" si="197"/>
        <v>90000</v>
      </c>
      <c r="J127" s="37">
        <f t="shared" si="211"/>
        <v>0</v>
      </c>
      <c r="K127" s="37">
        <f t="shared" si="211"/>
        <v>0</v>
      </c>
      <c r="L127" s="37">
        <f t="shared" si="211"/>
        <v>245000</v>
      </c>
      <c r="M127" s="37">
        <f t="shared" si="211"/>
        <v>0</v>
      </c>
      <c r="N127" s="37">
        <f t="shared" si="211"/>
        <v>0</v>
      </c>
      <c r="O127" s="37">
        <f t="shared" si="211"/>
        <v>0</v>
      </c>
      <c r="P127" s="37">
        <f t="shared" si="199"/>
        <v>0</v>
      </c>
      <c r="Q127" s="37">
        <f t="shared" si="211"/>
        <v>0</v>
      </c>
      <c r="R127" s="37">
        <f t="shared" si="211"/>
        <v>0</v>
      </c>
      <c r="S127" s="37">
        <f t="shared" si="211"/>
        <v>0</v>
      </c>
      <c r="T127" s="37">
        <f t="shared" si="211"/>
        <v>0</v>
      </c>
      <c r="U127" s="37">
        <f t="shared" si="211"/>
        <v>290000</v>
      </c>
      <c r="V127" s="37">
        <f t="shared" si="211"/>
        <v>0</v>
      </c>
      <c r="W127" s="37">
        <f t="shared" si="201"/>
        <v>116000</v>
      </c>
      <c r="X127" s="37">
        <f t="shared" si="201"/>
        <v>0</v>
      </c>
      <c r="Y127" s="37">
        <f t="shared" si="201"/>
        <v>0</v>
      </c>
      <c r="Z127" s="37">
        <f t="shared" si="211"/>
        <v>406000</v>
      </c>
      <c r="AA127" s="37">
        <f t="shared" si="211"/>
        <v>0</v>
      </c>
      <c r="AB127" s="37">
        <f t="shared" si="211"/>
        <v>195000</v>
      </c>
      <c r="AC127" s="37">
        <f t="shared" si="211"/>
        <v>96000</v>
      </c>
      <c r="AD127" s="37">
        <f t="shared" si="203"/>
        <v>20000</v>
      </c>
      <c r="AE127" s="37">
        <f t="shared" si="211"/>
        <v>0</v>
      </c>
      <c r="AF127" s="37">
        <f t="shared" si="211"/>
        <v>0</v>
      </c>
      <c r="AG127" s="37">
        <f t="shared" si="211"/>
        <v>311000</v>
      </c>
      <c r="AH127" s="37">
        <f t="shared" si="205"/>
        <v>0</v>
      </c>
      <c r="AI127" s="37">
        <f t="shared" si="211"/>
        <v>0</v>
      </c>
      <c r="AJ127" s="37">
        <f t="shared" si="211"/>
        <v>0</v>
      </c>
      <c r="AK127" s="37">
        <f t="shared" si="211"/>
        <v>0</v>
      </c>
      <c r="AL127" s="37">
        <f t="shared" si="207"/>
        <v>0</v>
      </c>
      <c r="AM127" s="37">
        <f t="shared" si="211"/>
        <v>0</v>
      </c>
      <c r="AN127" s="37">
        <f t="shared" si="211"/>
        <v>0</v>
      </c>
      <c r="AO127" s="37">
        <f t="shared" si="211"/>
        <v>0</v>
      </c>
      <c r="AP127" s="37">
        <f t="shared" si="211"/>
        <v>0</v>
      </c>
      <c r="AQ127" s="37">
        <f t="shared" si="211"/>
        <v>0</v>
      </c>
      <c r="AR127" s="37">
        <f t="shared" si="211"/>
        <v>0</v>
      </c>
      <c r="AS127" s="37">
        <f t="shared" si="209"/>
        <v>0</v>
      </c>
      <c r="AT127" s="37">
        <f t="shared" si="211"/>
        <v>0</v>
      </c>
      <c r="AU127" s="37">
        <f t="shared" si="211"/>
        <v>0</v>
      </c>
      <c r="AV127" s="37">
        <f t="shared" si="211"/>
        <v>0</v>
      </c>
      <c r="AW127" s="37">
        <f t="shared" si="211"/>
        <v>0</v>
      </c>
      <c r="AX127" s="37">
        <f t="shared" si="211"/>
        <v>640000</v>
      </c>
      <c r="AY127" s="37">
        <f t="shared" si="211"/>
        <v>96000</v>
      </c>
      <c r="AZ127" s="37">
        <f t="shared" si="211"/>
        <v>226000</v>
      </c>
      <c r="BA127" s="37">
        <f t="shared" si="211"/>
        <v>0</v>
      </c>
      <c r="BB127" s="37">
        <f t="shared" si="211"/>
        <v>0</v>
      </c>
      <c r="BC127" s="37">
        <f t="shared" si="211"/>
        <v>962000</v>
      </c>
    </row>
    <row r="128" spans="1:55" ht="47.25">
      <c r="A128" s="185" t="s">
        <v>61</v>
      </c>
      <c r="B128" s="8">
        <v>1</v>
      </c>
      <c r="C128" s="1" t="s">
        <v>242</v>
      </c>
      <c r="D128" s="4" t="s">
        <v>243</v>
      </c>
      <c r="E128" s="4" t="s">
        <v>244</v>
      </c>
      <c r="F128" s="4"/>
      <c r="G128" s="4"/>
      <c r="H128" s="4">
        <v>155000</v>
      </c>
      <c r="I128" s="4"/>
      <c r="J128" s="4"/>
      <c r="K128" s="4"/>
      <c r="L128" s="9">
        <f t="shared" ref="L128:L143" si="212">SUM(F128:K128)</f>
        <v>155000</v>
      </c>
      <c r="M128" s="4"/>
      <c r="N128" s="4"/>
      <c r="O128" s="4"/>
      <c r="P128" s="4"/>
      <c r="Q128" s="4"/>
      <c r="R128" s="4"/>
      <c r="S128" s="9">
        <f t="shared" ref="S128:S143" si="213">SUM(M128:R128)</f>
        <v>0</v>
      </c>
      <c r="T128" s="20"/>
      <c r="U128" s="20"/>
      <c r="V128" s="4">
        <v>290000</v>
      </c>
      <c r="W128" s="20"/>
      <c r="X128" s="20"/>
      <c r="Y128" s="20"/>
      <c r="Z128" s="9">
        <f t="shared" ref="Z128:Z143" si="214">SUM(T128:Y128)</f>
        <v>290000</v>
      </c>
      <c r="AA128" s="20"/>
      <c r="AB128" s="25">
        <v>195000</v>
      </c>
      <c r="AC128" s="20"/>
      <c r="AD128" s="20"/>
      <c r="AE128" s="20"/>
      <c r="AF128" s="20"/>
      <c r="AG128" s="21">
        <f t="shared" ref="AG128:AG143" si="215">SUM(AA128:AF128)</f>
        <v>195000</v>
      </c>
      <c r="AH128" s="25"/>
      <c r="AI128" s="20"/>
      <c r="AJ128" s="20"/>
      <c r="AK128" s="21">
        <f t="shared" ref="AK128:AK143" si="216">SUM(AH128:AJ128)</f>
        <v>0</v>
      </c>
      <c r="AL128" s="25"/>
      <c r="AM128" s="20"/>
      <c r="AN128" s="20"/>
      <c r="AO128" s="21">
        <f t="shared" ref="AO128:AO143" si="217">SUM(AL128:AN128)</f>
        <v>0</v>
      </c>
      <c r="AP128" s="25"/>
      <c r="AQ128" s="24">
        <f>100000+257600</f>
        <v>357600</v>
      </c>
      <c r="AR128" s="25"/>
      <c r="AS128" s="25"/>
      <c r="AT128" s="20"/>
      <c r="AU128" s="20"/>
      <c r="AV128" s="21">
        <f t="shared" ref="AV128:AV143" si="218">SUM(AP128:AU128)</f>
        <v>357600</v>
      </c>
      <c r="AW128" s="4">
        <f t="shared" ref="AW128:AW143" si="219">F128+M128+T128+AA128+AP128</f>
        <v>0</v>
      </c>
      <c r="AX128" s="4">
        <f t="shared" ref="AX128:AX143" si="220">G128+N128+U128+AB128+AQ128</f>
        <v>552600</v>
      </c>
      <c r="AY128" s="4">
        <f t="shared" ref="AY128:AY143" si="221">H128+O128+V128+AC128+AR128</f>
        <v>445000</v>
      </c>
      <c r="AZ128" s="4">
        <f t="shared" ref="AZ128:AZ143" si="222">I128+P128+W128+AD128+AH128+AL128+AS128</f>
        <v>0</v>
      </c>
      <c r="BA128" s="94">
        <f t="shared" ref="BA128:BA143" si="223">J128+Q128+X128+AE128+AI128+AM128+AT128</f>
        <v>0</v>
      </c>
      <c r="BB128" s="94">
        <f t="shared" ref="BB128:BB143" si="224">K128+R128+Y128+AF128+AJ128+AN128+AU128</f>
        <v>0</v>
      </c>
      <c r="BC128" s="9">
        <f t="shared" ref="BC128:BC143" si="225">SUM(AW128:BB128)</f>
        <v>997600</v>
      </c>
    </row>
    <row r="129" spans="1:55">
      <c r="A129" s="186"/>
      <c r="B129" s="8">
        <v>2</v>
      </c>
      <c r="C129" s="1" t="s">
        <v>245</v>
      </c>
      <c r="D129" s="4" t="s">
        <v>246</v>
      </c>
      <c r="E129" s="4" t="s">
        <v>244</v>
      </c>
      <c r="F129" s="4"/>
      <c r="G129" s="4"/>
      <c r="H129" s="5"/>
      <c r="I129" s="4"/>
      <c r="J129" s="4"/>
      <c r="K129" s="4"/>
      <c r="L129" s="9">
        <f t="shared" si="212"/>
        <v>0</v>
      </c>
      <c r="M129" s="76"/>
      <c r="N129" s="76">
        <v>1690000</v>
      </c>
      <c r="O129" s="76">
        <v>1290000</v>
      </c>
      <c r="P129" s="76">
        <v>150000</v>
      </c>
      <c r="Q129" s="4"/>
      <c r="R129" s="4"/>
      <c r="S129" s="9">
        <f t="shared" si="213"/>
        <v>3130000</v>
      </c>
      <c r="T129" s="20"/>
      <c r="U129" s="26">
        <v>1389000</v>
      </c>
      <c r="V129" s="4">
        <v>1080000</v>
      </c>
      <c r="W129" s="22">
        <v>420000</v>
      </c>
      <c r="X129" s="22"/>
      <c r="Y129" s="22"/>
      <c r="Z129" s="9">
        <f t="shared" si="214"/>
        <v>2889000</v>
      </c>
      <c r="AA129" s="20"/>
      <c r="AB129" s="25"/>
      <c r="AC129" s="20"/>
      <c r="AD129" s="20"/>
      <c r="AE129" s="20"/>
      <c r="AF129" s="20"/>
      <c r="AG129" s="21">
        <f t="shared" si="215"/>
        <v>0</v>
      </c>
      <c r="AH129" s="25"/>
      <c r="AI129" s="20"/>
      <c r="AJ129" s="20"/>
      <c r="AK129" s="21">
        <f t="shared" si="216"/>
        <v>0</v>
      </c>
      <c r="AL129" s="24">
        <v>900000</v>
      </c>
      <c r="AM129" s="20">
        <f>300000+300000+300000+300000+200000</f>
        <v>1400000</v>
      </c>
      <c r="AN129" s="20">
        <f>2225000+765000</f>
        <v>2990000</v>
      </c>
      <c r="AO129" s="21">
        <f t="shared" si="217"/>
        <v>5290000</v>
      </c>
      <c r="AP129" s="25"/>
      <c r="AQ129" s="25">
        <v>100000</v>
      </c>
      <c r="AR129" s="25">
        <v>540000</v>
      </c>
      <c r="AS129" s="25"/>
      <c r="AT129" s="20"/>
      <c r="AU129" s="20"/>
      <c r="AV129" s="21">
        <f t="shared" si="218"/>
        <v>640000</v>
      </c>
      <c r="AW129" s="4">
        <f t="shared" si="219"/>
        <v>0</v>
      </c>
      <c r="AX129" s="4">
        <f t="shared" si="220"/>
        <v>3179000</v>
      </c>
      <c r="AY129" s="4">
        <f t="shared" si="221"/>
        <v>2910000</v>
      </c>
      <c r="AZ129" s="4">
        <f t="shared" si="222"/>
        <v>1470000</v>
      </c>
      <c r="BA129" s="94">
        <f t="shared" si="223"/>
        <v>1400000</v>
      </c>
      <c r="BB129" s="94">
        <f t="shared" si="224"/>
        <v>2990000</v>
      </c>
      <c r="BC129" s="9">
        <f t="shared" si="225"/>
        <v>11949000</v>
      </c>
    </row>
    <row r="130" spans="1:55">
      <c r="A130" s="186"/>
      <c r="B130" s="8">
        <v>3</v>
      </c>
      <c r="C130" s="1" t="s">
        <v>247</v>
      </c>
      <c r="D130" s="5" t="s">
        <v>262</v>
      </c>
      <c r="E130" s="4" t="s">
        <v>244</v>
      </c>
      <c r="F130" s="4"/>
      <c r="G130" s="4"/>
      <c r="H130" s="5"/>
      <c r="I130" s="4"/>
      <c r="J130" s="4"/>
      <c r="K130" s="4"/>
      <c r="L130" s="9">
        <f t="shared" si="212"/>
        <v>0</v>
      </c>
      <c r="M130" s="4"/>
      <c r="N130" s="72"/>
      <c r="O130" s="4"/>
      <c r="P130" s="4"/>
      <c r="Q130" s="4"/>
      <c r="R130" s="4"/>
      <c r="S130" s="9">
        <f t="shared" si="213"/>
        <v>0</v>
      </c>
      <c r="T130" s="20"/>
      <c r="U130" s="20"/>
      <c r="V130" s="4"/>
      <c r="W130" s="20"/>
      <c r="X130" s="20"/>
      <c r="Y130" s="20"/>
      <c r="Z130" s="9">
        <f t="shared" si="214"/>
        <v>0</v>
      </c>
      <c r="AA130" s="20"/>
      <c r="AB130" s="25">
        <v>438200</v>
      </c>
      <c r="AC130" s="25">
        <v>274300</v>
      </c>
      <c r="AD130" s="24">
        <v>959000</v>
      </c>
      <c r="AE130" s="20">
        <f>70000+210000+210000</f>
        <v>490000</v>
      </c>
      <c r="AF130" s="20">
        <f>1504775+271600+135800</f>
        <v>1912175</v>
      </c>
      <c r="AG130" s="21">
        <f t="shared" si="215"/>
        <v>4073675</v>
      </c>
      <c r="AH130" s="25"/>
      <c r="AI130" s="20"/>
      <c r="AJ130" s="20"/>
      <c r="AK130" s="21">
        <f t="shared" si="216"/>
        <v>0</v>
      </c>
      <c r="AL130" s="25"/>
      <c r="AM130" s="20"/>
      <c r="AN130" s="20"/>
      <c r="AO130" s="21">
        <f t="shared" si="217"/>
        <v>0</v>
      </c>
      <c r="AP130" s="25"/>
      <c r="AQ130" s="25">
        <v>100000</v>
      </c>
      <c r="AR130" s="25"/>
      <c r="AS130" s="25">
        <v>120000</v>
      </c>
      <c r="AT130" s="20"/>
      <c r="AU130" s="20"/>
      <c r="AV130" s="21">
        <f t="shared" si="218"/>
        <v>220000</v>
      </c>
      <c r="AW130" s="4">
        <f t="shared" si="219"/>
        <v>0</v>
      </c>
      <c r="AX130" s="4">
        <f t="shared" si="220"/>
        <v>538200</v>
      </c>
      <c r="AY130" s="4">
        <f t="shared" si="221"/>
        <v>274300</v>
      </c>
      <c r="AZ130" s="4">
        <f t="shared" si="222"/>
        <v>1079000</v>
      </c>
      <c r="BA130" s="94">
        <f t="shared" si="223"/>
        <v>490000</v>
      </c>
      <c r="BB130" s="94">
        <f t="shared" si="224"/>
        <v>1912175</v>
      </c>
      <c r="BC130" s="9">
        <f t="shared" si="225"/>
        <v>4293675</v>
      </c>
    </row>
    <row r="131" spans="1:55" ht="31.5">
      <c r="A131" s="186"/>
      <c r="B131" s="8">
        <v>4</v>
      </c>
      <c r="C131" s="1" t="s">
        <v>248</v>
      </c>
      <c r="D131" s="46" t="s">
        <v>249</v>
      </c>
      <c r="E131" s="4" t="s">
        <v>244</v>
      </c>
      <c r="F131" s="4"/>
      <c r="G131" s="4"/>
      <c r="H131" s="5"/>
      <c r="I131" s="4"/>
      <c r="J131" s="4"/>
      <c r="K131" s="4"/>
      <c r="L131" s="9">
        <f t="shared" si="212"/>
        <v>0</v>
      </c>
      <c r="M131" s="76">
        <v>290000</v>
      </c>
      <c r="N131" s="76">
        <v>1830000</v>
      </c>
      <c r="O131" s="76">
        <v>1500000</v>
      </c>
      <c r="P131" s="76">
        <v>250000</v>
      </c>
      <c r="Q131" s="4"/>
      <c r="R131" s="4"/>
      <c r="S131" s="9">
        <f t="shared" si="213"/>
        <v>3870000</v>
      </c>
      <c r="T131" s="20">
        <v>290000</v>
      </c>
      <c r="U131" s="26">
        <v>2142000</v>
      </c>
      <c r="V131" s="4">
        <v>840000</v>
      </c>
      <c r="W131" s="22">
        <v>540000</v>
      </c>
      <c r="X131" s="22"/>
      <c r="Y131" s="22"/>
      <c r="Z131" s="9">
        <f t="shared" si="214"/>
        <v>3812000</v>
      </c>
      <c r="AA131" s="20">
        <v>195000</v>
      </c>
      <c r="AB131" s="25">
        <v>1226050</v>
      </c>
      <c r="AC131" s="25">
        <v>607150</v>
      </c>
      <c r="AD131" s="24">
        <v>240000</v>
      </c>
      <c r="AE131" s="20"/>
      <c r="AF131" s="20"/>
      <c r="AG131" s="21">
        <f t="shared" si="215"/>
        <v>2268200</v>
      </c>
      <c r="AH131" s="25"/>
      <c r="AI131" s="20"/>
      <c r="AJ131" s="20"/>
      <c r="AK131" s="21">
        <f t="shared" si="216"/>
        <v>0</v>
      </c>
      <c r="AL131" s="25"/>
      <c r="AM131" s="20"/>
      <c r="AN131" s="20">
        <v>1266500</v>
      </c>
      <c r="AO131" s="21">
        <f t="shared" si="217"/>
        <v>1266500</v>
      </c>
      <c r="AP131" s="25"/>
      <c r="AQ131" s="25">
        <v>100000</v>
      </c>
      <c r="AR131" s="25">
        <v>522000</v>
      </c>
      <c r="AS131" s="25"/>
      <c r="AT131" s="20"/>
      <c r="AU131" s="20"/>
      <c r="AV131" s="21">
        <f t="shared" si="218"/>
        <v>622000</v>
      </c>
      <c r="AW131" s="4">
        <f t="shared" si="219"/>
        <v>775000</v>
      </c>
      <c r="AX131" s="4">
        <f t="shared" si="220"/>
        <v>5298050</v>
      </c>
      <c r="AY131" s="4">
        <f t="shared" si="221"/>
        <v>3469150</v>
      </c>
      <c r="AZ131" s="4">
        <f t="shared" si="222"/>
        <v>1030000</v>
      </c>
      <c r="BA131" s="94">
        <f t="shared" si="223"/>
        <v>0</v>
      </c>
      <c r="BB131" s="94">
        <f t="shared" si="224"/>
        <v>1266500</v>
      </c>
      <c r="BC131" s="9">
        <f t="shared" si="225"/>
        <v>11838700</v>
      </c>
    </row>
    <row r="132" spans="1:55" ht="31.5">
      <c r="A132" s="186"/>
      <c r="B132" s="8">
        <v>5</v>
      </c>
      <c r="C132" s="1" t="s">
        <v>250</v>
      </c>
      <c r="D132" s="4" t="s">
        <v>251</v>
      </c>
      <c r="E132" s="4" t="s">
        <v>244</v>
      </c>
      <c r="F132" s="4"/>
      <c r="G132" s="4"/>
      <c r="H132" s="5"/>
      <c r="I132" s="4"/>
      <c r="J132" s="4"/>
      <c r="K132" s="4"/>
      <c r="L132" s="9">
        <f t="shared" si="212"/>
        <v>0</v>
      </c>
      <c r="M132" s="76"/>
      <c r="N132" s="76">
        <v>290000</v>
      </c>
      <c r="O132" s="76"/>
      <c r="P132" s="76"/>
      <c r="Q132" s="4"/>
      <c r="R132" s="4"/>
      <c r="S132" s="9">
        <f t="shared" si="213"/>
        <v>290000</v>
      </c>
      <c r="T132" s="20"/>
      <c r="U132" s="20"/>
      <c r="V132" s="4"/>
      <c r="W132" s="20"/>
      <c r="X132" s="20"/>
      <c r="Y132" s="20"/>
      <c r="Z132" s="9">
        <f t="shared" si="214"/>
        <v>0</v>
      </c>
      <c r="AA132" s="20"/>
      <c r="AB132" s="25"/>
      <c r="AC132" s="25"/>
      <c r="AD132" s="24"/>
      <c r="AE132" s="20"/>
      <c r="AF132" s="20"/>
      <c r="AG132" s="21">
        <f t="shared" si="215"/>
        <v>0</v>
      </c>
      <c r="AH132" s="25"/>
      <c r="AI132" s="20"/>
      <c r="AJ132" s="20"/>
      <c r="AK132" s="21">
        <f t="shared" si="216"/>
        <v>0</v>
      </c>
      <c r="AL132" s="25"/>
      <c r="AM132" s="20"/>
      <c r="AN132" s="20"/>
      <c r="AO132" s="21">
        <f t="shared" si="217"/>
        <v>0</v>
      </c>
      <c r="AP132" s="25"/>
      <c r="AQ132" s="25"/>
      <c r="AR132" s="25"/>
      <c r="AS132" s="25"/>
      <c r="AT132" s="20"/>
      <c r="AU132" s="20"/>
      <c r="AV132" s="21">
        <f t="shared" si="218"/>
        <v>0</v>
      </c>
      <c r="AW132" s="4">
        <f t="shared" si="219"/>
        <v>0</v>
      </c>
      <c r="AX132" s="4">
        <f t="shared" si="220"/>
        <v>290000</v>
      </c>
      <c r="AY132" s="4">
        <f t="shared" si="221"/>
        <v>0</v>
      </c>
      <c r="AZ132" s="4">
        <f t="shared" si="222"/>
        <v>0</v>
      </c>
      <c r="BA132" s="94">
        <f t="shared" si="223"/>
        <v>0</v>
      </c>
      <c r="BB132" s="94">
        <f t="shared" si="224"/>
        <v>0</v>
      </c>
      <c r="BC132" s="9">
        <f t="shared" si="225"/>
        <v>290000</v>
      </c>
    </row>
    <row r="133" spans="1:55" ht="47.25">
      <c r="A133" s="186"/>
      <c r="B133" s="8">
        <v>6</v>
      </c>
      <c r="C133" s="1" t="s">
        <v>252</v>
      </c>
      <c r="D133" s="4" t="s">
        <v>253</v>
      </c>
      <c r="E133" s="4" t="s">
        <v>25</v>
      </c>
      <c r="F133" s="4">
        <v>155000</v>
      </c>
      <c r="G133" s="4"/>
      <c r="H133" s="4">
        <f>891000+110000</f>
        <v>1001000</v>
      </c>
      <c r="I133" s="4"/>
      <c r="J133" s="4"/>
      <c r="K133" s="4"/>
      <c r="L133" s="9">
        <f t="shared" si="212"/>
        <v>1156000</v>
      </c>
      <c r="M133" s="76">
        <v>290000</v>
      </c>
      <c r="N133" s="76"/>
      <c r="O133" s="76">
        <v>1800000</v>
      </c>
      <c r="P133" s="76"/>
      <c r="Q133" s="4"/>
      <c r="R133" s="4"/>
      <c r="S133" s="9">
        <f t="shared" si="213"/>
        <v>2090000</v>
      </c>
      <c r="T133" s="20"/>
      <c r="U133" s="20"/>
      <c r="V133" s="4"/>
      <c r="W133" s="20"/>
      <c r="X133" s="20"/>
      <c r="Y133" s="20"/>
      <c r="Z133" s="9">
        <f t="shared" si="214"/>
        <v>0</v>
      </c>
      <c r="AA133" s="20"/>
      <c r="AB133" s="20"/>
      <c r="AC133" s="20"/>
      <c r="AD133" s="20"/>
      <c r="AE133" s="20"/>
      <c r="AF133" s="20"/>
      <c r="AG133" s="21">
        <f t="shared" si="215"/>
        <v>0</v>
      </c>
      <c r="AH133" s="25"/>
      <c r="AI133" s="20"/>
      <c r="AJ133" s="20"/>
      <c r="AK133" s="21">
        <f t="shared" si="216"/>
        <v>0</v>
      </c>
      <c r="AL133" s="25"/>
      <c r="AM133" s="20"/>
      <c r="AN133" s="20"/>
      <c r="AO133" s="21">
        <f t="shared" si="217"/>
        <v>0</v>
      </c>
      <c r="AP133" s="25"/>
      <c r="AQ133" s="24">
        <v>100000</v>
      </c>
      <c r="AR133" s="25"/>
      <c r="AS133" s="25"/>
      <c r="AT133" s="20"/>
      <c r="AU133" s="20"/>
      <c r="AV133" s="21">
        <f t="shared" si="218"/>
        <v>100000</v>
      </c>
      <c r="AW133" s="4">
        <f t="shared" si="219"/>
        <v>445000</v>
      </c>
      <c r="AX133" s="4">
        <f t="shared" si="220"/>
        <v>100000</v>
      </c>
      <c r="AY133" s="4">
        <f t="shared" si="221"/>
        <v>2801000</v>
      </c>
      <c r="AZ133" s="4">
        <f t="shared" si="222"/>
        <v>0</v>
      </c>
      <c r="BA133" s="94">
        <f t="shared" si="223"/>
        <v>0</v>
      </c>
      <c r="BB133" s="94">
        <f t="shared" si="224"/>
        <v>0</v>
      </c>
      <c r="BC133" s="9">
        <f t="shared" si="225"/>
        <v>3346000</v>
      </c>
    </row>
    <row r="134" spans="1:55" ht="31.5">
      <c r="A134" s="186"/>
      <c r="B134" s="8">
        <v>7</v>
      </c>
      <c r="C134" s="1" t="s">
        <v>2</v>
      </c>
      <c r="D134" s="43" t="s">
        <v>243</v>
      </c>
      <c r="E134" s="4" t="s">
        <v>25</v>
      </c>
      <c r="F134" s="4"/>
      <c r="G134" s="4"/>
      <c r="H134" s="4"/>
      <c r="I134" s="4"/>
      <c r="J134" s="4"/>
      <c r="K134" s="4"/>
      <c r="L134" s="9">
        <f t="shared" si="212"/>
        <v>0</v>
      </c>
      <c r="M134" s="4"/>
      <c r="N134" s="72"/>
      <c r="O134" s="4"/>
      <c r="P134" s="4"/>
      <c r="Q134" s="4"/>
      <c r="R134" s="4"/>
      <c r="S134" s="9">
        <f t="shared" si="213"/>
        <v>0</v>
      </c>
      <c r="T134" s="20"/>
      <c r="U134" s="20">
        <v>290000</v>
      </c>
      <c r="V134" s="4">
        <v>-290000</v>
      </c>
      <c r="W134" s="20"/>
      <c r="X134" s="20"/>
      <c r="Y134" s="20"/>
      <c r="Z134" s="9">
        <f t="shared" si="214"/>
        <v>0</v>
      </c>
      <c r="AA134" s="20"/>
      <c r="AB134" s="25">
        <v>195000</v>
      </c>
      <c r="AC134" s="20"/>
      <c r="AD134" s="20"/>
      <c r="AE134" s="20"/>
      <c r="AF134" s="20"/>
      <c r="AG134" s="21">
        <f t="shared" si="215"/>
        <v>195000</v>
      </c>
      <c r="AH134" s="25"/>
      <c r="AI134" s="20"/>
      <c r="AJ134" s="20"/>
      <c r="AK134" s="21">
        <f t="shared" si="216"/>
        <v>0</v>
      </c>
      <c r="AL134" s="25"/>
      <c r="AM134" s="20"/>
      <c r="AN134" s="20"/>
      <c r="AO134" s="21">
        <f t="shared" si="217"/>
        <v>0</v>
      </c>
      <c r="AP134" s="25"/>
      <c r="AQ134" s="25"/>
      <c r="AR134" s="25"/>
      <c r="AS134" s="25"/>
      <c r="AT134" s="20"/>
      <c r="AU134" s="20"/>
      <c r="AV134" s="21">
        <f t="shared" si="218"/>
        <v>0</v>
      </c>
      <c r="AW134" s="4">
        <f t="shared" si="219"/>
        <v>0</v>
      </c>
      <c r="AX134" s="4">
        <f t="shared" si="220"/>
        <v>485000</v>
      </c>
      <c r="AY134" s="4">
        <f t="shared" si="221"/>
        <v>-290000</v>
      </c>
      <c r="AZ134" s="4">
        <f t="shared" si="222"/>
        <v>0</v>
      </c>
      <c r="BA134" s="94">
        <f t="shared" si="223"/>
        <v>0</v>
      </c>
      <c r="BB134" s="94">
        <f t="shared" si="224"/>
        <v>0</v>
      </c>
      <c r="BC134" s="9">
        <f t="shared" si="225"/>
        <v>195000</v>
      </c>
    </row>
    <row r="135" spans="1:55">
      <c r="A135" s="186"/>
      <c r="B135" s="8">
        <v>8</v>
      </c>
      <c r="C135" s="1" t="s">
        <v>254</v>
      </c>
      <c r="D135" s="41" t="s">
        <v>255</v>
      </c>
      <c r="E135" s="4" t="s">
        <v>25</v>
      </c>
      <c r="F135" s="4"/>
      <c r="G135" s="4"/>
      <c r="H135" s="4"/>
      <c r="I135" s="4"/>
      <c r="J135" s="4"/>
      <c r="K135" s="4"/>
      <c r="L135" s="9">
        <f t="shared" si="212"/>
        <v>0</v>
      </c>
      <c r="M135" s="76">
        <v>290000</v>
      </c>
      <c r="N135" s="76">
        <v>1200000</v>
      </c>
      <c r="O135" s="76">
        <v>2060000</v>
      </c>
      <c r="P135" s="76">
        <v>250000</v>
      </c>
      <c r="Q135" s="4"/>
      <c r="R135" s="4"/>
      <c r="S135" s="9">
        <f t="shared" si="213"/>
        <v>3800000</v>
      </c>
      <c r="T135" s="20"/>
      <c r="U135" s="20">
        <v>290000</v>
      </c>
      <c r="V135" s="4">
        <v>1008000</v>
      </c>
      <c r="W135" s="22">
        <v>360000</v>
      </c>
      <c r="X135" s="22"/>
      <c r="Y135" s="22"/>
      <c r="Z135" s="9">
        <f t="shared" si="214"/>
        <v>1658000</v>
      </c>
      <c r="AA135" s="20"/>
      <c r="AB135" s="25"/>
      <c r="AC135" s="20"/>
      <c r="AD135" s="20"/>
      <c r="AE135" s="20"/>
      <c r="AF135" s="20"/>
      <c r="AG135" s="21">
        <f t="shared" si="215"/>
        <v>0</v>
      </c>
      <c r="AH135" s="25"/>
      <c r="AI135" s="20"/>
      <c r="AJ135" s="20"/>
      <c r="AK135" s="21">
        <f t="shared" si="216"/>
        <v>0</v>
      </c>
      <c r="AL135" s="24">
        <v>900000</v>
      </c>
      <c r="AM135" s="20">
        <f>300000+300000+300000+300000+200000</f>
        <v>1400000</v>
      </c>
      <c r="AN135" s="20">
        <v>1975000</v>
      </c>
      <c r="AO135" s="21">
        <f t="shared" si="217"/>
        <v>4275000</v>
      </c>
      <c r="AP135" s="25"/>
      <c r="AQ135" s="25"/>
      <c r="AR135" s="25"/>
      <c r="AS135" s="25"/>
      <c r="AT135" s="20"/>
      <c r="AU135" s="20"/>
      <c r="AV135" s="21">
        <f t="shared" si="218"/>
        <v>0</v>
      </c>
      <c r="AW135" s="4">
        <f t="shared" si="219"/>
        <v>290000</v>
      </c>
      <c r="AX135" s="4">
        <f t="shared" si="220"/>
        <v>1490000</v>
      </c>
      <c r="AY135" s="4">
        <f t="shared" si="221"/>
        <v>3068000</v>
      </c>
      <c r="AZ135" s="4">
        <f t="shared" si="222"/>
        <v>1510000</v>
      </c>
      <c r="BA135" s="94">
        <f t="shared" si="223"/>
        <v>1400000</v>
      </c>
      <c r="BB135" s="94">
        <f t="shared" si="224"/>
        <v>1975000</v>
      </c>
      <c r="BC135" s="9">
        <f t="shared" si="225"/>
        <v>9733000</v>
      </c>
    </row>
    <row r="136" spans="1:55">
      <c r="A136" s="186"/>
      <c r="B136" s="8">
        <v>9</v>
      </c>
      <c r="C136" s="1" t="s">
        <v>475</v>
      </c>
      <c r="D136" s="41"/>
      <c r="E136" s="4" t="s">
        <v>25</v>
      </c>
      <c r="F136" s="4"/>
      <c r="G136" s="4"/>
      <c r="H136" s="4"/>
      <c r="I136" s="4"/>
      <c r="J136" s="4"/>
      <c r="K136" s="4"/>
      <c r="L136" s="9">
        <f t="shared" si="212"/>
        <v>0</v>
      </c>
      <c r="M136" s="76"/>
      <c r="N136" s="76"/>
      <c r="O136" s="76">
        <v>-200000</v>
      </c>
      <c r="P136" s="76"/>
      <c r="Q136" s="4"/>
      <c r="R136" s="4"/>
      <c r="S136" s="9">
        <f t="shared" si="213"/>
        <v>-200000</v>
      </c>
      <c r="T136" s="20"/>
      <c r="U136" s="20"/>
      <c r="V136" s="4"/>
      <c r="W136" s="22"/>
      <c r="X136" s="22"/>
      <c r="Y136" s="22"/>
      <c r="Z136" s="9">
        <f t="shared" si="214"/>
        <v>0</v>
      </c>
      <c r="AA136" s="20"/>
      <c r="AB136" s="25"/>
      <c r="AC136" s="20"/>
      <c r="AD136" s="20"/>
      <c r="AE136" s="20"/>
      <c r="AF136" s="20"/>
      <c r="AG136" s="21">
        <f t="shared" si="215"/>
        <v>0</v>
      </c>
      <c r="AH136" s="25"/>
      <c r="AI136" s="20"/>
      <c r="AJ136" s="20"/>
      <c r="AK136" s="21"/>
      <c r="AL136" s="24"/>
      <c r="AM136" s="20"/>
      <c r="AN136" s="20"/>
      <c r="AO136" s="21">
        <f t="shared" si="217"/>
        <v>0</v>
      </c>
      <c r="AP136" s="25"/>
      <c r="AQ136" s="25"/>
      <c r="AR136" s="25"/>
      <c r="AS136" s="25"/>
      <c r="AT136" s="20"/>
      <c r="AU136" s="20"/>
      <c r="AV136" s="21">
        <f t="shared" si="218"/>
        <v>0</v>
      </c>
      <c r="AW136" s="4">
        <f t="shared" si="219"/>
        <v>0</v>
      </c>
      <c r="AX136" s="4">
        <f t="shared" si="220"/>
        <v>0</v>
      </c>
      <c r="AY136" s="4">
        <f t="shared" si="221"/>
        <v>-200000</v>
      </c>
      <c r="AZ136" s="4">
        <f t="shared" si="222"/>
        <v>0</v>
      </c>
      <c r="BA136" s="94">
        <f t="shared" si="223"/>
        <v>0</v>
      </c>
      <c r="BB136" s="94">
        <f t="shared" si="224"/>
        <v>0</v>
      </c>
      <c r="BC136" s="9">
        <f t="shared" si="225"/>
        <v>-200000</v>
      </c>
    </row>
    <row r="137" spans="1:55" ht="31.5">
      <c r="A137" s="186"/>
      <c r="B137" s="8">
        <v>10</v>
      </c>
      <c r="C137" s="1" t="s">
        <v>256</v>
      </c>
      <c r="D137" s="4" t="s">
        <v>257</v>
      </c>
      <c r="E137" s="4" t="s">
        <v>258</v>
      </c>
      <c r="F137" s="4"/>
      <c r="G137" s="4">
        <v>298000</v>
      </c>
      <c r="H137" s="4">
        <v>60000</v>
      </c>
      <c r="I137" s="4">
        <v>200000</v>
      </c>
      <c r="J137" s="4"/>
      <c r="K137" s="4"/>
      <c r="L137" s="9">
        <f t="shared" si="212"/>
        <v>558000</v>
      </c>
      <c r="M137" s="4"/>
      <c r="N137" s="72"/>
      <c r="O137" s="4"/>
      <c r="P137" s="4"/>
      <c r="Q137" s="4"/>
      <c r="R137" s="4"/>
      <c r="S137" s="9">
        <f t="shared" si="213"/>
        <v>0</v>
      </c>
      <c r="T137" s="20"/>
      <c r="U137" s="20"/>
      <c r="V137" s="20"/>
      <c r="W137" s="20"/>
      <c r="X137" s="20"/>
      <c r="Y137" s="20"/>
      <c r="Z137" s="9">
        <f t="shared" si="214"/>
        <v>0</v>
      </c>
      <c r="AA137" s="20"/>
      <c r="AB137" s="25">
        <v>330800</v>
      </c>
      <c r="AC137" s="20"/>
      <c r="AD137" s="20">
        <v>450000</v>
      </c>
      <c r="AE137" s="20"/>
      <c r="AF137" s="20"/>
      <c r="AG137" s="21">
        <f t="shared" si="215"/>
        <v>780800</v>
      </c>
      <c r="AH137" s="25">
        <v>315000</v>
      </c>
      <c r="AI137" s="20">
        <v>105000</v>
      </c>
      <c r="AJ137" s="20"/>
      <c r="AK137" s="21">
        <f t="shared" si="216"/>
        <v>420000</v>
      </c>
      <c r="AL137" s="25"/>
      <c r="AM137" s="20"/>
      <c r="AN137" s="20"/>
      <c r="AO137" s="21">
        <f t="shared" si="217"/>
        <v>0</v>
      </c>
      <c r="AP137" s="25"/>
      <c r="AQ137" s="25"/>
      <c r="AR137" s="25"/>
      <c r="AS137" s="25"/>
      <c r="AT137" s="20"/>
      <c r="AU137" s="20"/>
      <c r="AV137" s="21">
        <f t="shared" si="218"/>
        <v>0</v>
      </c>
      <c r="AW137" s="4">
        <f t="shared" si="219"/>
        <v>0</v>
      </c>
      <c r="AX137" s="4">
        <f t="shared" si="220"/>
        <v>628800</v>
      </c>
      <c r="AY137" s="4">
        <f t="shared" si="221"/>
        <v>60000</v>
      </c>
      <c r="AZ137" s="4">
        <f t="shared" si="222"/>
        <v>965000</v>
      </c>
      <c r="BA137" s="94">
        <f t="shared" si="223"/>
        <v>105000</v>
      </c>
      <c r="BB137" s="94">
        <f t="shared" si="224"/>
        <v>0</v>
      </c>
      <c r="BC137" s="9">
        <f t="shared" si="225"/>
        <v>1758800</v>
      </c>
    </row>
    <row r="138" spans="1:55" ht="31.5">
      <c r="A138" s="186"/>
      <c r="B138" s="8">
        <v>11</v>
      </c>
      <c r="C138" s="1" t="s">
        <v>259</v>
      </c>
      <c r="D138" s="4" t="s">
        <v>260</v>
      </c>
      <c r="E138" s="4" t="s">
        <v>258</v>
      </c>
      <c r="F138" s="4">
        <v>155000</v>
      </c>
      <c r="G138" s="4">
        <v>789000</v>
      </c>
      <c r="H138" s="4">
        <f>71500+71500</f>
        <v>143000</v>
      </c>
      <c r="I138" s="4">
        <f>100000+120000+20000</f>
        <v>240000</v>
      </c>
      <c r="J138" s="4"/>
      <c r="K138" s="4"/>
      <c r="L138" s="9">
        <f t="shared" si="212"/>
        <v>1327000</v>
      </c>
      <c r="M138" s="4"/>
      <c r="N138" s="72"/>
      <c r="O138" s="4"/>
      <c r="P138" s="4"/>
      <c r="Q138" s="4"/>
      <c r="R138" s="4"/>
      <c r="S138" s="9">
        <f t="shared" si="213"/>
        <v>0</v>
      </c>
      <c r="T138" s="20"/>
      <c r="U138" s="20"/>
      <c r="V138" s="20"/>
      <c r="W138" s="20"/>
      <c r="X138" s="20"/>
      <c r="Y138" s="20"/>
      <c r="Z138" s="9">
        <f t="shared" si="214"/>
        <v>0</v>
      </c>
      <c r="AA138" s="20"/>
      <c r="AB138" s="25">
        <v>1145600</v>
      </c>
      <c r="AC138" s="25">
        <v>916650</v>
      </c>
      <c r="AD138" s="20"/>
      <c r="AE138" s="20"/>
      <c r="AF138" s="20"/>
      <c r="AG138" s="21">
        <f t="shared" si="215"/>
        <v>2062250</v>
      </c>
      <c r="AH138" s="25">
        <v>1155000</v>
      </c>
      <c r="AI138" s="20">
        <f>105000+315000+315000+315000+210000</f>
        <v>1260000</v>
      </c>
      <c r="AJ138" s="20">
        <f>632574+1061188+156000</f>
        <v>1849762</v>
      </c>
      <c r="AK138" s="21">
        <f t="shared" si="216"/>
        <v>4264762</v>
      </c>
      <c r="AL138" s="25"/>
      <c r="AM138" s="20"/>
      <c r="AN138" s="20"/>
      <c r="AO138" s="21">
        <f t="shared" si="217"/>
        <v>0</v>
      </c>
      <c r="AP138" s="25"/>
      <c r="AQ138" s="25"/>
      <c r="AR138" s="25">
        <v>100000</v>
      </c>
      <c r="AS138" s="25"/>
      <c r="AT138" s="20"/>
      <c r="AU138" s="20"/>
      <c r="AV138" s="21">
        <f t="shared" si="218"/>
        <v>100000</v>
      </c>
      <c r="AW138" s="4">
        <f t="shared" si="219"/>
        <v>155000</v>
      </c>
      <c r="AX138" s="4">
        <f t="shared" si="220"/>
        <v>1934600</v>
      </c>
      <c r="AY138" s="4">
        <f t="shared" si="221"/>
        <v>1159650</v>
      </c>
      <c r="AZ138" s="4">
        <f t="shared" si="222"/>
        <v>1395000</v>
      </c>
      <c r="BA138" s="94">
        <f t="shared" si="223"/>
        <v>1260000</v>
      </c>
      <c r="BB138" s="94">
        <f t="shared" si="224"/>
        <v>1849762</v>
      </c>
      <c r="BC138" s="9">
        <f t="shared" si="225"/>
        <v>7754012</v>
      </c>
    </row>
    <row r="139" spans="1:55" ht="31.5">
      <c r="A139" s="186"/>
      <c r="B139" s="8">
        <v>12</v>
      </c>
      <c r="C139" s="1" t="s">
        <v>259</v>
      </c>
      <c r="D139" s="4" t="s">
        <v>246</v>
      </c>
      <c r="E139" s="4" t="s">
        <v>258</v>
      </c>
      <c r="F139" s="4"/>
      <c r="G139" s="4"/>
      <c r="H139" s="4">
        <f>155000+453000</f>
        <v>608000</v>
      </c>
      <c r="I139" s="4"/>
      <c r="J139" s="4"/>
      <c r="K139" s="4"/>
      <c r="L139" s="9">
        <f t="shared" si="212"/>
        <v>608000</v>
      </c>
      <c r="M139" s="4"/>
      <c r="N139" s="72"/>
      <c r="O139" s="4"/>
      <c r="P139" s="4"/>
      <c r="Q139" s="4"/>
      <c r="R139" s="4"/>
      <c r="S139" s="9">
        <f t="shared" si="213"/>
        <v>0</v>
      </c>
      <c r="T139" s="20"/>
      <c r="U139" s="20"/>
      <c r="V139" s="20"/>
      <c r="W139" s="20"/>
      <c r="X139" s="20"/>
      <c r="Y139" s="20"/>
      <c r="Z139" s="9">
        <f t="shared" si="214"/>
        <v>0</v>
      </c>
      <c r="AA139" s="20"/>
      <c r="AB139" s="20"/>
      <c r="AC139" s="20"/>
      <c r="AD139" s="20">
        <v>180000</v>
      </c>
      <c r="AE139" s="20"/>
      <c r="AF139" s="20"/>
      <c r="AG139" s="21">
        <f t="shared" si="215"/>
        <v>180000</v>
      </c>
      <c r="AH139" s="25"/>
      <c r="AI139" s="20"/>
      <c r="AJ139" s="20"/>
      <c r="AK139" s="21">
        <f t="shared" si="216"/>
        <v>0</v>
      </c>
      <c r="AL139" s="25"/>
      <c r="AM139" s="20"/>
      <c r="AN139" s="20"/>
      <c r="AO139" s="21">
        <f t="shared" si="217"/>
        <v>0</v>
      </c>
      <c r="AP139" s="25"/>
      <c r="AQ139" s="25"/>
      <c r="AR139" s="25"/>
      <c r="AS139" s="25"/>
      <c r="AT139" s="20"/>
      <c r="AU139" s="20"/>
      <c r="AV139" s="21">
        <f t="shared" si="218"/>
        <v>0</v>
      </c>
      <c r="AW139" s="4">
        <f t="shared" si="219"/>
        <v>0</v>
      </c>
      <c r="AX139" s="4">
        <f t="shared" si="220"/>
        <v>0</v>
      </c>
      <c r="AY139" s="4">
        <f t="shared" si="221"/>
        <v>608000</v>
      </c>
      <c r="AZ139" s="4">
        <f t="shared" si="222"/>
        <v>180000</v>
      </c>
      <c r="BA139" s="94">
        <f t="shared" si="223"/>
        <v>0</v>
      </c>
      <c r="BB139" s="94">
        <f t="shared" si="224"/>
        <v>0</v>
      </c>
      <c r="BC139" s="9">
        <f t="shared" si="225"/>
        <v>788000</v>
      </c>
    </row>
    <row r="140" spans="1:55">
      <c r="A140" s="186"/>
      <c r="B140" s="8">
        <v>13</v>
      </c>
      <c r="C140" s="42" t="s">
        <v>261</v>
      </c>
      <c r="D140" s="43" t="s">
        <v>262</v>
      </c>
      <c r="E140" s="4" t="s">
        <v>258</v>
      </c>
      <c r="F140" s="4"/>
      <c r="G140" s="4"/>
      <c r="H140" s="4"/>
      <c r="I140" s="4"/>
      <c r="J140" s="4"/>
      <c r="K140" s="4"/>
      <c r="L140" s="9">
        <f t="shared" si="212"/>
        <v>0</v>
      </c>
      <c r="M140" s="4"/>
      <c r="N140" s="72"/>
      <c r="O140" s="4"/>
      <c r="P140" s="4"/>
      <c r="Q140" s="4"/>
      <c r="R140" s="4"/>
      <c r="S140" s="9">
        <f t="shared" si="213"/>
        <v>0</v>
      </c>
      <c r="T140" s="20"/>
      <c r="U140" s="20"/>
      <c r="V140" s="4">
        <v>290000</v>
      </c>
      <c r="W140" s="20">
        <v>1080000</v>
      </c>
      <c r="X140" s="20">
        <f>225000+225000+225000+225000+150000</f>
        <v>1050000</v>
      </c>
      <c r="Y140" s="20">
        <f>1965000+630000</f>
        <v>2595000</v>
      </c>
      <c r="Z140" s="9">
        <f t="shared" si="214"/>
        <v>5015000</v>
      </c>
      <c r="AA140" s="20"/>
      <c r="AB140" s="20"/>
      <c r="AC140" s="20"/>
      <c r="AD140" s="20"/>
      <c r="AE140" s="20"/>
      <c r="AF140" s="20"/>
      <c r="AG140" s="21">
        <f t="shared" si="215"/>
        <v>0</v>
      </c>
      <c r="AH140" s="25"/>
      <c r="AI140" s="20"/>
      <c r="AJ140" s="20"/>
      <c r="AK140" s="21">
        <f t="shared" si="216"/>
        <v>0</v>
      </c>
      <c r="AL140" s="25"/>
      <c r="AM140" s="20"/>
      <c r="AN140" s="20"/>
      <c r="AO140" s="21">
        <f t="shared" si="217"/>
        <v>0</v>
      </c>
      <c r="AP140" s="25"/>
      <c r="AQ140" s="25"/>
      <c r="AR140" s="25"/>
      <c r="AS140" s="25"/>
      <c r="AT140" s="20"/>
      <c r="AU140" s="20"/>
      <c r="AV140" s="21">
        <f t="shared" si="218"/>
        <v>0</v>
      </c>
      <c r="AW140" s="4">
        <f t="shared" si="219"/>
        <v>0</v>
      </c>
      <c r="AX140" s="4">
        <f t="shared" si="220"/>
        <v>0</v>
      </c>
      <c r="AY140" s="4">
        <f t="shared" si="221"/>
        <v>290000</v>
      </c>
      <c r="AZ140" s="4">
        <f t="shared" si="222"/>
        <v>1080000</v>
      </c>
      <c r="BA140" s="94">
        <f t="shared" si="223"/>
        <v>1050000</v>
      </c>
      <c r="BB140" s="94">
        <f t="shared" si="224"/>
        <v>2595000</v>
      </c>
      <c r="BC140" s="9">
        <f t="shared" si="225"/>
        <v>5015000</v>
      </c>
    </row>
    <row r="141" spans="1:55">
      <c r="A141" s="186"/>
      <c r="B141" s="8">
        <v>14</v>
      </c>
      <c r="C141" s="44" t="s">
        <v>263</v>
      </c>
      <c r="D141" s="45" t="s">
        <v>264</v>
      </c>
      <c r="E141" s="4" t="s">
        <v>258</v>
      </c>
      <c r="F141" s="4"/>
      <c r="G141" s="4"/>
      <c r="H141" s="4"/>
      <c r="I141" s="4"/>
      <c r="J141" s="4"/>
      <c r="K141" s="4"/>
      <c r="L141" s="9">
        <f t="shared" si="212"/>
        <v>0</v>
      </c>
      <c r="M141" s="76"/>
      <c r="N141" s="76"/>
      <c r="O141" s="76">
        <v>430000</v>
      </c>
      <c r="P141" s="76">
        <v>250000</v>
      </c>
      <c r="Q141" s="4">
        <f>890000+225000+225000+225000+150000</f>
        <v>1715000</v>
      </c>
      <c r="R141" s="4">
        <f>1665000+570000</f>
        <v>2235000</v>
      </c>
      <c r="S141" s="9">
        <f t="shared" si="213"/>
        <v>4630000</v>
      </c>
      <c r="T141" s="20"/>
      <c r="U141" s="20"/>
      <c r="V141" s="20"/>
      <c r="W141" s="20"/>
      <c r="X141" s="20"/>
      <c r="Y141" s="20"/>
      <c r="Z141" s="9">
        <f t="shared" si="214"/>
        <v>0</v>
      </c>
      <c r="AA141" s="20"/>
      <c r="AB141" s="20"/>
      <c r="AC141" s="20"/>
      <c r="AD141" s="20"/>
      <c r="AE141" s="20"/>
      <c r="AF141" s="20"/>
      <c r="AG141" s="21">
        <f t="shared" si="215"/>
        <v>0</v>
      </c>
      <c r="AH141" s="25"/>
      <c r="AI141" s="20"/>
      <c r="AJ141" s="20"/>
      <c r="AK141" s="21">
        <f t="shared" si="216"/>
        <v>0</v>
      </c>
      <c r="AL141" s="25"/>
      <c r="AM141" s="20"/>
      <c r="AN141" s="20"/>
      <c r="AO141" s="21">
        <f t="shared" si="217"/>
        <v>0</v>
      </c>
      <c r="AP141" s="25"/>
      <c r="AQ141" s="25"/>
      <c r="AR141" s="25"/>
      <c r="AS141" s="25"/>
      <c r="AT141" s="20"/>
      <c r="AU141" s="20"/>
      <c r="AV141" s="21">
        <f t="shared" si="218"/>
        <v>0</v>
      </c>
      <c r="AW141" s="4">
        <f t="shared" si="219"/>
        <v>0</v>
      </c>
      <c r="AX141" s="4">
        <f t="shared" si="220"/>
        <v>0</v>
      </c>
      <c r="AY141" s="4">
        <f t="shared" si="221"/>
        <v>430000</v>
      </c>
      <c r="AZ141" s="4">
        <f t="shared" si="222"/>
        <v>250000</v>
      </c>
      <c r="BA141" s="94">
        <f t="shared" si="223"/>
        <v>1715000</v>
      </c>
      <c r="BB141" s="94">
        <f t="shared" si="224"/>
        <v>2235000</v>
      </c>
      <c r="BC141" s="9">
        <f t="shared" si="225"/>
        <v>4630000</v>
      </c>
    </row>
    <row r="142" spans="1:55">
      <c r="A142" s="186"/>
      <c r="B142" s="8">
        <v>15</v>
      </c>
      <c r="C142" s="40" t="s">
        <v>265</v>
      </c>
      <c r="D142" s="47" t="s">
        <v>266</v>
      </c>
      <c r="E142" s="4" t="s">
        <v>258</v>
      </c>
      <c r="F142" s="4"/>
      <c r="G142" s="4"/>
      <c r="H142" s="4"/>
      <c r="I142" s="4"/>
      <c r="J142" s="4"/>
      <c r="K142" s="4"/>
      <c r="L142" s="9">
        <f t="shared" si="212"/>
        <v>0</v>
      </c>
      <c r="M142" s="76"/>
      <c r="N142" s="76">
        <v>1890000</v>
      </c>
      <c r="O142" s="76">
        <v>200000</v>
      </c>
      <c r="P142" s="76"/>
      <c r="Q142" s="4"/>
      <c r="R142" s="4"/>
      <c r="S142" s="9">
        <f t="shared" si="213"/>
        <v>2090000</v>
      </c>
      <c r="T142" s="20"/>
      <c r="U142" s="20"/>
      <c r="V142" s="20"/>
      <c r="W142" s="20"/>
      <c r="X142" s="20"/>
      <c r="Y142" s="20"/>
      <c r="Z142" s="9">
        <f t="shared" si="214"/>
        <v>0</v>
      </c>
      <c r="AA142" s="20"/>
      <c r="AB142" s="20"/>
      <c r="AC142" s="20"/>
      <c r="AD142" s="20"/>
      <c r="AE142" s="20"/>
      <c r="AF142" s="20"/>
      <c r="AG142" s="21">
        <f t="shared" si="215"/>
        <v>0</v>
      </c>
      <c r="AH142" s="25"/>
      <c r="AI142" s="20"/>
      <c r="AJ142" s="20"/>
      <c r="AK142" s="21">
        <f t="shared" si="216"/>
        <v>0</v>
      </c>
      <c r="AL142" s="25"/>
      <c r="AM142" s="20"/>
      <c r="AN142" s="20"/>
      <c r="AO142" s="21">
        <f t="shared" si="217"/>
        <v>0</v>
      </c>
      <c r="AP142" s="25"/>
      <c r="AQ142" s="25"/>
      <c r="AR142" s="25">
        <v>100000</v>
      </c>
      <c r="AS142" s="25"/>
      <c r="AT142" s="20"/>
      <c r="AU142" s="20"/>
      <c r="AV142" s="21">
        <f t="shared" si="218"/>
        <v>100000</v>
      </c>
      <c r="AW142" s="4">
        <f t="shared" si="219"/>
        <v>0</v>
      </c>
      <c r="AX142" s="4">
        <f t="shared" si="220"/>
        <v>1890000</v>
      </c>
      <c r="AY142" s="4">
        <f t="shared" si="221"/>
        <v>300000</v>
      </c>
      <c r="AZ142" s="4">
        <f t="shared" si="222"/>
        <v>0</v>
      </c>
      <c r="BA142" s="94">
        <f t="shared" si="223"/>
        <v>0</v>
      </c>
      <c r="BB142" s="94">
        <f t="shared" si="224"/>
        <v>0</v>
      </c>
      <c r="BC142" s="9">
        <f t="shared" si="225"/>
        <v>2190000</v>
      </c>
    </row>
    <row r="143" spans="1:55" ht="31.5">
      <c r="A143" s="187"/>
      <c r="B143" s="8">
        <v>16</v>
      </c>
      <c r="C143" s="1" t="s">
        <v>267</v>
      </c>
      <c r="D143" s="4" t="s">
        <v>268</v>
      </c>
      <c r="E143" s="4" t="s">
        <v>25</v>
      </c>
      <c r="F143" s="4"/>
      <c r="G143" s="4">
        <v>776500</v>
      </c>
      <c r="H143" s="4">
        <f>82500+159500+341000</f>
        <v>583000</v>
      </c>
      <c r="I143" s="4">
        <v>100000</v>
      </c>
      <c r="J143" s="4"/>
      <c r="K143" s="4"/>
      <c r="L143" s="9">
        <f t="shared" si="212"/>
        <v>1459500</v>
      </c>
      <c r="M143" s="76"/>
      <c r="N143" s="76">
        <v>1510000</v>
      </c>
      <c r="O143" s="76">
        <v>1530000</v>
      </c>
      <c r="P143" s="76">
        <f>(250000)-140000</f>
        <v>110000</v>
      </c>
      <c r="Q143" s="4"/>
      <c r="R143" s="4"/>
      <c r="S143" s="9">
        <f t="shared" si="213"/>
        <v>3150000</v>
      </c>
      <c r="T143" s="20"/>
      <c r="U143" s="20"/>
      <c r="V143" s="20"/>
      <c r="W143" s="20"/>
      <c r="X143" s="20"/>
      <c r="Y143" s="20"/>
      <c r="Z143" s="9">
        <f t="shared" si="214"/>
        <v>0</v>
      </c>
      <c r="AA143" s="20"/>
      <c r="AB143" s="25">
        <v>898250</v>
      </c>
      <c r="AC143" s="25">
        <v>572300</v>
      </c>
      <c r="AD143" s="25">
        <v>150000</v>
      </c>
      <c r="AE143" s="20"/>
      <c r="AF143" s="20"/>
      <c r="AG143" s="21">
        <f t="shared" si="215"/>
        <v>1620550</v>
      </c>
      <c r="AH143" s="25"/>
      <c r="AI143" s="20"/>
      <c r="AJ143" s="20"/>
      <c r="AK143" s="21">
        <f t="shared" si="216"/>
        <v>0</v>
      </c>
      <c r="AL143" s="25"/>
      <c r="AM143" s="20"/>
      <c r="AN143" s="20"/>
      <c r="AO143" s="21">
        <f t="shared" si="217"/>
        <v>0</v>
      </c>
      <c r="AP143" s="25"/>
      <c r="AQ143" s="25"/>
      <c r="AR143" s="25"/>
      <c r="AS143" s="25"/>
      <c r="AT143" s="20"/>
      <c r="AU143" s="20"/>
      <c r="AV143" s="21">
        <f t="shared" si="218"/>
        <v>0</v>
      </c>
      <c r="AW143" s="4">
        <f t="shared" si="219"/>
        <v>0</v>
      </c>
      <c r="AX143" s="4">
        <f t="shared" si="220"/>
        <v>3184750</v>
      </c>
      <c r="AY143" s="4">
        <f t="shared" si="221"/>
        <v>2685300</v>
      </c>
      <c r="AZ143" s="4">
        <f t="shared" si="222"/>
        <v>360000</v>
      </c>
      <c r="BA143" s="94">
        <f t="shared" si="223"/>
        <v>0</v>
      </c>
      <c r="BB143" s="94">
        <f t="shared" si="224"/>
        <v>0</v>
      </c>
      <c r="BC143" s="9">
        <f t="shared" si="225"/>
        <v>6230050</v>
      </c>
    </row>
    <row r="144" spans="1:55" s="38" customFormat="1">
      <c r="A144" s="34"/>
      <c r="B144" s="85"/>
      <c r="C144" s="35" t="s">
        <v>269</v>
      </c>
      <c r="D144" s="37"/>
      <c r="E144" s="37"/>
      <c r="F144" s="37">
        <f>SUM(F128:F143)</f>
        <v>310000</v>
      </c>
      <c r="G144" s="37">
        <f t="shared" ref="G144:BC144" si="226">SUM(G128:G143)</f>
        <v>1863500</v>
      </c>
      <c r="H144" s="37">
        <f t="shared" si="226"/>
        <v>2550000</v>
      </c>
      <c r="I144" s="37">
        <f t="shared" si="226"/>
        <v>540000</v>
      </c>
      <c r="J144" s="37">
        <f t="shared" si="226"/>
        <v>0</v>
      </c>
      <c r="K144" s="37">
        <f t="shared" si="226"/>
        <v>0</v>
      </c>
      <c r="L144" s="37">
        <f t="shared" si="226"/>
        <v>5263500</v>
      </c>
      <c r="M144" s="37">
        <f t="shared" si="226"/>
        <v>870000</v>
      </c>
      <c r="N144" s="37">
        <f t="shared" si="226"/>
        <v>8410000</v>
      </c>
      <c r="O144" s="37">
        <f t="shared" si="226"/>
        <v>8610000</v>
      </c>
      <c r="P144" s="37">
        <f t="shared" si="226"/>
        <v>1010000</v>
      </c>
      <c r="Q144" s="37">
        <f t="shared" si="226"/>
        <v>1715000</v>
      </c>
      <c r="R144" s="37">
        <f t="shared" si="226"/>
        <v>2235000</v>
      </c>
      <c r="S144" s="37">
        <f t="shared" si="226"/>
        <v>22850000</v>
      </c>
      <c r="T144" s="37">
        <f t="shared" si="226"/>
        <v>290000</v>
      </c>
      <c r="U144" s="37">
        <f t="shared" si="226"/>
        <v>4111000</v>
      </c>
      <c r="V144" s="37">
        <f t="shared" si="226"/>
        <v>3218000</v>
      </c>
      <c r="W144" s="37">
        <f t="shared" si="226"/>
        <v>2400000</v>
      </c>
      <c r="X144" s="37">
        <f t="shared" si="226"/>
        <v>1050000</v>
      </c>
      <c r="Y144" s="37">
        <f t="shared" si="226"/>
        <v>2595000</v>
      </c>
      <c r="Z144" s="37">
        <f t="shared" si="226"/>
        <v>13664000</v>
      </c>
      <c r="AA144" s="37">
        <f t="shared" si="226"/>
        <v>195000</v>
      </c>
      <c r="AB144" s="37">
        <f t="shared" si="226"/>
        <v>4428900</v>
      </c>
      <c r="AC144" s="37">
        <f t="shared" si="226"/>
        <v>2370400</v>
      </c>
      <c r="AD144" s="37">
        <f t="shared" si="226"/>
        <v>1979000</v>
      </c>
      <c r="AE144" s="37">
        <f t="shared" si="226"/>
        <v>490000</v>
      </c>
      <c r="AF144" s="37">
        <f t="shared" si="226"/>
        <v>1912175</v>
      </c>
      <c r="AG144" s="37">
        <f t="shared" si="226"/>
        <v>11375475</v>
      </c>
      <c r="AH144" s="37">
        <f t="shared" si="226"/>
        <v>1470000</v>
      </c>
      <c r="AI144" s="37">
        <f t="shared" si="226"/>
        <v>1365000</v>
      </c>
      <c r="AJ144" s="37">
        <f t="shared" si="226"/>
        <v>1849762</v>
      </c>
      <c r="AK144" s="37">
        <f t="shared" si="226"/>
        <v>4684762</v>
      </c>
      <c r="AL144" s="37">
        <f t="shared" si="226"/>
        <v>1800000</v>
      </c>
      <c r="AM144" s="37">
        <f t="shared" si="226"/>
        <v>2800000</v>
      </c>
      <c r="AN144" s="37">
        <f t="shared" si="226"/>
        <v>6231500</v>
      </c>
      <c r="AO144" s="37">
        <f t="shared" si="226"/>
        <v>10831500</v>
      </c>
      <c r="AP144" s="37">
        <f t="shared" si="226"/>
        <v>0</v>
      </c>
      <c r="AQ144" s="37">
        <f t="shared" si="226"/>
        <v>757600</v>
      </c>
      <c r="AR144" s="37">
        <f t="shared" si="226"/>
        <v>1262000</v>
      </c>
      <c r="AS144" s="37">
        <f t="shared" si="226"/>
        <v>120000</v>
      </c>
      <c r="AT144" s="37">
        <f t="shared" si="226"/>
        <v>0</v>
      </c>
      <c r="AU144" s="37">
        <f t="shared" si="226"/>
        <v>0</v>
      </c>
      <c r="AV144" s="37">
        <f t="shared" si="226"/>
        <v>2139600</v>
      </c>
      <c r="AW144" s="37">
        <f t="shared" si="226"/>
        <v>1665000</v>
      </c>
      <c r="AX144" s="37">
        <f t="shared" si="226"/>
        <v>19571000</v>
      </c>
      <c r="AY144" s="37">
        <f t="shared" si="226"/>
        <v>18010400</v>
      </c>
      <c r="AZ144" s="37">
        <f t="shared" si="226"/>
        <v>9319000</v>
      </c>
      <c r="BA144" s="37">
        <f t="shared" si="226"/>
        <v>7420000</v>
      </c>
      <c r="BB144" s="37">
        <f t="shared" si="226"/>
        <v>14823437</v>
      </c>
      <c r="BC144" s="37">
        <f t="shared" si="226"/>
        <v>70808837</v>
      </c>
    </row>
    <row r="145" spans="1:55">
      <c r="A145" s="185" t="s">
        <v>38</v>
      </c>
      <c r="B145" s="8">
        <v>1</v>
      </c>
      <c r="C145" s="1" t="s">
        <v>1</v>
      </c>
      <c r="D145" s="5" t="s">
        <v>415</v>
      </c>
      <c r="E145" s="4" t="s">
        <v>38</v>
      </c>
      <c r="F145" s="4"/>
      <c r="G145" s="4"/>
      <c r="H145" s="4"/>
      <c r="I145" s="4"/>
      <c r="J145" s="4"/>
      <c r="K145" s="4"/>
      <c r="L145" s="9">
        <f t="shared" ref="L145:L146" si="227">SUM(F145:K145)</f>
        <v>0</v>
      </c>
      <c r="M145" s="4"/>
      <c r="N145" s="4"/>
      <c r="O145" s="4"/>
      <c r="P145" s="4"/>
      <c r="Q145" s="4"/>
      <c r="R145" s="4"/>
      <c r="S145" s="9">
        <f t="shared" ref="S145:S146" si="228">SUM(M145:R145)</f>
        <v>0</v>
      </c>
      <c r="T145" s="20"/>
      <c r="U145" s="20"/>
      <c r="V145" s="20"/>
      <c r="W145" s="20"/>
      <c r="X145" s="20"/>
      <c r="Y145" s="20"/>
      <c r="Z145" s="9">
        <f t="shared" ref="Z145:Z146" si="229">SUM(T145:Y145)</f>
        <v>0</v>
      </c>
      <c r="AA145" s="20"/>
      <c r="AB145" s="25">
        <v>694100</v>
      </c>
      <c r="AC145" s="25">
        <v>478450</v>
      </c>
      <c r="AD145" s="24">
        <v>570000</v>
      </c>
      <c r="AE145" s="20">
        <f>458500+304000</f>
        <v>762500</v>
      </c>
      <c r="AF145" s="20">
        <f>450450+114910+61860</f>
        <v>627220</v>
      </c>
      <c r="AG145" s="21">
        <f t="shared" ref="AG145:AG146" si="230">SUM(AA145:AF145)</f>
        <v>3132270</v>
      </c>
      <c r="AH145" s="25"/>
      <c r="AI145" s="20"/>
      <c r="AJ145" s="20"/>
      <c r="AK145" s="21">
        <f t="shared" ref="AK145:AK146" si="231">SUM(AH145:AJ145)</f>
        <v>0</v>
      </c>
      <c r="AL145" s="25"/>
      <c r="AM145" s="20"/>
      <c r="AN145" s="20"/>
      <c r="AO145" s="21">
        <f t="shared" ref="AO145:AO146" si="232">SUM(AL145:AN145)</f>
        <v>0</v>
      </c>
      <c r="AP145" s="25"/>
      <c r="AQ145" s="25"/>
      <c r="AR145" s="25"/>
      <c r="AS145" s="25"/>
      <c r="AT145" s="20"/>
      <c r="AU145" s="20"/>
      <c r="AV145" s="21">
        <f t="shared" ref="AV145:AV146" si="233">SUM(AP145:AU145)</f>
        <v>0</v>
      </c>
      <c r="AW145" s="4">
        <f t="shared" ref="AW145:AY146" si="234">F145+M145+T145+AA145+AP145</f>
        <v>0</v>
      </c>
      <c r="AX145" s="4">
        <f t="shared" si="234"/>
        <v>694100</v>
      </c>
      <c r="AY145" s="4">
        <f t="shared" si="234"/>
        <v>478450</v>
      </c>
      <c r="AZ145" s="4">
        <f>I145+P145+W145+AD145+AH145+AL145+AS145</f>
        <v>570000</v>
      </c>
      <c r="BA145" s="94">
        <f>J145+Q145+X145+AE145+AI145+AM145+AT145</f>
        <v>762500</v>
      </c>
      <c r="BB145" s="94">
        <f t="shared" ref="BB145:BB146" si="235">K145+R145+Y145+AF145+AJ145+AN145+AU145</f>
        <v>627220</v>
      </c>
      <c r="BC145" s="9">
        <f t="shared" ref="BC145:BC146" si="236">SUM(AW145:BB145)</f>
        <v>3132270</v>
      </c>
    </row>
    <row r="146" spans="1:55">
      <c r="A146" s="187"/>
      <c r="B146" s="8">
        <v>2</v>
      </c>
      <c r="C146" s="1" t="s">
        <v>6</v>
      </c>
      <c r="D146" s="4" t="s">
        <v>37</v>
      </c>
      <c r="E146" s="4" t="s">
        <v>38</v>
      </c>
      <c r="F146" s="4"/>
      <c r="G146" s="4">
        <v>155000</v>
      </c>
      <c r="H146" s="4">
        <v>354000</v>
      </c>
      <c r="I146" s="4">
        <f>80000+20000+20000</f>
        <v>120000</v>
      </c>
      <c r="J146" s="4"/>
      <c r="K146" s="4"/>
      <c r="L146" s="9">
        <f t="shared" si="227"/>
        <v>629000</v>
      </c>
      <c r="M146" s="4"/>
      <c r="N146" s="4"/>
      <c r="O146" s="4"/>
      <c r="P146" s="4"/>
      <c r="Q146" s="4"/>
      <c r="R146" s="4"/>
      <c r="S146" s="9">
        <f t="shared" si="228"/>
        <v>0</v>
      </c>
      <c r="T146" s="20"/>
      <c r="U146" s="20"/>
      <c r="V146" s="20"/>
      <c r="W146" s="20"/>
      <c r="X146" s="20"/>
      <c r="Y146" s="20"/>
      <c r="Z146" s="9">
        <f t="shared" si="229"/>
        <v>0</v>
      </c>
      <c r="AA146" s="20"/>
      <c r="AB146" s="20">
        <v>287625</v>
      </c>
      <c r="AC146" s="25">
        <v>488550</v>
      </c>
      <c r="AD146" s="24">
        <v>180000</v>
      </c>
      <c r="AE146" s="20"/>
      <c r="AF146" s="20"/>
      <c r="AG146" s="21">
        <f t="shared" si="230"/>
        <v>956175</v>
      </c>
      <c r="AH146" s="25">
        <f>315000+210000+105000</f>
        <v>630000</v>
      </c>
      <c r="AI146" s="20">
        <f>542500+261000+274500+291500+207000</f>
        <v>1576500</v>
      </c>
      <c r="AJ146" s="20">
        <f>1398500+312000+156000</f>
        <v>1866500</v>
      </c>
      <c r="AK146" s="21">
        <f t="shared" si="231"/>
        <v>4073000</v>
      </c>
      <c r="AL146" s="25"/>
      <c r="AM146" s="20"/>
      <c r="AN146" s="20"/>
      <c r="AO146" s="21">
        <f t="shared" si="232"/>
        <v>0</v>
      </c>
      <c r="AP146" s="25"/>
      <c r="AQ146" s="25"/>
      <c r="AR146" s="25"/>
      <c r="AS146" s="25"/>
      <c r="AT146" s="20"/>
      <c r="AU146" s="20"/>
      <c r="AV146" s="21">
        <f t="shared" si="233"/>
        <v>0</v>
      </c>
      <c r="AW146" s="4">
        <f t="shared" si="234"/>
        <v>0</v>
      </c>
      <c r="AX146" s="4">
        <f t="shared" si="234"/>
        <v>442625</v>
      </c>
      <c r="AY146" s="4">
        <f t="shared" si="234"/>
        <v>842550</v>
      </c>
      <c r="AZ146" s="4">
        <f>I146+P146+W146+AD146+AH146+AL146+AS146</f>
        <v>930000</v>
      </c>
      <c r="BA146" s="94">
        <f>J146+Q146+X146+AE146+AI146+AM146+AT146</f>
        <v>1576500</v>
      </c>
      <c r="BB146" s="94">
        <f t="shared" si="235"/>
        <v>1866500</v>
      </c>
      <c r="BC146" s="9">
        <f t="shared" si="236"/>
        <v>5658175</v>
      </c>
    </row>
    <row r="147" spans="1:55" s="38" customFormat="1">
      <c r="A147" s="34"/>
      <c r="B147" s="34"/>
      <c r="C147" s="35" t="s">
        <v>270</v>
      </c>
      <c r="D147" s="37"/>
      <c r="E147" s="37"/>
      <c r="F147" s="37">
        <f>SUM(F145:F146)</f>
        <v>0</v>
      </c>
      <c r="G147" s="37">
        <f t="shared" ref="G147:BC147" si="237">SUM(G145:G146)</f>
        <v>155000</v>
      </c>
      <c r="H147" s="37">
        <f t="shared" si="237"/>
        <v>354000</v>
      </c>
      <c r="I147" s="37">
        <f t="shared" si="237"/>
        <v>120000</v>
      </c>
      <c r="J147" s="37">
        <f t="shared" si="237"/>
        <v>0</v>
      </c>
      <c r="K147" s="37">
        <f t="shared" si="237"/>
        <v>0</v>
      </c>
      <c r="L147" s="37">
        <f t="shared" si="237"/>
        <v>629000</v>
      </c>
      <c r="M147" s="37">
        <f t="shared" si="237"/>
        <v>0</v>
      </c>
      <c r="N147" s="37">
        <f t="shared" si="237"/>
        <v>0</v>
      </c>
      <c r="O147" s="37">
        <f t="shared" si="237"/>
        <v>0</v>
      </c>
      <c r="P147" s="37">
        <f t="shared" si="237"/>
        <v>0</v>
      </c>
      <c r="Q147" s="37">
        <f t="shared" si="237"/>
        <v>0</v>
      </c>
      <c r="R147" s="37">
        <f t="shared" si="237"/>
        <v>0</v>
      </c>
      <c r="S147" s="37">
        <f t="shared" si="237"/>
        <v>0</v>
      </c>
      <c r="T147" s="37">
        <f t="shared" si="237"/>
        <v>0</v>
      </c>
      <c r="U147" s="37">
        <f t="shared" si="237"/>
        <v>0</v>
      </c>
      <c r="V147" s="37">
        <f t="shared" si="237"/>
        <v>0</v>
      </c>
      <c r="W147" s="37">
        <f t="shared" si="237"/>
        <v>0</v>
      </c>
      <c r="X147" s="37">
        <f t="shared" si="237"/>
        <v>0</v>
      </c>
      <c r="Y147" s="37">
        <f t="shared" si="237"/>
        <v>0</v>
      </c>
      <c r="Z147" s="37">
        <f t="shared" si="237"/>
        <v>0</v>
      </c>
      <c r="AA147" s="37">
        <f t="shared" si="237"/>
        <v>0</v>
      </c>
      <c r="AB147" s="37">
        <f t="shared" si="237"/>
        <v>981725</v>
      </c>
      <c r="AC147" s="37">
        <f t="shared" si="237"/>
        <v>967000</v>
      </c>
      <c r="AD147" s="37">
        <f t="shared" si="237"/>
        <v>750000</v>
      </c>
      <c r="AE147" s="37">
        <f t="shared" si="237"/>
        <v>762500</v>
      </c>
      <c r="AF147" s="37">
        <f t="shared" si="237"/>
        <v>627220</v>
      </c>
      <c r="AG147" s="37">
        <f t="shared" si="237"/>
        <v>4088445</v>
      </c>
      <c r="AH147" s="37">
        <f t="shared" si="237"/>
        <v>630000</v>
      </c>
      <c r="AI147" s="37">
        <f t="shared" si="237"/>
        <v>1576500</v>
      </c>
      <c r="AJ147" s="37">
        <f t="shared" si="237"/>
        <v>1866500</v>
      </c>
      <c r="AK147" s="37">
        <f t="shared" si="237"/>
        <v>4073000</v>
      </c>
      <c r="AL147" s="37">
        <f t="shared" si="237"/>
        <v>0</v>
      </c>
      <c r="AM147" s="37">
        <f t="shared" si="237"/>
        <v>0</v>
      </c>
      <c r="AN147" s="37">
        <f t="shared" si="237"/>
        <v>0</v>
      </c>
      <c r="AO147" s="37">
        <f t="shared" si="237"/>
        <v>0</v>
      </c>
      <c r="AP147" s="37">
        <f t="shared" si="237"/>
        <v>0</v>
      </c>
      <c r="AQ147" s="37">
        <f t="shared" si="237"/>
        <v>0</v>
      </c>
      <c r="AR147" s="37">
        <f t="shared" si="237"/>
        <v>0</v>
      </c>
      <c r="AS147" s="37">
        <f t="shared" si="237"/>
        <v>0</v>
      </c>
      <c r="AT147" s="37">
        <f t="shared" si="237"/>
        <v>0</v>
      </c>
      <c r="AU147" s="37">
        <f t="shared" si="237"/>
        <v>0</v>
      </c>
      <c r="AV147" s="37">
        <f t="shared" si="237"/>
        <v>0</v>
      </c>
      <c r="AW147" s="37">
        <f t="shared" si="237"/>
        <v>0</v>
      </c>
      <c r="AX147" s="37">
        <f t="shared" si="237"/>
        <v>1136725</v>
      </c>
      <c r="AY147" s="37">
        <f t="shared" si="237"/>
        <v>1321000</v>
      </c>
      <c r="AZ147" s="37">
        <f t="shared" si="237"/>
        <v>1500000</v>
      </c>
      <c r="BA147" s="37">
        <f t="shared" si="237"/>
        <v>2339000</v>
      </c>
      <c r="BB147" s="37">
        <f t="shared" si="237"/>
        <v>2493720</v>
      </c>
      <c r="BC147" s="37">
        <f t="shared" si="237"/>
        <v>8790445</v>
      </c>
    </row>
    <row r="148" spans="1:55" ht="31.5">
      <c r="A148" s="108" t="s">
        <v>271</v>
      </c>
      <c r="B148" s="8">
        <v>1</v>
      </c>
      <c r="C148" s="44" t="s">
        <v>272</v>
      </c>
      <c r="D148" s="45" t="s">
        <v>271</v>
      </c>
      <c r="E148" s="45" t="s">
        <v>273</v>
      </c>
      <c r="F148" s="4"/>
      <c r="G148" s="4"/>
      <c r="H148" s="5"/>
      <c r="I148" s="4"/>
      <c r="J148" s="4"/>
      <c r="K148" s="4"/>
      <c r="L148" s="9">
        <f>SUM(F148:K148)</f>
        <v>0</v>
      </c>
      <c r="M148" s="76"/>
      <c r="N148" s="76"/>
      <c r="O148" s="76">
        <v>290000</v>
      </c>
      <c r="P148" s="76"/>
      <c r="Q148" s="4"/>
      <c r="R148" s="4">
        <f>1725000+570000</f>
        <v>2295000</v>
      </c>
      <c r="S148" s="9">
        <f>SUM(M148:R148)</f>
        <v>2585000</v>
      </c>
      <c r="T148" s="20"/>
      <c r="U148" s="20"/>
      <c r="V148" s="20"/>
      <c r="W148" s="20"/>
      <c r="X148" s="20"/>
      <c r="Y148" s="20"/>
      <c r="Z148" s="9">
        <f>SUM(T148:Y148)</f>
        <v>0</v>
      </c>
      <c r="AA148" s="20"/>
      <c r="AB148" s="20"/>
      <c r="AC148" s="25"/>
      <c r="AD148" s="25"/>
      <c r="AE148" s="20"/>
      <c r="AF148" s="20"/>
      <c r="AG148" s="21">
        <f>SUM(AA148:AE148)</f>
        <v>0</v>
      </c>
      <c r="AH148" s="25"/>
      <c r="AI148" s="20"/>
      <c r="AJ148" s="20"/>
      <c r="AK148" s="21">
        <f>SUM(AH148:AJ148)</f>
        <v>0</v>
      </c>
      <c r="AL148" s="25"/>
      <c r="AM148" s="20"/>
      <c r="AN148" s="20"/>
      <c r="AO148" s="21">
        <f>SUM(AL148:AN148)</f>
        <v>0</v>
      </c>
      <c r="AP148" s="25"/>
      <c r="AQ148" s="25"/>
      <c r="AR148" s="25"/>
      <c r="AS148" s="25"/>
      <c r="AT148" s="20"/>
      <c r="AU148" s="20"/>
      <c r="AV148" s="21">
        <f>SUM(AP148:AU148)</f>
        <v>0</v>
      </c>
      <c r="AW148" s="4">
        <f>F148+M148+T148+AA148+AP148</f>
        <v>0</v>
      </c>
      <c r="AX148" s="4">
        <f>G148+N148+U148+AB148+AQ148</f>
        <v>0</v>
      </c>
      <c r="AY148" s="4">
        <f>H148+O148+V148+AC148+AR148</f>
        <v>290000</v>
      </c>
      <c r="AZ148" s="4">
        <f>I148+P148+W148+AD148+AH148+AL148+AS148</f>
        <v>0</v>
      </c>
      <c r="BA148" s="94">
        <f>J148+Q148+X148+AE148+AI148+AM148+AT148</f>
        <v>0</v>
      </c>
      <c r="BB148" s="94">
        <f>K148+R148+Y148+AF148+AJ148+AN148+AU148</f>
        <v>2295000</v>
      </c>
      <c r="BC148" s="9">
        <f>SUM(AW148:BB148)</f>
        <v>2585000</v>
      </c>
    </row>
    <row r="149" spans="1:55" s="38" customFormat="1">
      <c r="A149" s="34"/>
      <c r="B149" s="34"/>
      <c r="C149" s="48" t="s">
        <v>274</v>
      </c>
      <c r="D149" s="49"/>
      <c r="E149" s="49"/>
      <c r="F149" s="37">
        <f>F148</f>
        <v>0</v>
      </c>
      <c r="G149" s="37">
        <f t="shared" ref="G149:BC149" si="238">G148</f>
        <v>0</v>
      </c>
      <c r="H149" s="37">
        <f t="shared" si="238"/>
        <v>0</v>
      </c>
      <c r="I149" s="37">
        <f t="shared" ref="I149" si="239">SUM(I148)</f>
        <v>0</v>
      </c>
      <c r="J149" s="37">
        <f t="shared" si="238"/>
        <v>0</v>
      </c>
      <c r="K149" s="37">
        <f t="shared" si="238"/>
        <v>0</v>
      </c>
      <c r="L149" s="37">
        <f t="shared" si="238"/>
        <v>0</v>
      </c>
      <c r="M149" s="37">
        <f t="shared" si="238"/>
        <v>0</v>
      </c>
      <c r="N149" s="37">
        <f t="shared" si="238"/>
        <v>0</v>
      </c>
      <c r="O149" s="37">
        <f t="shared" si="238"/>
        <v>290000</v>
      </c>
      <c r="P149" s="37">
        <f t="shared" ref="P149" si="240">SUM(P148)</f>
        <v>0</v>
      </c>
      <c r="Q149" s="37">
        <f t="shared" si="238"/>
        <v>0</v>
      </c>
      <c r="R149" s="37">
        <f t="shared" si="238"/>
        <v>2295000</v>
      </c>
      <c r="S149" s="37">
        <f t="shared" si="238"/>
        <v>2585000</v>
      </c>
      <c r="T149" s="37">
        <f t="shared" si="238"/>
        <v>0</v>
      </c>
      <c r="U149" s="37">
        <f t="shared" si="238"/>
        <v>0</v>
      </c>
      <c r="V149" s="37">
        <f t="shared" si="238"/>
        <v>0</v>
      </c>
      <c r="W149" s="37">
        <f t="shared" ref="W149:Y149" si="241">SUM(W148)</f>
        <v>0</v>
      </c>
      <c r="X149" s="37">
        <f t="shared" si="241"/>
        <v>0</v>
      </c>
      <c r="Y149" s="37">
        <f t="shared" si="241"/>
        <v>0</v>
      </c>
      <c r="Z149" s="37">
        <f t="shared" si="238"/>
        <v>0</v>
      </c>
      <c r="AA149" s="37">
        <f t="shared" si="238"/>
        <v>0</v>
      </c>
      <c r="AB149" s="37">
        <f t="shared" si="238"/>
        <v>0</v>
      </c>
      <c r="AC149" s="37">
        <f t="shared" si="238"/>
        <v>0</v>
      </c>
      <c r="AD149" s="37">
        <f t="shared" ref="AD149" si="242">SUM(AD148)</f>
        <v>0</v>
      </c>
      <c r="AE149" s="37">
        <f t="shared" si="238"/>
        <v>0</v>
      </c>
      <c r="AF149" s="37">
        <f t="shared" si="238"/>
        <v>0</v>
      </c>
      <c r="AG149" s="37">
        <f t="shared" si="238"/>
        <v>0</v>
      </c>
      <c r="AH149" s="37">
        <f t="shared" ref="AH149" si="243">SUM(AH148)</f>
        <v>0</v>
      </c>
      <c r="AI149" s="37">
        <f t="shared" si="238"/>
        <v>0</v>
      </c>
      <c r="AJ149" s="37">
        <f t="shared" si="238"/>
        <v>0</v>
      </c>
      <c r="AK149" s="37">
        <f t="shared" si="238"/>
        <v>0</v>
      </c>
      <c r="AL149" s="37">
        <f t="shared" ref="AL149" si="244">SUM(AL148)</f>
        <v>0</v>
      </c>
      <c r="AM149" s="37">
        <f t="shared" si="238"/>
        <v>0</v>
      </c>
      <c r="AN149" s="37">
        <f t="shared" si="238"/>
        <v>0</v>
      </c>
      <c r="AO149" s="37">
        <f t="shared" si="238"/>
        <v>0</v>
      </c>
      <c r="AP149" s="37">
        <f t="shared" si="238"/>
        <v>0</v>
      </c>
      <c r="AQ149" s="37">
        <f t="shared" si="238"/>
        <v>0</v>
      </c>
      <c r="AR149" s="37">
        <f t="shared" si="238"/>
        <v>0</v>
      </c>
      <c r="AS149" s="37">
        <f t="shared" ref="AS149" si="245">SUM(AS148)</f>
        <v>0</v>
      </c>
      <c r="AT149" s="37">
        <f t="shared" si="238"/>
        <v>0</v>
      </c>
      <c r="AU149" s="37">
        <f t="shared" si="238"/>
        <v>0</v>
      </c>
      <c r="AV149" s="37">
        <f t="shared" si="238"/>
        <v>0</v>
      </c>
      <c r="AW149" s="37">
        <f t="shared" si="238"/>
        <v>0</v>
      </c>
      <c r="AX149" s="37">
        <f t="shared" si="238"/>
        <v>0</v>
      </c>
      <c r="AY149" s="37">
        <f t="shared" si="238"/>
        <v>290000</v>
      </c>
      <c r="AZ149" s="37">
        <f t="shared" si="238"/>
        <v>0</v>
      </c>
      <c r="BA149" s="37">
        <f t="shared" si="238"/>
        <v>0</v>
      </c>
      <c r="BB149" s="37">
        <f t="shared" si="238"/>
        <v>2295000</v>
      </c>
      <c r="BC149" s="37">
        <f t="shared" si="238"/>
        <v>2585000</v>
      </c>
    </row>
    <row r="150" spans="1:55">
      <c r="A150" s="185" t="s">
        <v>275</v>
      </c>
      <c r="B150" s="8">
        <v>1</v>
      </c>
      <c r="C150" s="1" t="s">
        <v>276</v>
      </c>
      <c r="D150" s="4" t="s">
        <v>277</v>
      </c>
      <c r="E150" s="4" t="s">
        <v>275</v>
      </c>
      <c r="F150" s="4"/>
      <c r="G150" s="4">
        <v>705000</v>
      </c>
      <c r="H150" s="4">
        <f>110000+65000+265000</f>
        <v>440000</v>
      </c>
      <c r="I150" s="4"/>
      <c r="J150" s="4"/>
      <c r="K150" s="4"/>
      <c r="L150" s="9">
        <f t="shared" ref="L150:L154" si="246">SUM(F150:K150)</f>
        <v>1145000</v>
      </c>
      <c r="M150" s="4"/>
      <c r="N150" s="4"/>
      <c r="O150" s="4"/>
      <c r="P150" s="4"/>
      <c r="Q150" s="4"/>
      <c r="R150" s="4"/>
      <c r="S150" s="9">
        <f t="shared" ref="S150:S154" si="247">SUM(M150:R150)</f>
        <v>0</v>
      </c>
      <c r="T150" s="20"/>
      <c r="U150" s="20">
        <v>1340000</v>
      </c>
      <c r="V150" s="4">
        <v>826000</v>
      </c>
      <c r="W150" s="22"/>
      <c r="X150" s="22"/>
      <c r="Y150" s="22"/>
      <c r="Z150" s="9">
        <f t="shared" ref="Z150:Z154" si="248">SUM(T150:Y150)</f>
        <v>2166000</v>
      </c>
      <c r="AA150" s="20"/>
      <c r="AB150" s="25">
        <v>1068000</v>
      </c>
      <c r="AC150" s="25">
        <v>582000</v>
      </c>
      <c r="AD150" s="25"/>
      <c r="AE150" s="20"/>
      <c r="AF150" s="20"/>
      <c r="AG150" s="21">
        <f t="shared" ref="AG150:AG154" si="249">SUM(AA150:AF150)</f>
        <v>1650000</v>
      </c>
      <c r="AH150" s="25"/>
      <c r="AI150" s="20"/>
      <c r="AJ150" s="20"/>
      <c r="AK150" s="21">
        <f t="shared" ref="AK150:AK154" si="250">SUM(AH150:AJ150)</f>
        <v>0</v>
      </c>
      <c r="AL150" s="25"/>
      <c r="AM150" s="20"/>
      <c r="AN150" s="20"/>
      <c r="AO150" s="21">
        <f t="shared" ref="AO150:AO154" si="251">SUM(AL150:AN150)</f>
        <v>0</v>
      </c>
      <c r="AP150" s="25"/>
      <c r="AQ150" s="25"/>
      <c r="AR150" s="25"/>
      <c r="AS150" s="25"/>
      <c r="AT150" s="20"/>
      <c r="AU150" s="20"/>
      <c r="AV150" s="21">
        <f t="shared" ref="AV150:AV154" si="252">SUM(AP150:AU150)</f>
        <v>0</v>
      </c>
      <c r="AW150" s="4">
        <f t="shared" ref="AW150:AY154" si="253">F150+M150+T150+AA150+AP150</f>
        <v>0</v>
      </c>
      <c r="AX150" s="4">
        <f t="shared" si="253"/>
        <v>3113000</v>
      </c>
      <c r="AY150" s="4">
        <f t="shared" si="253"/>
        <v>1848000</v>
      </c>
      <c r="AZ150" s="4">
        <f t="shared" ref="AZ150:BA154" si="254">I150+P150+W150+AD150+AH150+AL150+AS150</f>
        <v>0</v>
      </c>
      <c r="BA150" s="94">
        <f t="shared" si="254"/>
        <v>0</v>
      </c>
      <c r="BB150" s="94">
        <f t="shared" ref="BB150:BB154" si="255">K150+R150+Y150+AF150+AJ150+AN150+AU150</f>
        <v>0</v>
      </c>
      <c r="BC150" s="9">
        <f t="shared" ref="BC150:BC154" si="256">SUM(AW150:BB150)</f>
        <v>4961000</v>
      </c>
    </row>
    <row r="151" spans="1:55" ht="31.5">
      <c r="A151" s="186"/>
      <c r="B151" s="8">
        <v>2</v>
      </c>
      <c r="C151" s="40" t="s">
        <v>278</v>
      </c>
      <c r="D151" s="41" t="s">
        <v>279</v>
      </c>
      <c r="E151" s="4" t="s">
        <v>275</v>
      </c>
      <c r="F151" s="4"/>
      <c r="G151" s="4"/>
      <c r="H151" s="4"/>
      <c r="I151" s="4"/>
      <c r="J151" s="4"/>
      <c r="K151" s="4"/>
      <c r="L151" s="9">
        <f t="shared" si="246"/>
        <v>0</v>
      </c>
      <c r="M151" s="76"/>
      <c r="N151" s="76"/>
      <c r="O151" s="76">
        <v>360000</v>
      </c>
      <c r="P151" s="76">
        <v>705000</v>
      </c>
      <c r="Q151" s="4">
        <f>130000+225000+135000+120000+90000</f>
        <v>700000</v>
      </c>
      <c r="R151" s="4">
        <f>895000+330000</f>
        <v>1225000</v>
      </c>
      <c r="S151" s="9">
        <f t="shared" si="247"/>
        <v>2990000</v>
      </c>
      <c r="T151" s="20"/>
      <c r="U151" s="20"/>
      <c r="V151" s="20"/>
      <c r="W151" s="20"/>
      <c r="X151" s="20"/>
      <c r="Y151" s="20"/>
      <c r="Z151" s="9">
        <f t="shared" si="248"/>
        <v>0</v>
      </c>
      <c r="AA151" s="20"/>
      <c r="AB151" s="25"/>
      <c r="AC151" s="25"/>
      <c r="AD151" s="25"/>
      <c r="AE151" s="20"/>
      <c r="AF151" s="20"/>
      <c r="AG151" s="21">
        <f t="shared" si="249"/>
        <v>0</v>
      </c>
      <c r="AH151" s="25"/>
      <c r="AI151" s="20"/>
      <c r="AJ151" s="20"/>
      <c r="AK151" s="21">
        <f t="shared" si="250"/>
        <v>0</v>
      </c>
      <c r="AL151" s="25"/>
      <c r="AM151" s="20"/>
      <c r="AN151" s="20"/>
      <c r="AO151" s="21">
        <f t="shared" si="251"/>
        <v>0</v>
      </c>
      <c r="AP151" s="25"/>
      <c r="AQ151" s="25"/>
      <c r="AR151" s="25"/>
      <c r="AS151" s="25"/>
      <c r="AT151" s="20"/>
      <c r="AU151" s="20"/>
      <c r="AV151" s="21">
        <f t="shared" si="252"/>
        <v>0</v>
      </c>
      <c r="AW151" s="4">
        <f t="shared" si="253"/>
        <v>0</v>
      </c>
      <c r="AX151" s="4">
        <f t="shared" si="253"/>
        <v>0</v>
      </c>
      <c r="AY151" s="4">
        <f t="shared" si="253"/>
        <v>360000</v>
      </c>
      <c r="AZ151" s="4">
        <f t="shared" si="254"/>
        <v>705000</v>
      </c>
      <c r="BA151" s="94">
        <f t="shared" si="254"/>
        <v>700000</v>
      </c>
      <c r="BB151" s="94">
        <f t="shared" si="255"/>
        <v>1225000</v>
      </c>
      <c r="BC151" s="9">
        <f t="shared" si="256"/>
        <v>2990000</v>
      </c>
    </row>
    <row r="152" spans="1:55">
      <c r="A152" s="186"/>
      <c r="B152" s="8">
        <v>3</v>
      </c>
      <c r="C152" s="1" t="s">
        <v>280</v>
      </c>
      <c r="D152" s="41" t="s">
        <v>416</v>
      </c>
      <c r="E152" s="4" t="s">
        <v>275</v>
      </c>
      <c r="F152" s="4"/>
      <c r="G152" s="4"/>
      <c r="H152" s="4">
        <v>-155000</v>
      </c>
      <c r="I152" s="4"/>
      <c r="J152" s="4"/>
      <c r="K152" s="4"/>
      <c r="L152" s="9">
        <f t="shared" si="246"/>
        <v>-155000</v>
      </c>
      <c r="M152" s="4"/>
      <c r="N152" s="4"/>
      <c r="O152" s="4"/>
      <c r="P152" s="4"/>
      <c r="Q152" s="4"/>
      <c r="R152" s="4"/>
      <c r="S152" s="9">
        <f t="shared" si="247"/>
        <v>0</v>
      </c>
      <c r="T152" s="20"/>
      <c r="U152" s="22">
        <v>290000</v>
      </c>
      <c r="V152" s="20"/>
      <c r="W152" s="20">
        <v>-135000</v>
      </c>
      <c r="X152" s="20"/>
      <c r="Y152" s="20"/>
      <c r="Z152" s="9">
        <f t="shared" si="248"/>
        <v>155000</v>
      </c>
      <c r="AA152" s="20"/>
      <c r="AB152" s="25"/>
      <c r="AC152" s="20"/>
      <c r="AD152" s="20"/>
      <c r="AE152" s="20"/>
      <c r="AF152" s="20"/>
      <c r="AG152" s="21">
        <f t="shared" si="249"/>
        <v>0</v>
      </c>
      <c r="AH152" s="25"/>
      <c r="AI152" s="20"/>
      <c r="AJ152" s="20"/>
      <c r="AK152" s="21">
        <f t="shared" si="250"/>
        <v>0</v>
      </c>
      <c r="AL152" s="25"/>
      <c r="AM152" s="20"/>
      <c r="AN152" s="20"/>
      <c r="AO152" s="21">
        <f t="shared" si="251"/>
        <v>0</v>
      </c>
      <c r="AP152" s="25"/>
      <c r="AQ152" s="25"/>
      <c r="AR152" s="25"/>
      <c r="AS152" s="25"/>
      <c r="AT152" s="20"/>
      <c r="AU152" s="20"/>
      <c r="AV152" s="21">
        <f t="shared" si="252"/>
        <v>0</v>
      </c>
      <c r="AW152" s="4">
        <f t="shared" si="253"/>
        <v>0</v>
      </c>
      <c r="AX152" s="4">
        <f t="shared" si="253"/>
        <v>290000</v>
      </c>
      <c r="AY152" s="4">
        <f t="shared" si="253"/>
        <v>-155000</v>
      </c>
      <c r="AZ152" s="4">
        <f t="shared" si="254"/>
        <v>-135000</v>
      </c>
      <c r="BA152" s="94">
        <f t="shared" si="254"/>
        <v>0</v>
      </c>
      <c r="BB152" s="94">
        <f t="shared" si="255"/>
        <v>0</v>
      </c>
      <c r="BC152" s="9">
        <f t="shared" si="256"/>
        <v>0</v>
      </c>
    </row>
    <row r="153" spans="1:55">
      <c r="A153" s="186"/>
      <c r="B153" s="8">
        <v>4</v>
      </c>
      <c r="C153" s="1" t="s">
        <v>281</v>
      </c>
      <c r="D153" s="4" t="s">
        <v>282</v>
      </c>
      <c r="E153" s="4" t="s">
        <v>275</v>
      </c>
      <c r="F153" s="4"/>
      <c r="G153" s="4">
        <v>155000</v>
      </c>
      <c r="H153" s="4"/>
      <c r="I153" s="4">
        <v>72000</v>
      </c>
      <c r="J153" s="4"/>
      <c r="K153" s="4"/>
      <c r="L153" s="9">
        <f t="shared" si="246"/>
        <v>227000</v>
      </c>
      <c r="M153" s="4"/>
      <c r="N153" s="4"/>
      <c r="O153" s="4"/>
      <c r="P153" s="4"/>
      <c r="Q153" s="4"/>
      <c r="R153" s="4"/>
      <c r="S153" s="9">
        <f t="shared" si="247"/>
        <v>0</v>
      </c>
      <c r="T153" s="20"/>
      <c r="U153" s="20"/>
      <c r="V153" s="20"/>
      <c r="W153" s="20"/>
      <c r="X153" s="20"/>
      <c r="Y153" s="20"/>
      <c r="Z153" s="9">
        <f t="shared" si="248"/>
        <v>0</v>
      </c>
      <c r="AA153" s="20"/>
      <c r="AB153" s="20"/>
      <c r="AC153" s="20"/>
      <c r="AD153" s="20"/>
      <c r="AE153" s="20"/>
      <c r="AF153" s="20"/>
      <c r="AG153" s="21">
        <f t="shared" si="249"/>
        <v>0</v>
      </c>
      <c r="AH153" s="25"/>
      <c r="AI153" s="20"/>
      <c r="AJ153" s="20"/>
      <c r="AK153" s="21">
        <f t="shared" si="250"/>
        <v>0</v>
      </c>
      <c r="AL153" s="25"/>
      <c r="AM153" s="20"/>
      <c r="AN153" s="20"/>
      <c r="AO153" s="21">
        <f t="shared" si="251"/>
        <v>0</v>
      </c>
      <c r="AP153" s="25"/>
      <c r="AQ153" s="25"/>
      <c r="AR153" s="25"/>
      <c r="AS153" s="25"/>
      <c r="AT153" s="20"/>
      <c r="AU153" s="20"/>
      <c r="AV153" s="21">
        <f t="shared" si="252"/>
        <v>0</v>
      </c>
      <c r="AW153" s="4">
        <f t="shared" si="253"/>
        <v>0</v>
      </c>
      <c r="AX153" s="4">
        <f t="shared" si="253"/>
        <v>155000</v>
      </c>
      <c r="AY153" s="4">
        <f t="shared" si="253"/>
        <v>0</v>
      </c>
      <c r="AZ153" s="4">
        <f t="shared" si="254"/>
        <v>72000</v>
      </c>
      <c r="BA153" s="94">
        <f t="shared" si="254"/>
        <v>0</v>
      </c>
      <c r="BB153" s="94">
        <f t="shared" si="255"/>
        <v>0</v>
      </c>
      <c r="BC153" s="9">
        <f t="shared" si="256"/>
        <v>227000</v>
      </c>
    </row>
    <row r="154" spans="1:55" ht="31.5">
      <c r="A154" s="187"/>
      <c r="B154" s="8">
        <v>5</v>
      </c>
      <c r="C154" s="1" t="s">
        <v>283</v>
      </c>
      <c r="D154" s="4" t="s">
        <v>284</v>
      </c>
      <c r="E154" s="4" t="s">
        <v>275</v>
      </c>
      <c r="F154" s="4">
        <v>155000</v>
      </c>
      <c r="G154" s="4">
        <v>152000</v>
      </c>
      <c r="H154" s="4">
        <v>514500</v>
      </c>
      <c r="I154" s="4">
        <v>508000</v>
      </c>
      <c r="J154" s="4">
        <f>24500+73000+101000+91000+71000</f>
        <v>360500</v>
      </c>
      <c r="K154" s="4">
        <f>422500+81000+40500</f>
        <v>544000</v>
      </c>
      <c r="L154" s="9">
        <f t="shared" si="246"/>
        <v>2234000</v>
      </c>
      <c r="M154" s="4"/>
      <c r="N154" s="4"/>
      <c r="O154" s="4"/>
      <c r="P154" s="4"/>
      <c r="Q154" s="4"/>
      <c r="R154" s="4"/>
      <c r="S154" s="9">
        <f t="shared" si="247"/>
        <v>0</v>
      </c>
      <c r="T154" s="20"/>
      <c r="U154" s="20"/>
      <c r="V154" s="20"/>
      <c r="W154" s="20"/>
      <c r="X154" s="20"/>
      <c r="Y154" s="20"/>
      <c r="Z154" s="9">
        <f t="shared" si="248"/>
        <v>0</v>
      </c>
      <c r="AA154" s="20"/>
      <c r="AB154" s="20"/>
      <c r="AC154" s="25"/>
      <c r="AD154" s="25"/>
      <c r="AE154" s="20"/>
      <c r="AF154" s="20"/>
      <c r="AG154" s="21">
        <f t="shared" si="249"/>
        <v>0</v>
      </c>
      <c r="AH154" s="25"/>
      <c r="AI154" s="20"/>
      <c r="AJ154" s="20"/>
      <c r="AK154" s="21">
        <f t="shared" si="250"/>
        <v>0</v>
      </c>
      <c r="AL154" s="25"/>
      <c r="AM154" s="20"/>
      <c r="AN154" s="20"/>
      <c r="AO154" s="21">
        <f t="shared" si="251"/>
        <v>0</v>
      </c>
      <c r="AP154" s="25"/>
      <c r="AQ154" s="25"/>
      <c r="AR154" s="25"/>
      <c r="AS154" s="25"/>
      <c r="AT154" s="20"/>
      <c r="AU154" s="20"/>
      <c r="AV154" s="21">
        <f t="shared" si="252"/>
        <v>0</v>
      </c>
      <c r="AW154" s="4">
        <f t="shared" si="253"/>
        <v>155000</v>
      </c>
      <c r="AX154" s="4">
        <f t="shared" si="253"/>
        <v>152000</v>
      </c>
      <c r="AY154" s="4">
        <f t="shared" si="253"/>
        <v>514500</v>
      </c>
      <c r="AZ154" s="4">
        <f t="shared" si="254"/>
        <v>508000</v>
      </c>
      <c r="BA154" s="94">
        <f t="shared" si="254"/>
        <v>360500</v>
      </c>
      <c r="BB154" s="94">
        <f t="shared" si="255"/>
        <v>544000</v>
      </c>
      <c r="BC154" s="9">
        <f t="shared" si="256"/>
        <v>2234000</v>
      </c>
    </row>
    <row r="155" spans="1:55" s="36" customFormat="1">
      <c r="A155" s="34"/>
      <c r="B155" s="34"/>
      <c r="C155" s="35" t="s">
        <v>287</v>
      </c>
      <c r="D155" s="37"/>
      <c r="E155" s="37"/>
      <c r="F155" s="37">
        <f t="shared" ref="F155:BC155" si="257">SUM(F150:F154)</f>
        <v>155000</v>
      </c>
      <c r="G155" s="37">
        <f t="shared" si="257"/>
        <v>1012000</v>
      </c>
      <c r="H155" s="37">
        <f t="shared" si="257"/>
        <v>799500</v>
      </c>
      <c r="I155" s="37">
        <f t="shared" si="257"/>
        <v>580000</v>
      </c>
      <c r="J155" s="37">
        <f t="shared" si="257"/>
        <v>360500</v>
      </c>
      <c r="K155" s="37">
        <f t="shared" si="257"/>
        <v>544000</v>
      </c>
      <c r="L155" s="37">
        <f t="shared" si="257"/>
        <v>3451000</v>
      </c>
      <c r="M155" s="37">
        <f t="shared" si="257"/>
        <v>0</v>
      </c>
      <c r="N155" s="37">
        <f t="shared" si="257"/>
        <v>0</v>
      </c>
      <c r="O155" s="37">
        <f t="shared" si="257"/>
        <v>360000</v>
      </c>
      <c r="P155" s="37">
        <f t="shared" si="257"/>
        <v>705000</v>
      </c>
      <c r="Q155" s="37">
        <f t="shared" si="257"/>
        <v>700000</v>
      </c>
      <c r="R155" s="37">
        <f t="shared" si="257"/>
        <v>1225000</v>
      </c>
      <c r="S155" s="37">
        <f t="shared" si="257"/>
        <v>2990000</v>
      </c>
      <c r="T155" s="37">
        <f t="shared" si="257"/>
        <v>0</v>
      </c>
      <c r="U155" s="37">
        <f t="shared" si="257"/>
        <v>1630000</v>
      </c>
      <c r="V155" s="37">
        <f t="shared" si="257"/>
        <v>826000</v>
      </c>
      <c r="W155" s="37">
        <f t="shared" si="257"/>
        <v>-135000</v>
      </c>
      <c r="X155" s="37">
        <f t="shared" si="257"/>
        <v>0</v>
      </c>
      <c r="Y155" s="37">
        <f t="shared" si="257"/>
        <v>0</v>
      </c>
      <c r="Z155" s="37">
        <f t="shared" si="257"/>
        <v>2321000</v>
      </c>
      <c r="AA155" s="37">
        <f t="shared" si="257"/>
        <v>0</v>
      </c>
      <c r="AB155" s="37">
        <f t="shared" si="257"/>
        <v>1068000</v>
      </c>
      <c r="AC155" s="37">
        <f t="shared" si="257"/>
        <v>582000</v>
      </c>
      <c r="AD155" s="37">
        <f t="shared" si="257"/>
        <v>0</v>
      </c>
      <c r="AE155" s="37">
        <f t="shared" si="257"/>
        <v>0</v>
      </c>
      <c r="AF155" s="37">
        <f t="shared" si="257"/>
        <v>0</v>
      </c>
      <c r="AG155" s="37">
        <f t="shared" si="257"/>
        <v>1650000</v>
      </c>
      <c r="AH155" s="37">
        <f t="shared" si="257"/>
        <v>0</v>
      </c>
      <c r="AI155" s="37">
        <f t="shared" si="257"/>
        <v>0</v>
      </c>
      <c r="AJ155" s="37">
        <f t="shared" si="257"/>
        <v>0</v>
      </c>
      <c r="AK155" s="37">
        <f t="shared" si="257"/>
        <v>0</v>
      </c>
      <c r="AL155" s="37">
        <f t="shared" si="257"/>
        <v>0</v>
      </c>
      <c r="AM155" s="37">
        <f t="shared" si="257"/>
        <v>0</v>
      </c>
      <c r="AN155" s="37">
        <f t="shared" si="257"/>
        <v>0</v>
      </c>
      <c r="AO155" s="37">
        <f t="shared" si="257"/>
        <v>0</v>
      </c>
      <c r="AP155" s="37">
        <f t="shared" si="257"/>
        <v>0</v>
      </c>
      <c r="AQ155" s="37">
        <f t="shared" si="257"/>
        <v>0</v>
      </c>
      <c r="AR155" s="37">
        <f t="shared" si="257"/>
        <v>0</v>
      </c>
      <c r="AS155" s="37">
        <f t="shared" si="257"/>
        <v>0</v>
      </c>
      <c r="AT155" s="37">
        <f t="shared" si="257"/>
        <v>0</v>
      </c>
      <c r="AU155" s="37">
        <f t="shared" si="257"/>
        <v>0</v>
      </c>
      <c r="AV155" s="37">
        <f t="shared" si="257"/>
        <v>0</v>
      </c>
      <c r="AW155" s="37">
        <f t="shared" si="257"/>
        <v>155000</v>
      </c>
      <c r="AX155" s="37">
        <f t="shared" si="257"/>
        <v>3710000</v>
      </c>
      <c r="AY155" s="37">
        <f t="shared" si="257"/>
        <v>2567500</v>
      </c>
      <c r="AZ155" s="37">
        <f t="shared" si="257"/>
        <v>1150000</v>
      </c>
      <c r="BA155" s="37">
        <f t="shared" si="257"/>
        <v>1060500</v>
      </c>
      <c r="BB155" s="37">
        <f t="shared" si="257"/>
        <v>1769000</v>
      </c>
      <c r="BC155" s="37">
        <f t="shared" si="257"/>
        <v>10412000</v>
      </c>
    </row>
    <row r="156" spans="1:55" ht="31.5">
      <c r="A156" s="185" t="s">
        <v>21</v>
      </c>
      <c r="B156" s="8">
        <v>1</v>
      </c>
      <c r="C156" s="55" t="s">
        <v>288</v>
      </c>
      <c r="D156" s="56" t="s">
        <v>289</v>
      </c>
      <c r="E156" s="56" t="s">
        <v>21</v>
      </c>
      <c r="F156" s="56"/>
      <c r="G156" s="56">
        <v>155000</v>
      </c>
      <c r="H156" s="56">
        <f>100000+50000</f>
        <v>150000</v>
      </c>
      <c r="I156" s="56">
        <v>651500</v>
      </c>
      <c r="J156" s="4">
        <f>157500+180500+175000+133000+110500</f>
        <v>756500</v>
      </c>
      <c r="K156" s="4">
        <f>725500+164000+87000</f>
        <v>976500</v>
      </c>
      <c r="L156" s="9">
        <f t="shared" ref="L156:L163" si="258">SUM(F156:K156)</f>
        <v>2689500</v>
      </c>
      <c r="M156" s="56"/>
      <c r="N156" s="56"/>
      <c r="O156" s="56"/>
      <c r="P156" s="56"/>
      <c r="Q156" s="4"/>
      <c r="R156" s="4"/>
      <c r="S156" s="9">
        <f t="shared" ref="S156:S163" si="259">SUM(M156:R156)</f>
        <v>0</v>
      </c>
      <c r="T156" s="57"/>
      <c r="U156" s="57"/>
      <c r="V156" s="57"/>
      <c r="W156" s="57"/>
      <c r="X156" s="57"/>
      <c r="Y156" s="57"/>
      <c r="Z156" s="9">
        <f t="shared" ref="Z156:Z163" si="260">SUM(T156:Y156)</f>
        <v>0</v>
      </c>
      <c r="AA156" s="57"/>
      <c r="AB156" s="57"/>
      <c r="AC156" s="57"/>
      <c r="AD156" s="57"/>
      <c r="AE156" s="20"/>
      <c r="AF156" s="20"/>
      <c r="AG156" s="21">
        <f t="shared" ref="AG156:AG163" si="261">SUM(AA156:AF156)</f>
        <v>0</v>
      </c>
      <c r="AH156" s="58"/>
      <c r="AI156" s="20"/>
      <c r="AJ156" s="20"/>
      <c r="AK156" s="21">
        <f t="shared" ref="AK156:AK163" si="262">SUM(AH156:AJ156)</f>
        <v>0</v>
      </c>
      <c r="AL156" s="58"/>
      <c r="AM156" s="57"/>
      <c r="AN156" s="57"/>
      <c r="AO156" s="21">
        <f t="shared" ref="AO156:AO163" si="263">SUM(AL156:AN156)</f>
        <v>0</v>
      </c>
      <c r="AP156" s="58"/>
      <c r="AQ156" s="58"/>
      <c r="AR156" s="58">
        <v>100000</v>
      </c>
      <c r="AS156" s="58">
        <v>125000</v>
      </c>
      <c r="AT156" s="20"/>
      <c r="AU156" s="20"/>
      <c r="AV156" s="21">
        <f t="shared" ref="AV156:AV163" si="264">SUM(AP156:AU156)</f>
        <v>225000</v>
      </c>
      <c r="AW156" s="4">
        <f t="shared" ref="AW156:AY163" si="265">F156+M156+T156+AA156+AP156</f>
        <v>0</v>
      </c>
      <c r="AX156" s="4">
        <f t="shared" si="265"/>
        <v>155000</v>
      </c>
      <c r="AY156" s="4">
        <f t="shared" si="265"/>
        <v>250000</v>
      </c>
      <c r="AZ156" s="4">
        <f t="shared" ref="AZ156:BA163" si="266">I156+P156+W156+AD156+AH156+AL156+AS156</f>
        <v>776500</v>
      </c>
      <c r="BA156" s="94">
        <f t="shared" si="266"/>
        <v>756500</v>
      </c>
      <c r="BB156" s="94">
        <f t="shared" ref="BB156:BB163" si="267">K156+R156+Y156+AF156+AJ156+AN156+AU156</f>
        <v>976500</v>
      </c>
      <c r="BC156" s="9">
        <f t="shared" ref="BC156:BC163" si="268">SUM(AW156:BB156)</f>
        <v>2914500</v>
      </c>
    </row>
    <row r="157" spans="1:55" ht="31.5">
      <c r="A157" s="186"/>
      <c r="B157" s="8">
        <v>2</v>
      </c>
      <c r="C157" s="1" t="s">
        <v>290</v>
      </c>
      <c r="D157" s="91" t="s">
        <v>417</v>
      </c>
      <c r="E157" s="4" t="s">
        <v>21</v>
      </c>
      <c r="F157" s="4"/>
      <c r="G157" s="4"/>
      <c r="H157" s="4"/>
      <c r="I157" s="4"/>
      <c r="J157" s="4"/>
      <c r="K157" s="4"/>
      <c r="L157" s="9">
        <f t="shared" si="258"/>
        <v>0</v>
      </c>
      <c r="M157" s="4"/>
      <c r="N157" s="4"/>
      <c r="O157" s="4"/>
      <c r="P157" s="4"/>
      <c r="Q157" s="4"/>
      <c r="R157" s="4"/>
      <c r="S157" s="9">
        <f t="shared" si="259"/>
        <v>0</v>
      </c>
      <c r="T157" s="20"/>
      <c r="U157" s="20"/>
      <c r="V157" s="20"/>
      <c r="W157" s="20"/>
      <c r="X157" s="20"/>
      <c r="Y157" s="20"/>
      <c r="Z157" s="9">
        <f t="shared" si="260"/>
        <v>0</v>
      </c>
      <c r="AA157" s="20"/>
      <c r="AB157" s="20">
        <v>256750</v>
      </c>
      <c r="AC157" s="25">
        <v>340750</v>
      </c>
      <c r="AD157" s="24">
        <v>950000</v>
      </c>
      <c r="AE157" s="20">
        <f>70000+210000+420000+140000</f>
        <v>840000</v>
      </c>
      <c r="AF157" s="20">
        <f>889200+197100+98550</f>
        <v>1184850</v>
      </c>
      <c r="AG157" s="21">
        <f t="shared" si="261"/>
        <v>3572350</v>
      </c>
      <c r="AH157" s="25"/>
      <c r="AI157" s="20"/>
      <c r="AJ157" s="20"/>
      <c r="AK157" s="21">
        <f t="shared" si="262"/>
        <v>0</v>
      </c>
      <c r="AL157" s="25"/>
      <c r="AM157" s="20"/>
      <c r="AN157" s="20"/>
      <c r="AO157" s="21">
        <f t="shared" si="263"/>
        <v>0</v>
      </c>
      <c r="AP157" s="25"/>
      <c r="AQ157" s="25"/>
      <c r="AR157" s="25"/>
      <c r="AS157" s="25"/>
      <c r="AT157" s="20"/>
      <c r="AU157" s="20"/>
      <c r="AV157" s="21">
        <f t="shared" si="264"/>
        <v>0</v>
      </c>
      <c r="AW157" s="4">
        <f t="shared" si="265"/>
        <v>0</v>
      </c>
      <c r="AX157" s="4">
        <f t="shared" si="265"/>
        <v>256750</v>
      </c>
      <c r="AY157" s="4">
        <f t="shared" si="265"/>
        <v>340750</v>
      </c>
      <c r="AZ157" s="4">
        <f t="shared" si="266"/>
        <v>950000</v>
      </c>
      <c r="BA157" s="94">
        <f t="shared" si="266"/>
        <v>840000</v>
      </c>
      <c r="BB157" s="94">
        <f t="shared" si="267"/>
        <v>1184850</v>
      </c>
      <c r="BC157" s="9">
        <f t="shared" si="268"/>
        <v>3572350</v>
      </c>
    </row>
    <row r="158" spans="1:55" ht="47.25">
      <c r="A158" s="186"/>
      <c r="B158" s="8">
        <v>3</v>
      </c>
      <c r="C158" s="42" t="s">
        <v>291</v>
      </c>
      <c r="D158" s="43" t="s">
        <v>292</v>
      </c>
      <c r="E158" s="4" t="s">
        <v>21</v>
      </c>
      <c r="F158" s="4"/>
      <c r="G158" s="4"/>
      <c r="H158" s="4"/>
      <c r="I158" s="4"/>
      <c r="J158" s="4"/>
      <c r="K158" s="4"/>
      <c r="L158" s="9">
        <f t="shared" si="258"/>
        <v>0</v>
      </c>
      <c r="M158" s="4"/>
      <c r="N158" s="4"/>
      <c r="O158" s="4"/>
      <c r="P158" s="4"/>
      <c r="Q158" s="4"/>
      <c r="R158" s="4"/>
      <c r="S158" s="9">
        <f t="shared" si="259"/>
        <v>0</v>
      </c>
      <c r="T158" s="20"/>
      <c r="U158" s="20"/>
      <c r="V158" s="4">
        <v>471935</v>
      </c>
      <c r="W158" s="22">
        <v>360000</v>
      </c>
      <c r="X158" s="22">
        <f>825000+225000+225000+225000+150000</f>
        <v>1650000</v>
      </c>
      <c r="Y158" s="22">
        <f>1391000+812000</f>
        <v>2203000</v>
      </c>
      <c r="Z158" s="9">
        <f t="shared" si="260"/>
        <v>4684935</v>
      </c>
      <c r="AA158" s="20"/>
      <c r="AB158" s="20"/>
      <c r="AC158" s="25"/>
      <c r="AD158" s="25"/>
      <c r="AE158" s="20"/>
      <c r="AF158" s="20"/>
      <c r="AG158" s="21">
        <f t="shared" si="261"/>
        <v>0</v>
      </c>
      <c r="AH158" s="25"/>
      <c r="AI158" s="20"/>
      <c r="AJ158" s="20"/>
      <c r="AK158" s="21">
        <f t="shared" si="262"/>
        <v>0</v>
      </c>
      <c r="AL158" s="25"/>
      <c r="AM158" s="20"/>
      <c r="AN158" s="20"/>
      <c r="AO158" s="21">
        <f t="shared" si="263"/>
        <v>0</v>
      </c>
      <c r="AP158" s="25"/>
      <c r="AQ158" s="25"/>
      <c r="AR158" s="25"/>
      <c r="AS158" s="25"/>
      <c r="AT158" s="20"/>
      <c r="AU158" s="20"/>
      <c r="AV158" s="21">
        <f t="shared" si="264"/>
        <v>0</v>
      </c>
      <c r="AW158" s="4">
        <f t="shared" si="265"/>
        <v>0</v>
      </c>
      <c r="AX158" s="4">
        <f t="shared" si="265"/>
        <v>0</v>
      </c>
      <c r="AY158" s="4">
        <f t="shared" si="265"/>
        <v>471935</v>
      </c>
      <c r="AZ158" s="4">
        <f t="shared" si="266"/>
        <v>360000</v>
      </c>
      <c r="BA158" s="94">
        <f t="shared" si="266"/>
        <v>1650000</v>
      </c>
      <c r="BB158" s="94">
        <f t="shared" si="267"/>
        <v>2203000</v>
      </c>
      <c r="BC158" s="9">
        <f t="shared" si="268"/>
        <v>4684935</v>
      </c>
    </row>
    <row r="159" spans="1:55" ht="30">
      <c r="A159" s="186"/>
      <c r="B159" s="8">
        <v>5</v>
      </c>
      <c r="C159" s="2" t="s">
        <v>15</v>
      </c>
      <c r="D159" s="13" t="s">
        <v>41</v>
      </c>
      <c r="E159" s="4" t="s">
        <v>21</v>
      </c>
      <c r="F159" s="4"/>
      <c r="G159" s="4"/>
      <c r="H159" s="4"/>
      <c r="I159" s="4"/>
      <c r="J159" s="4"/>
      <c r="K159" s="4"/>
      <c r="L159" s="9">
        <f t="shared" si="258"/>
        <v>0</v>
      </c>
      <c r="M159" s="4"/>
      <c r="N159" s="4"/>
      <c r="O159" s="4"/>
      <c r="P159" s="4"/>
      <c r="Q159" s="4"/>
      <c r="R159" s="4"/>
      <c r="S159" s="9">
        <f t="shared" si="259"/>
        <v>0</v>
      </c>
      <c r="T159" s="20"/>
      <c r="U159" s="20"/>
      <c r="V159" s="4"/>
      <c r="W159" s="20"/>
      <c r="X159" s="20"/>
      <c r="Y159" s="20"/>
      <c r="Z159" s="9">
        <f t="shared" si="260"/>
        <v>0</v>
      </c>
      <c r="AA159" s="20"/>
      <c r="AB159" s="20"/>
      <c r="AC159" s="25"/>
      <c r="AD159" s="25"/>
      <c r="AE159" s="20"/>
      <c r="AF159" s="20"/>
      <c r="AG159" s="21">
        <f t="shared" si="261"/>
        <v>0</v>
      </c>
      <c r="AH159" s="25"/>
      <c r="AI159" s="20"/>
      <c r="AJ159" s="20"/>
      <c r="AK159" s="21">
        <f t="shared" si="262"/>
        <v>0</v>
      </c>
      <c r="AL159" s="25"/>
      <c r="AM159" s="20"/>
      <c r="AN159" s="20"/>
      <c r="AO159" s="21">
        <f t="shared" si="263"/>
        <v>0</v>
      </c>
      <c r="AP159" s="25"/>
      <c r="AQ159" s="25">
        <v>100000</v>
      </c>
      <c r="AR159" s="25">
        <v>248400</v>
      </c>
      <c r="AS159" s="25">
        <v>240000</v>
      </c>
      <c r="AT159" s="20"/>
      <c r="AU159" s="20"/>
      <c r="AV159" s="21">
        <f t="shared" si="264"/>
        <v>588400</v>
      </c>
      <c r="AW159" s="4">
        <f t="shared" si="265"/>
        <v>0</v>
      </c>
      <c r="AX159" s="4">
        <f t="shared" si="265"/>
        <v>100000</v>
      </c>
      <c r="AY159" s="4">
        <f t="shared" si="265"/>
        <v>248400</v>
      </c>
      <c r="AZ159" s="4">
        <f t="shared" si="266"/>
        <v>240000</v>
      </c>
      <c r="BA159" s="94">
        <f t="shared" si="266"/>
        <v>0</v>
      </c>
      <c r="BB159" s="94">
        <f t="shared" si="267"/>
        <v>0</v>
      </c>
      <c r="BC159" s="9">
        <f t="shared" si="268"/>
        <v>588400</v>
      </c>
    </row>
    <row r="160" spans="1:55" ht="31.5">
      <c r="A160" s="186"/>
      <c r="B160" s="8">
        <v>6</v>
      </c>
      <c r="C160" s="1" t="s">
        <v>294</v>
      </c>
      <c r="D160" s="91" t="s">
        <v>419</v>
      </c>
      <c r="E160" s="4" t="s">
        <v>21</v>
      </c>
      <c r="F160" s="4"/>
      <c r="G160" s="4"/>
      <c r="H160" s="4"/>
      <c r="I160" s="4"/>
      <c r="J160" s="4"/>
      <c r="K160" s="4"/>
      <c r="L160" s="9">
        <f t="shared" si="258"/>
        <v>0</v>
      </c>
      <c r="M160" s="4"/>
      <c r="N160" s="4"/>
      <c r="O160" s="4"/>
      <c r="P160" s="4"/>
      <c r="Q160" s="4"/>
      <c r="R160" s="4"/>
      <c r="S160" s="9">
        <f t="shared" si="259"/>
        <v>0</v>
      </c>
      <c r="T160" s="20"/>
      <c r="U160" s="20"/>
      <c r="V160" s="4"/>
      <c r="W160" s="20"/>
      <c r="X160" s="20"/>
      <c r="Y160" s="20"/>
      <c r="Z160" s="9">
        <f t="shared" si="260"/>
        <v>0</v>
      </c>
      <c r="AA160" s="20"/>
      <c r="AB160" s="25">
        <v>394250</v>
      </c>
      <c r="AC160" s="25">
        <v>480150</v>
      </c>
      <c r="AD160" s="25">
        <v>736500</v>
      </c>
      <c r="AE160" s="20">
        <f>133000+210000+210000+210000+140000</f>
        <v>903000</v>
      </c>
      <c r="AF160" s="20">
        <f>973700+203282+98000</f>
        <v>1274982</v>
      </c>
      <c r="AG160" s="21">
        <f t="shared" si="261"/>
        <v>3788882</v>
      </c>
      <c r="AH160" s="25"/>
      <c r="AI160" s="20"/>
      <c r="AJ160" s="20"/>
      <c r="AK160" s="21">
        <f t="shared" si="262"/>
        <v>0</v>
      </c>
      <c r="AL160" s="25"/>
      <c r="AM160" s="20"/>
      <c r="AN160" s="20"/>
      <c r="AO160" s="21">
        <f t="shared" si="263"/>
        <v>0</v>
      </c>
      <c r="AP160" s="25"/>
      <c r="AQ160" s="25"/>
      <c r="AR160" s="25"/>
      <c r="AS160" s="25"/>
      <c r="AT160" s="20"/>
      <c r="AU160" s="20"/>
      <c r="AV160" s="21">
        <f t="shared" si="264"/>
        <v>0</v>
      </c>
      <c r="AW160" s="4">
        <f t="shared" si="265"/>
        <v>0</v>
      </c>
      <c r="AX160" s="4">
        <f t="shared" si="265"/>
        <v>394250</v>
      </c>
      <c r="AY160" s="4">
        <f t="shared" si="265"/>
        <v>480150</v>
      </c>
      <c r="AZ160" s="4">
        <f t="shared" si="266"/>
        <v>736500</v>
      </c>
      <c r="BA160" s="94">
        <f t="shared" si="266"/>
        <v>903000</v>
      </c>
      <c r="BB160" s="94">
        <f t="shared" si="267"/>
        <v>1274982</v>
      </c>
      <c r="BC160" s="9">
        <f t="shared" si="268"/>
        <v>3788882</v>
      </c>
    </row>
    <row r="161" spans="1:55" ht="31.5">
      <c r="A161" s="186"/>
      <c r="B161" s="8">
        <v>7</v>
      </c>
      <c r="C161" s="40" t="s">
        <v>295</v>
      </c>
      <c r="D161" s="41" t="s">
        <v>296</v>
      </c>
      <c r="E161" s="4" t="s">
        <v>21</v>
      </c>
      <c r="F161" s="4"/>
      <c r="G161" s="4"/>
      <c r="H161" s="4"/>
      <c r="I161" s="4"/>
      <c r="J161" s="4"/>
      <c r="K161" s="4"/>
      <c r="L161" s="9">
        <f t="shared" si="258"/>
        <v>0</v>
      </c>
      <c r="M161" s="76">
        <v>290000</v>
      </c>
      <c r="N161" s="76">
        <v>1230000</v>
      </c>
      <c r="O161" s="76">
        <v>1610000</v>
      </c>
      <c r="P161" s="76">
        <v>300000</v>
      </c>
      <c r="Q161" s="4"/>
      <c r="R161" s="4"/>
      <c r="S161" s="9">
        <f t="shared" si="259"/>
        <v>3430000</v>
      </c>
      <c r="T161" s="20">
        <v>290000</v>
      </c>
      <c r="U161" s="26">
        <v>609000</v>
      </c>
      <c r="V161" s="4">
        <v>2842000</v>
      </c>
      <c r="W161" s="22">
        <v>360000</v>
      </c>
      <c r="X161" s="22"/>
      <c r="Y161" s="22"/>
      <c r="Z161" s="9">
        <f t="shared" si="260"/>
        <v>4101000</v>
      </c>
      <c r="AA161" s="20"/>
      <c r="AB161" s="25"/>
      <c r="AC161" s="25"/>
      <c r="AD161" s="25"/>
      <c r="AE161" s="20"/>
      <c r="AF161" s="20"/>
      <c r="AG161" s="21">
        <f t="shared" si="261"/>
        <v>0</v>
      </c>
      <c r="AH161" s="25"/>
      <c r="AI161" s="20"/>
      <c r="AJ161" s="20"/>
      <c r="AK161" s="21">
        <f t="shared" si="262"/>
        <v>0</v>
      </c>
      <c r="AL161" s="25">
        <v>800000</v>
      </c>
      <c r="AM161" s="20">
        <f>300000+300000+300000+300000+200000</f>
        <v>1400000</v>
      </c>
      <c r="AN161" s="20">
        <f>1876500+255000</f>
        <v>2131500</v>
      </c>
      <c r="AO161" s="21">
        <f t="shared" si="263"/>
        <v>4331500</v>
      </c>
      <c r="AP161" s="25"/>
      <c r="AQ161" s="25"/>
      <c r="AR161" s="25"/>
      <c r="AS161" s="25"/>
      <c r="AT161" s="20"/>
      <c r="AU161" s="20"/>
      <c r="AV161" s="21">
        <f t="shared" si="264"/>
        <v>0</v>
      </c>
      <c r="AW161" s="4">
        <f t="shared" si="265"/>
        <v>580000</v>
      </c>
      <c r="AX161" s="4">
        <f t="shared" si="265"/>
        <v>1839000</v>
      </c>
      <c r="AY161" s="4">
        <f t="shared" si="265"/>
        <v>4452000</v>
      </c>
      <c r="AZ161" s="4">
        <f t="shared" si="266"/>
        <v>1460000</v>
      </c>
      <c r="BA161" s="94">
        <f t="shared" si="266"/>
        <v>1400000</v>
      </c>
      <c r="BB161" s="94">
        <f t="shared" si="267"/>
        <v>2131500</v>
      </c>
      <c r="BC161" s="9">
        <f t="shared" si="268"/>
        <v>11862500</v>
      </c>
    </row>
    <row r="162" spans="1:55" ht="37.5">
      <c r="A162" s="186"/>
      <c r="B162" s="8">
        <v>8</v>
      </c>
      <c r="C162" s="1" t="s">
        <v>297</v>
      </c>
      <c r="D162" s="91" t="s">
        <v>418</v>
      </c>
      <c r="E162" s="4" t="s">
        <v>21</v>
      </c>
      <c r="F162" s="4"/>
      <c r="G162" s="4"/>
      <c r="H162" s="4"/>
      <c r="I162" s="4"/>
      <c r="J162" s="4"/>
      <c r="K162" s="4"/>
      <c r="L162" s="9">
        <f t="shared" si="258"/>
        <v>0</v>
      </c>
      <c r="M162" s="76"/>
      <c r="N162" s="76"/>
      <c r="O162" s="76"/>
      <c r="P162" s="76"/>
      <c r="Q162" s="4"/>
      <c r="R162" s="4"/>
      <c r="S162" s="9">
        <f t="shared" si="259"/>
        <v>0</v>
      </c>
      <c r="T162" s="20"/>
      <c r="U162" s="20"/>
      <c r="V162" s="4"/>
      <c r="W162" s="20"/>
      <c r="X162" s="20"/>
      <c r="Y162" s="20"/>
      <c r="Z162" s="9">
        <f t="shared" si="260"/>
        <v>0</v>
      </c>
      <c r="AA162" s="20"/>
      <c r="AB162" s="25">
        <v>195000</v>
      </c>
      <c r="AC162" s="25">
        <f>238250+30000</f>
        <v>268250</v>
      </c>
      <c r="AD162" s="25">
        <v>706500</v>
      </c>
      <c r="AE162" s="20">
        <v>56000</v>
      </c>
      <c r="AF162" s="20"/>
      <c r="AG162" s="21">
        <f t="shared" si="261"/>
        <v>1225750</v>
      </c>
      <c r="AH162" s="25"/>
      <c r="AI162" s="20"/>
      <c r="AJ162" s="20"/>
      <c r="AK162" s="21">
        <f t="shared" si="262"/>
        <v>0</v>
      </c>
      <c r="AL162" s="25"/>
      <c r="AM162" s="20"/>
      <c r="AN162" s="20"/>
      <c r="AO162" s="21">
        <f t="shared" si="263"/>
        <v>0</v>
      </c>
      <c r="AP162" s="25"/>
      <c r="AQ162" s="25"/>
      <c r="AR162" s="25"/>
      <c r="AS162" s="25"/>
      <c r="AT162" s="20"/>
      <c r="AU162" s="20"/>
      <c r="AV162" s="21">
        <f t="shared" si="264"/>
        <v>0</v>
      </c>
      <c r="AW162" s="4">
        <f t="shared" si="265"/>
        <v>0</v>
      </c>
      <c r="AX162" s="4">
        <f t="shared" si="265"/>
        <v>195000</v>
      </c>
      <c r="AY162" s="4">
        <f t="shared" si="265"/>
        <v>268250</v>
      </c>
      <c r="AZ162" s="4">
        <f t="shared" si="266"/>
        <v>706500</v>
      </c>
      <c r="BA162" s="94">
        <f t="shared" si="266"/>
        <v>56000</v>
      </c>
      <c r="BB162" s="94">
        <f t="shared" si="267"/>
        <v>0</v>
      </c>
      <c r="BC162" s="9">
        <f t="shared" si="268"/>
        <v>1225750</v>
      </c>
    </row>
    <row r="163" spans="1:55" ht="31.5">
      <c r="A163" s="187"/>
      <c r="B163" s="8">
        <v>9</v>
      </c>
      <c r="C163" s="42" t="s">
        <v>298</v>
      </c>
      <c r="D163" s="43" t="s">
        <v>299</v>
      </c>
      <c r="E163" s="4" t="s">
        <v>21</v>
      </c>
      <c r="F163" s="4"/>
      <c r="G163" s="4"/>
      <c r="H163" s="4"/>
      <c r="I163" s="4"/>
      <c r="J163" s="4"/>
      <c r="K163" s="4"/>
      <c r="L163" s="9">
        <f t="shared" si="258"/>
        <v>0</v>
      </c>
      <c r="M163" s="4"/>
      <c r="N163" s="4"/>
      <c r="O163" s="4"/>
      <c r="P163" s="4"/>
      <c r="Q163" s="4"/>
      <c r="R163" s="4"/>
      <c r="S163" s="9">
        <f t="shared" si="259"/>
        <v>0</v>
      </c>
      <c r="T163" s="20"/>
      <c r="U163" s="20"/>
      <c r="V163" s="4">
        <v>439000</v>
      </c>
      <c r="W163" s="22">
        <v>376000</v>
      </c>
      <c r="X163" s="22">
        <f>1105000+225000+225000+150000</f>
        <v>1705000</v>
      </c>
      <c r="Y163" s="22">
        <f>903000+420000</f>
        <v>1323000</v>
      </c>
      <c r="Z163" s="9">
        <f t="shared" si="260"/>
        <v>3843000</v>
      </c>
      <c r="AA163" s="20"/>
      <c r="AB163" s="25"/>
      <c r="AC163" s="25"/>
      <c r="AD163" s="25"/>
      <c r="AE163" s="20"/>
      <c r="AF163" s="20"/>
      <c r="AG163" s="21">
        <f t="shared" si="261"/>
        <v>0</v>
      </c>
      <c r="AH163" s="25"/>
      <c r="AI163" s="20"/>
      <c r="AJ163" s="20"/>
      <c r="AK163" s="21">
        <f t="shared" si="262"/>
        <v>0</v>
      </c>
      <c r="AL163" s="25"/>
      <c r="AM163" s="20"/>
      <c r="AN163" s="20"/>
      <c r="AO163" s="21">
        <f t="shared" si="263"/>
        <v>0</v>
      </c>
      <c r="AP163" s="25"/>
      <c r="AQ163" s="25"/>
      <c r="AR163" s="25"/>
      <c r="AS163" s="25"/>
      <c r="AT163" s="20"/>
      <c r="AU163" s="20"/>
      <c r="AV163" s="21">
        <f t="shared" si="264"/>
        <v>0</v>
      </c>
      <c r="AW163" s="4">
        <f t="shared" si="265"/>
        <v>0</v>
      </c>
      <c r="AX163" s="4">
        <f t="shared" si="265"/>
        <v>0</v>
      </c>
      <c r="AY163" s="4">
        <f t="shared" si="265"/>
        <v>439000</v>
      </c>
      <c r="AZ163" s="4">
        <f t="shared" si="266"/>
        <v>376000</v>
      </c>
      <c r="BA163" s="94">
        <f t="shared" si="266"/>
        <v>1705000</v>
      </c>
      <c r="BB163" s="94">
        <f t="shared" si="267"/>
        <v>1323000</v>
      </c>
      <c r="BC163" s="9">
        <f t="shared" si="268"/>
        <v>3843000</v>
      </c>
    </row>
    <row r="164" spans="1:55" s="38" customFormat="1">
      <c r="A164" s="34"/>
      <c r="B164" s="34"/>
      <c r="C164" s="59" t="s">
        <v>300</v>
      </c>
      <c r="D164" s="60"/>
      <c r="E164" s="37"/>
      <c r="F164" s="37">
        <f>SUM(F156:F163)</f>
        <v>0</v>
      </c>
      <c r="G164" s="37">
        <f t="shared" ref="G164:BC164" si="269">SUM(G156:G163)</f>
        <v>155000</v>
      </c>
      <c r="H164" s="37">
        <f t="shared" si="269"/>
        <v>150000</v>
      </c>
      <c r="I164" s="37">
        <f t="shared" si="269"/>
        <v>651500</v>
      </c>
      <c r="J164" s="37">
        <f t="shared" si="269"/>
        <v>756500</v>
      </c>
      <c r="K164" s="37">
        <f t="shared" si="269"/>
        <v>976500</v>
      </c>
      <c r="L164" s="37">
        <f t="shared" si="269"/>
        <v>2689500</v>
      </c>
      <c r="M164" s="37">
        <f t="shared" si="269"/>
        <v>290000</v>
      </c>
      <c r="N164" s="37">
        <f t="shared" si="269"/>
        <v>1230000</v>
      </c>
      <c r="O164" s="37">
        <f t="shared" si="269"/>
        <v>1610000</v>
      </c>
      <c r="P164" s="37">
        <f t="shared" si="269"/>
        <v>300000</v>
      </c>
      <c r="Q164" s="37">
        <f t="shared" si="269"/>
        <v>0</v>
      </c>
      <c r="R164" s="37">
        <f t="shared" si="269"/>
        <v>0</v>
      </c>
      <c r="S164" s="37">
        <f t="shared" si="269"/>
        <v>3430000</v>
      </c>
      <c r="T164" s="37">
        <f t="shared" si="269"/>
        <v>290000</v>
      </c>
      <c r="U164" s="37">
        <f t="shared" si="269"/>
        <v>609000</v>
      </c>
      <c r="V164" s="37">
        <f t="shared" si="269"/>
        <v>3752935</v>
      </c>
      <c r="W164" s="37">
        <f t="shared" si="269"/>
        <v>1096000</v>
      </c>
      <c r="X164" s="37">
        <f t="shared" si="269"/>
        <v>3355000</v>
      </c>
      <c r="Y164" s="37">
        <f t="shared" si="269"/>
        <v>3526000</v>
      </c>
      <c r="Z164" s="37">
        <f t="shared" si="269"/>
        <v>12628935</v>
      </c>
      <c r="AA164" s="37">
        <f t="shared" si="269"/>
        <v>0</v>
      </c>
      <c r="AB164" s="37">
        <f t="shared" si="269"/>
        <v>846000</v>
      </c>
      <c r="AC164" s="37">
        <f t="shared" si="269"/>
        <v>1089150</v>
      </c>
      <c r="AD164" s="37">
        <f t="shared" si="269"/>
        <v>2393000</v>
      </c>
      <c r="AE164" s="37">
        <f t="shared" si="269"/>
        <v>1799000</v>
      </c>
      <c r="AF164" s="37">
        <f t="shared" si="269"/>
        <v>2459832</v>
      </c>
      <c r="AG164" s="37">
        <f t="shared" si="269"/>
        <v>8586982</v>
      </c>
      <c r="AH164" s="37">
        <f t="shared" si="269"/>
        <v>0</v>
      </c>
      <c r="AI164" s="37">
        <f t="shared" si="269"/>
        <v>0</v>
      </c>
      <c r="AJ164" s="37">
        <f t="shared" si="269"/>
        <v>0</v>
      </c>
      <c r="AK164" s="37">
        <f t="shared" si="269"/>
        <v>0</v>
      </c>
      <c r="AL164" s="37">
        <f t="shared" si="269"/>
        <v>800000</v>
      </c>
      <c r="AM164" s="37">
        <f t="shared" si="269"/>
        <v>1400000</v>
      </c>
      <c r="AN164" s="37">
        <f t="shared" si="269"/>
        <v>2131500</v>
      </c>
      <c r="AO164" s="37">
        <f t="shared" si="269"/>
        <v>4331500</v>
      </c>
      <c r="AP164" s="37">
        <f t="shared" si="269"/>
        <v>0</v>
      </c>
      <c r="AQ164" s="37">
        <f t="shared" si="269"/>
        <v>100000</v>
      </c>
      <c r="AR164" s="37">
        <f t="shared" si="269"/>
        <v>348400</v>
      </c>
      <c r="AS164" s="37">
        <f t="shared" si="269"/>
        <v>365000</v>
      </c>
      <c r="AT164" s="37">
        <f t="shared" si="269"/>
        <v>0</v>
      </c>
      <c r="AU164" s="37">
        <f t="shared" si="269"/>
        <v>0</v>
      </c>
      <c r="AV164" s="37">
        <f t="shared" si="269"/>
        <v>813400</v>
      </c>
      <c r="AW164" s="37">
        <f t="shared" si="269"/>
        <v>580000</v>
      </c>
      <c r="AX164" s="37">
        <f t="shared" si="269"/>
        <v>2940000</v>
      </c>
      <c r="AY164" s="37">
        <f t="shared" si="269"/>
        <v>6950485</v>
      </c>
      <c r="AZ164" s="37">
        <f t="shared" si="269"/>
        <v>5605500</v>
      </c>
      <c r="BA164" s="37">
        <f t="shared" si="269"/>
        <v>7310500</v>
      </c>
      <c r="BB164" s="37">
        <f t="shared" si="269"/>
        <v>9093832</v>
      </c>
      <c r="BC164" s="37">
        <f t="shared" si="269"/>
        <v>32480317</v>
      </c>
    </row>
    <row r="165" spans="1:55" ht="37.5">
      <c r="A165" s="185" t="s">
        <v>32</v>
      </c>
      <c r="B165" s="8">
        <v>1</v>
      </c>
      <c r="C165" s="1" t="s">
        <v>4</v>
      </c>
      <c r="D165" s="91" t="s">
        <v>420</v>
      </c>
      <c r="E165" s="4" t="s">
        <v>32</v>
      </c>
      <c r="F165" s="4"/>
      <c r="G165" s="4"/>
      <c r="H165" s="5"/>
      <c r="I165" s="4"/>
      <c r="J165" s="4"/>
      <c r="K165" s="4"/>
      <c r="L165" s="9">
        <f t="shared" ref="L165:L169" si="270">SUM(F165:K165)</f>
        <v>0</v>
      </c>
      <c r="M165" s="4"/>
      <c r="N165" s="4"/>
      <c r="O165" s="4"/>
      <c r="P165" s="4"/>
      <c r="Q165" s="4"/>
      <c r="R165" s="4"/>
      <c r="S165" s="9">
        <f t="shared" ref="S165:S169" si="271">SUM(M165:R165)</f>
        <v>0</v>
      </c>
      <c r="T165" s="20"/>
      <c r="U165" s="20"/>
      <c r="V165" s="20"/>
      <c r="W165" s="20"/>
      <c r="X165" s="20"/>
      <c r="Y165" s="20"/>
      <c r="Z165" s="9">
        <f t="shared" ref="Z165:Z169" si="272">SUM(T165:Y165)</f>
        <v>0</v>
      </c>
      <c r="AA165" s="20"/>
      <c r="AB165" s="25">
        <v>423800</v>
      </c>
      <c r="AC165" s="25">
        <v>729850</v>
      </c>
      <c r="AD165" s="25"/>
      <c r="AE165" s="20"/>
      <c r="AF165" s="20"/>
      <c r="AG165" s="21">
        <f t="shared" ref="AG165:AG169" si="273">SUM(AA165:AF165)</f>
        <v>1153650</v>
      </c>
      <c r="AH165" s="25"/>
      <c r="AI165" s="20"/>
      <c r="AJ165" s="20"/>
      <c r="AK165" s="21">
        <f t="shared" ref="AK165:AK169" si="274">SUM(AH165:AJ165)</f>
        <v>0</v>
      </c>
      <c r="AL165" s="25"/>
      <c r="AM165" s="20"/>
      <c r="AN165" s="20"/>
      <c r="AO165" s="21">
        <f t="shared" ref="AO165:AO169" si="275">SUM(AL165:AN165)</f>
        <v>0</v>
      </c>
      <c r="AP165" s="25"/>
      <c r="AQ165" s="25"/>
      <c r="AR165" s="25"/>
      <c r="AS165" s="25"/>
      <c r="AT165" s="20"/>
      <c r="AU165" s="20"/>
      <c r="AV165" s="21">
        <f t="shared" ref="AV165:AV169" si="276">SUM(AP165:AU165)</f>
        <v>0</v>
      </c>
      <c r="AW165" s="4">
        <f t="shared" ref="AW165:AY169" si="277">F165+M165+T165+AA165+AP165</f>
        <v>0</v>
      </c>
      <c r="AX165" s="4">
        <f t="shared" si="277"/>
        <v>423800</v>
      </c>
      <c r="AY165" s="4">
        <f t="shared" si="277"/>
        <v>729850</v>
      </c>
      <c r="AZ165" s="4">
        <f t="shared" ref="AZ165:BA169" si="278">I165+P165+W165+AD165+AH165+AL165+AS165</f>
        <v>0</v>
      </c>
      <c r="BA165" s="94">
        <f t="shared" si="278"/>
        <v>0</v>
      </c>
      <c r="BB165" s="94">
        <f t="shared" ref="BB165:BB169" si="279">K165+R165+Y165+AF165+AJ165+AN165+AU165</f>
        <v>0</v>
      </c>
      <c r="BC165" s="9">
        <f t="shared" ref="BC165:BC169" si="280">SUM(AW165:BB165)</f>
        <v>1153650</v>
      </c>
    </row>
    <row r="166" spans="1:55" ht="31.5">
      <c r="A166" s="186"/>
      <c r="B166" s="8">
        <v>2</v>
      </c>
      <c r="C166" s="1" t="s">
        <v>301</v>
      </c>
      <c r="D166" s="46" t="s">
        <v>302</v>
      </c>
      <c r="E166" s="4" t="s">
        <v>32</v>
      </c>
      <c r="F166" s="4"/>
      <c r="G166" s="4"/>
      <c r="H166" s="5"/>
      <c r="I166" s="4"/>
      <c r="J166" s="4"/>
      <c r="K166" s="4"/>
      <c r="L166" s="9">
        <f t="shared" si="270"/>
        <v>0</v>
      </c>
      <c r="M166" s="76"/>
      <c r="N166" s="76"/>
      <c r="O166" s="76"/>
      <c r="P166" s="76"/>
      <c r="Q166" s="4"/>
      <c r="R166" s="4"/>
      <c r="S166" s="9">
        <f t="shared" si="271"/>
        <v>0</v>
      </c>
      <c r="T166" s="20"/>
      <c r="U166" s="20"/>
      <c r="V166" s="20"/>
      <c r="W166" s="20"/>
      <c r="X166" s="20"/>
      <c r="Y166" s="20"/>
      <c r="Z166" s="9">
        <f t="shared" si="272"/>
        <v>0</v>
      </c>
      <c r="AA166" s="20">
        <v>195000</v>
      </c>
      <c r="AB166" s="25">
        <v>733900</v>
      </c>
      <c r="AC166" s="25">
        <v>649900</v>
      </c>
      <c r="AD166" s="24">
        <v>810000</v>
      </c>
      <c r="AE166" s="20">
        <f>210000+210000+140000+70000+210000+140000</f>
        <v>980000</v>
      </c>
      <c r="AF166" s="20">
        <v>944600</v>
      </c>
      <c r="AG166" s="21">
        <f t="shared" si="273"/>
        <v>4313400</v>
      </c>
      <c r="AH166" s="25"/>
      <c r="AI166" s="20"/>
      <c r="AJ166" s="20"/>
      <c r="AK166" s="21">
        <f t="shared" si="274"/>
        <v>0</v>
      </c>
      <c r="AL166" s="25"/>
      <c r="AM166" s="20"/>
      <c r="AN166" s="20"/>
      <c r="AO166" s="21">
        <f t="shared" si="275"/>
        <v>0</v>
      </c>
      <c r="AP166" s="25"/>
      <c r="AQ166" s="25"/>
      <c r="AR166" s="25"/>
      <c r="AS166" s="25"/>
      <c r="AT166" s="20"/>
      <c r="AU166" s="20"/>
      <c r="AV166" s="21">
        <f t="shared" si="276"/>
        <v>0</v>
      </c>
      <c r="AW166" s="4">
        <f t="shared" si="277"/>
        <v>195000</v>
      </c>
      <c r="AX166" s="4">
        <f t="shared" si="277"/>
        <v>733900</v>
      </c>
      <c r="AY166" s="4">
        <f t="shared" si="277"/>
        <v>649900</v>
      </c>
      <c r="AZ166" s="4">
        <f t="shared" si="278"/>
        <v>810000</v>
      </c>
      <c r="BA166" s="94">
        <f t="shared" si="278"/>
        <v>980000</v>
      </c>
      <c r="BB166" s="94">
        <f t="shared" si="279"/>
        <v>944600</v>
      </c>
      <c r="BC166" s="9">
        <f t="shared" si="280"/>
        <v>4313400</v>
      </c>
    </row>
    <row r="167" spans="1:55" ht="31.5">
      <c r="A167" s="186"/>
      <c r="B167" s="8">
        <v>3</v>
      </c>
      <c r="C167" s="1" t="s">
        <v>303</v>
      </c>
      <c r="D167" s="46" t="s">
        <v>304</v>
      </c>
      <c r="E167" s="4" t="s">
        <v>32</v>
      </c>
      <c r="F167" s="4"/>
      <c r="G167" s="4"/>
      <c r="H167" s="5"/>
      <c r="I167" s="4"/>
      <c r="J167" s="4"/>
      <c r="K167" s="4"/>
      <c r="L167" s="9">
        <f t="shared" si="270"/>
        <v>0</v>
      </c>
      <c r="M167" s="76"/>
      <c r="N167" s="76"/>
      <c r="O167" s="76">
        <v>1490000</v>
      </c>
      <c r="P167" s="76">
        <v>250000</v>
      </c>
      <c r="Q167" s="4"/>
      <c r="R167" s="4"/>
      <c r="S167" s="9">
        <f t="shared" si="271"/>
        <v>1740000</v>
      </c>
      <c r="T167" s="20"/>
      <c r="U167" s="20"/>
      <c r="V167" s="20"/>
      <c r="W167" s="20"/>
      <c r="X167" s="20"/>
      <c r="Y167" s="20"/>
      <c r="Z167" s="9">
        <f t="shared" si="272"/>
        <v>0</v>
      </c>
      <c r="AA167" s="20"/>
      <c r="AB167" s="25">
        <v>1184650</v>
      </c>
      <c r="AC167" s="25">
        <v>994500</v>
      </c>
      <c r="AD167" s="25">
        <v>821500</v>
      </c>
      <c r="AE167" s="20">
        <f>136000+204000+204500+205500+205500</f>
        <v>955500</v>
      </c>
      <c r="AF167" s="20">
        <f>1037900+223100+111550</f>
        <v>1372550</v>
      </c>
      <c r="AG167" s="21">
        <f t="shared" si="273"/>
        <v>5328700</v>
      </c>
      <c r="AH167" s="25"/>
      <c r="AI167" s="20"/>
      <c r="AJ167" s="20"/>
      <c r="AK167" s="21">
        <f t="shared" si="274"/>
        <v>0</v>
      </c>
      <c r="AL167" s="25"/>
      <c r="AM167" s="20"/>
      <c r="AN167" s="20"/>
      <c r="AO167" s="21">
        <f t="shared" si="275"/>
        <v>0</v>
      </c>
      <c r="AP167" s="25"/>
      <c r="AQ167" s="25">
        <v>100000</v>
      </c>
      <c r="AR167" s="25">
        <v>253600</v>
      </c>
      <c r="AS167" s="25"/>
      <c r="AT167" s="20"/>
      <c r="AU167" s="20"/>
      <c r="AV167" s="21">
        <f t="shared" si="276"/>
        <v>353600</v>
      </c>
      <c r="AW167" s="4">
        <f t="shared" si="277"/>
        <v>0</v>
      </c>
      <c r="AX167" s="4">
        <f t="shared" si="277"/>
        <v>1284650</v>
      </c>
      <c r="AY167" s="4">
        <f t="shared" si="277"/>
        <v>2738100</v>
      </c>
      <c r="AZ167" s="4">
        <f t="shared" si="278"/>
        <v>1071500</v>
      </c>
      <c r="BA167" s="94">
        <f t="shared" si="278"/>
        <v>955500</v>
      </c>
      <c r="BB167" s="94">
        <f t="shared" si="279"/>
        <v>1372550</v>
      </c>
      <c r="BC167" s="9">
        <f t="shared" si="280"/>
        <v>7422300</v>
      </c>
    </row>
    <row r="168" spans="1:55">
      <c r="A168" s="186"/>
      <c r="B168" s="8">
        <v>4</v>
      </c>
      <c r="C168" s="42" t="s">
        <v>305</v>
      </c>
      <c r="D168" s="46" t="s">
        <v>304</v>
      </c>
      <c r="E168" s="4" t="s">
        <v>32</v>
      </c>
      <c r="F168" s="4"/>
      <c r="G168" s="4"/>
      <c r="H168" s="5"/>
      <c r="I168" s="4"/>
      <c r="J168" s="4"/>
      <c r="K168" s="4"/>
      <c r="L168" s="9">
        <f t="shared" si="270"/>
        <v>0</v>
      </c>
      <c r="M168" s="4"/>
      <c r="N168" s="4"/>
      <c r="O168" s="27"/>
      <c r="P168" s="10"/>
      <c r="Q168" s="4"/>
      <c r="R168" s="4"/>
      <c r="S168" s="9">
        <f t="shared" si="271"/>
        <v>0</v>
      </c>
      <c r="T168" s="20"/>
      <c r="U168" s="20"/>
      <c r="V168" s="4">
        <v>500000</v>
      </c>
      <c r="W168" s="20">
        <v>52000</v>
      </c>
      <c r="X168" s="20"/>
      <c r="Y168" s="20"/>
      <c r="Z168" s="9">
        <f t="shared" si="272"/>
        <v>552000</v>
      </c>
      <c r="AA168" s="20"/>
      <c r="AB168" s="25"/>
      <c r="AC168" s="25"/>
      <c r="AD168" s="25"/>
      <c r="AE168" s="20"/>
      <c r="AF168" s="20"/>
      <c r="AG168" s="21">
        <f t="shared" si="273"/>
        <v>0</v>
      </c>
      <c r="AH168" s="25"/>
      <c r="AI168" s="20"/>
      <c r="AJ168" s="20"/>
      <c r="AK168" s="21">
        <f t="shared" si="274"/>
        <v>0</v>
      </c>
      <c r="AL168" s="25"/>
      <c r="AM168" s="20"/>
      <c r="AN168" s="20"/>
      <c r="AO168" s="21">
        <f t="shared" si="275"/>
        <v>0</v>
      </c>
      <c r="AP168" s="25"/>
      <c r="AQ168" s="25"/>
      <c r="AR168" s="25"/>
      <c r="AS168" s="25"/>
      <c r="AT168" s="20"/>
      <c r="AU168" s="20"/>
      <c r="AV168" s="21">
        <f t="shared" si="276"/>
        <v>0</v>
      </c>
      <c r="AW168" s="4">
        <f t="shared" si="277"/>
        <v>0</v>
      </c>
      <c r="AX168" s="4">
        <f t="shared" si="277"/>
        <v>0</v>
      </c>
      <c r="AY168" s="4">
        <f t="shared" si="277"/>
        <v>500000</v>
      </c>
      <c r="AZ168" s="4">
        <f t="shared" si="278"/>
        <v>52000</v>
      </c>
      <c r="BA168" s="94">
        <f t="shared" si="278"/>
        <v>0</v>
      </c>
      <c r="BB168" s="94">
        <f t="shared" si="279"/>
        <v>0</v>
      </c>
      <c r="BC168" s="9">
        <f t="shared" si="280"/>
        <v>552000</v>
      </c>
    </row>
    <row r="169" spans="1:55" ht="18.75">
      <c r="A169" s="187"/>
      <c r="B169" s="8">
        <v>5</v>
      </c>
      <c r="C169" s="1" t="s">
        <v>306</v>
      </c>
      <c r="D169" s="91" t="s">
        <v>304</v>
      </c>
      <c r="E169" s="4" t="s">
        <v>32</v>
      </c>
      <c r="F169" s="4"/>
      <c r="G169" s="4"/>
      <c r="H169" s="5"/>
      <c r="I169" s="4"/>
      <c r="J169" s="4"/>
      <c r="K169" s="4"/>
      <c r="L169" s="9">
        <f t="shared" si="270"/>
        <v>0</v>
      </c>
      <c r="M169" s="76">
        <v>290000</v>
      </c>
      <c r="N169" s="76">
        <v>1860000</v>
      </c>
      <c r="O169" s="76">
        <v>270000</v>
      </c>
      <c r="P169" s="76">
        <v>1500000</v>
      </c>
      <c r="Q169" s="4">
        <f>175000+225000+225000+225000+150000</f>
        <v>1000000</v>
      </c>
      <c r="R169" s="4">
        <f>1485000+320000</f>
        <v>1805000</v>
      </c>
      <c r="S169" s="9">
        <f t="shared" si="271"/>
        <v>6725000</v>
      </c>
      <c r="T169" s="20"/>
      <c r="U169" s="20"/>
      <c r="V169" s="20"/>
      <c r="W169" s="20"/>
      <c r="X169" s="20"/>
      <c r="Y169" s="20"/>
      <c r="Z169" s="9">
        <f t="shared" si="272"/>
        <v>0</v>
      </c>
      <c r="AA169" s="20"/>
      <c r="AB169" s="25">
        <v>733350</v>
      </c>
      <c r="AC169" s="25">
        <v>388000</v>
      </c>
      <c r="AD169" s="25">
        <v>148000</v>
      </c>
      <c r="AE169" s="20"/>
      <c r="AF169" s="20"/>
      <c r="AG169" s="21">
        <f t="shared" si="273"/>
        <v>1269350</v>
      </c>
      <c r="AH169" s="25"/>
      <c r="AI169" s="20"/>
      <c r="AJ169" s="20"/>
      <c r="AK169" s="21">
        <f t="shared" si="274"/>
        <v>0</v>
      </c>
      <c r="AL169" s="25"/>
      <c r="AM169" s="20"/>
      <c r="AN169" s="20"/>
      <c r="AO169" s="21">
        <f t="shared" si="275"/>
        <v>0</v>
      </c>
      <c r="AP169" s="25"/>
      <c r="AQ169" s="25"/>
      <c r="AR169" s="25"/>
      <c r="AS169" s="25"/>
      <c r="AT169" s="20"/>
      <c r="AU169" s="20"/>
      <c r="AV169" s="21">
        <f t="shared" si="276"/>
        <v>0</v>
      </c>
      <c r="AW169" s="4">
        <f t="shared" si="277"/>
        <v>290000</v>
      </c>
      <c r="AX169" s="4">
        <f t="shared" si="277"/>
        <v>2593350</v>
      </c>
      <c r="AY169" s="4">
        <f t="shared" si="277"/>
        <v>658000</v>
      </c>
      <c r="AZ169" s="4">
        <f t="shared" si="278"/>
        <v>1648000</v>
      </c>
      <c r="BA169" s="94">
        <f t="shared" si="278"/>
        <v>1000000</v>
      </c>
      <c r="BB169" s="94">
        <f t="shared" si="279"/>
        <v>1805000</v>
      </c>
      <c r="BC169" s="9">
        <f t="shared" si="280"/>
        <v>7994350</v>
      </c>
    </row>
    <row r="170" spans="1:55" s="38" customFormat="1">
      <c r="A170" s="34"/>
      <c r="B170" s="34"/>
      <c r="C170" s="35" t="s">
        <v>307</v>
      </c>
      <c r="D170" s="36"/>
      <c r="E170" s="37"/>
      <c r="F170" s="37">
        <f>SUM(F165:F169)</f>
        <v>0</v>
      </c>
      <c r="G170" s="37">
        <f t="shared" ref="G170:BC170" si="281">SUM(G165:G169)</f>
        <v>0</v>
      </c>
      <c r="H170" s="37">
        <f t="shared" si="281"/>
        <v>0</v>
      </c>
      <c r="I170" s="37">
        <f t="shared" si="281"/>
        <v>0</v>
      </c>
      <c r="J170" s="37">
        <f t="shared" si="281"/>
        <v>0</v>
      </c>
      <c r="K170" s="37">
        <f t="shared" si="281"/>
        <v>0</v>
      </c>
      <c r="L170" s="37">
        <f t="shared" si="281"/>
        <v>0</v>
      </c>
      <c r="M170" s="37">
        <f t="shared" si="281"/>
        <v>290000</v>
      </c>
      <c r="N170" s="37">
        <f t="shared" si="281"/>
        <v>1860000</v>
      </c>
      <c r="O170" s="37">
        <f t="shared" si="281"/>
        <v>1760000</v>
      </c>
      <c r="P170" s="37">
        <f t="shared" si="281"/>
        <v>1750000</v>
      </c>
      <c r="Q170" s="37">
        <f t="shared" si="281"/>
        <v>1000000</v>
      </c>
      <c r="R170" s="37">
        <f t="shared" si="281"/>
        <v>1805000</v>
      </c>
      <c r="S170" s="37">
        <f t="shared" si="281"/>
        <v>8465000</v>
      </c>
      <c r="T170" s="37">
        <f t="shared" si="281"/>
        <v>0</v>
      </c>
      <c r="U170" s="37">
        <f t="shared" si="281"/>
        <v>0</v>
      </c>
      <c r="V170" s="37">
        <f t="shared" si="281"/>
        <v>500000</v>
      </c>
      <c r="W170" s="37">
        <f t="shared" si="281"/>
        <v>52000</v>
      </c>
      <c r="X170" s="37">
        <f t="shared" si="281"/>
        <v>0</v>
      </c>
      <c r="Y170" s="37">
        <f t="shared" si="281"/>
        <v>0</v>
      </c>
      <c r="Z170" s="37">
        <f t="shared" si="281"/>
        <v>552000</v>
      </c>
      <c r="AA170" s="37">
        <f t="shared" si="281"/>
        <v>195000</v>
      </c>
      <c r="AB170" s="37">
        <f t="shared" si="281"/>
        <v>3075700</v>
      </c>
      <c r="AC170" s="37">
        <f t="shared" si="281"/>
        <v>2762250</v>
      </c>
      <c r="AD170" s="37">
        <f t="shared" si="281"/>
        <v>1779500</v>
      </c>
      <c r="AE170" s="37">
        <f t="shared" si="281"/>
        <v>1935500</v>
      </c>
      <c r="AF170" s="37">
        <f t="shared" si="281"/>
        <v>2317150</v>
      </c>
      <c r="AG170" s="37">
        <f t="shared" si="281"/>
        <v>12065100</v>
      </c>
      <c r="AH170" s="37">
        <f t="shared" si="281"/>
        <v>0</v>
      </c>
      <c r="AI170" s="37">
        <f t="shared" si="281"/>
        <v>0</v>
      </c>
      <c r="AJ170" s="37">
        <f t="shared" si="281"/>
        <v>0</v>
      </c>
      <c r="AK170" s="37">
        <f t="shared" si="281"/>
        <v>0</v>
      </c>
      <c r="AL170" s="37">
        <f t="shared" si="281"/>
        <v>0</v>
      </c>
      <c r="AM170" s="37">
        <f t="shared" si="281"/>
        <v>0</v>
      </c>
      <c r="AN170" s="37">
        <f t="shared" si="281"/>
        <v>0</v>
      </c>
      <c r="AO170" s="37">
        <f t="shared" si="281"/>
        <v>0</v>
      </c>
      <c r="AP170" s="37">
        <f t="shared" si="281"/>
        <v>0</v>
      </c>
      <c r="AQ170" s="37">
        <f t="shared" si="281"/>
        <v>100000</v>
      </c>
      <c r="AR170" s="37">
        <f t="shared" si="281"/>
        <v>253600</v>
      </c>
      <c r="AS170" s="37">
        <f t="shared" si="281"/>
        <v>0</v>
      </c>
      <c r="AT170" s="37">
        <f t="shared" si="281"/>
        <v>0</v>
      </c>
      <c r="AU170" s="37">
        <f t="shared" si="281"/>
        <v>0</v>
      </c>
      <c r="AV170" s="37">
        <f t="shared" si="281"/>
        <v>353600</v>
      </c>
      <c r="AW170" s="37">
        <f t="shared" si="281"/>
        <v>485000</v>
      </c>
      <c r="AX170" s="37">
        <f t="shared" si="281"/>
        <v>5035700</v>
      </c>
      <c r="AY170" s="37">
        <f t="shared" si="281"/>
        <v>5275850</v>
      </c>
      <c r="AZ170" s="37">
        <f t="shared" si="281"/>
        <v>3581500</v>
      </c>
      <c r="BA170" s="37">
        <f t="shared" si="281"/>
        <v>2935500</v>
      </c>
      <c r="BB170" s="37">
        <f t="shared" si="281"/>
        <v>4122150</v>
      </c>
      <c r="BC170" s="37">
        <f t="shared" si="281"/>
        <v>21435700</v>
      </c>
    </row>
    <row r="171" spans="1:55">
      <c r="A171" s="185" t="s">
        <v>24</v>
      </c>
      <c r="B171" s="8">
        <v>1</v>
      </c>
      <c r="C171" s="1" t="s">
        <v>308</v>
      </c>
      <c r="D171" s="61" t="s">
        <v>309</v>
      </c>
      <c r="E171" s="4" t="s">
        <v>24</v>
      </c>
      <c r="F171" s="4"/>
      <c r="G171" s="4"/>
      <c r="H171" s="5"/>
      <c r="I171" s="4"/>
      <c r="J171" s="4"/>
      <c r="K171" s="4"/>
      <c r="L171" s="9">
        <f t="shared" ref="L171:L207" si="282">SUM(F171:K171)</f>
        <v>0</v>
      </c>
      <c r="M171" s="4"/>
      <c r="N171" s="4"/>
      <c r="O171" s="4"/>
      <c r="P171" s="4"/>
      <c r="Q171" s="4"/>
      <c r="R171" s="4"/>
      <c r="S171" s="9">
        <f t="shared" ref="S171:S207" si="283">SUM(M171:R171)</f>
        <v>0</v>
      </c>
      <c r="T171" s="20"/>
      <c r="U171" s="20"/>
      <c r="V171" s="20"/>
      <c r="W171" s="20"/>
      <c r="X171" s="20"/>
      <c r="Y171" s="20"/>
      <c r="Z171" s="9">
        <f t="shared" ref="Z171:Z207" si="284">SUM(T171:Y171)</f>
        <v>0</v>
      </c>
      <c r="AA171" s="20">
        <v>195000</v>
      </c>
      <c r="AB171" s="25">
        <v>271600</v>
      </c>
      <c r="AC171" s="24">
        <v>38800</v>
      </c>
      <c r="AD171" s="24">
        <v>514000</v>
      </c>
      <c r="AE171" s="20">
        <f>77000+122500+126000+147000+98000</f>
        <v>570500</v>
      </c>
      <c r="AF171" s="20">
        <f>693400+135800+67900</f>
        <v>897100</v>
      </c>
      <c r="AG171" s="21">
        <f t="shared" ref="AG171:AG207" si="285">SUM(AA171:AF171)</f>
        <v>2487000</v>
      </c>
      <c r="AH171" s="25">
        <v>0</v>
      </c>
      <c r="AI171" s="20"/>
      <c r="AJ171" s="20"/>
      <c r="AK171" s="21">
        <f t="shared" ref="AK171:AK207" si="286">SUM(AH171:AJ171)</f>
        <v>0</v>
      </c>
      <c r="AL171" s="25"/>
      <c r="AM171" s="20"/>
      <c r="AN171" s="20"/>
      <c r="AO171" s="21">
        <f t="shared" ref="AO171:AO207" si="287">SUM(AL171:AN171)</f>
        <v>0</v>
      </c>
      <c r="AP171" s="25"/>
      <c r="AQ171" s="25"/>
      <c r="AR171" s="25"/>
      <c r="AS171" s="25"/>
      <c r="AT171" s="20"/>
      <c r="AU171" s="20"/>
      <c r="AV171" s="21">
        <f t="shared" ref="AV171:AV207" si="288">SUM(AP171:AU171)</f>
        <v>0</v>
      </c>
      <c r="AW171" s="4">
        <f t="shared" ref="AW171:AW207" si="289">F171+M171+T171+AA171+AP171</f>
        <v>195000</v>
      </c>
      <c r="AX171" s="4">
        <f t="shared" ref="AX171:AX207" si="290">G171+N171+U171+AB171+AQ171</f>
        <v>271600</v>
      </c>
      <c r="AY171" s="4">
        <f t="shared" ref="AY171:AY207" si="291">H171+O171+V171+AC171+AR171</f>
        <v>38800</v>
      </c>
      <c r="AZ171" s="4">
        <f t="shared" ref="AZ171:AZ207" si="292">I171+P171+W171+AD171+AH171+AL171+AS171</f>
        <v>514000</v>
      </c>
      <c r="BA171" s="94">
        <f t="shared" ref="BA171:BA207" si="293">J171+Q171+X171+AE171+AI171+AM171+AT171</f>
        <v>570500</v>
      </c>
      <c r="BB171" s="94">
        <f t="shared" ref="BB171:BB207" si="294">K171+R171+Y171+AF171+AJ171+AN171+AU171</f>
        <v>897100</v>
      </c>
      <c r="BC171" s="9">
        <f t="shared" ref="BC171:BC207" si="295">SUM(AW171:BB171)</f>
        <v>2487000</v>
      </c>
    </row>
    <row r="172" spans="1:55">
      <c r="A172" s="186"/>
      <c r="B172" s="8">
        <v>2</v>
      </c>
      <c r="C172" s="1" t="s">
        <v>310</v>
      </c>
      <c r="D172" s="12" t="s">
        <v>448</v>
      </c>
      <c r="E172" s="4" t="s">
        <v>24</v>
      </c>
      <c r="F172" s="4">
        <v>155000</v>
      </c>
      <c r="G172" s="4">
        <v>881000</v>
      </c>
      <c r="H172" s="4">
        <f>110000+110000+330000</f>
        <v>550000</v>
      </c>
      <c r="I172" s="4">
        <f>160000+20000</f>
        <v>180000</v>
      </c>
      <c r="J172" s="4"/>
      <c r="K172" s="4"/>
      <c r="L172" s="9">
        <f t="shared" si="282"/>
        <v>1766000</v>
      </c>
      <c r="M172" s="4"/>
      <c r="N172" s="4"/>
      <c r="O172" s="4"/>
      <c r="P172" s="4"/>
      <c r="Q172" s="4"/>
      <c r="R172" s="4"/>
      <c r="S172" s="9">
        <f t="shared" si="283"/>
        <v>0</v>
      </c>
      <c r="T172" s="20"/>
      <c r="U172" s="20"/>
      <c r="V172" s="20"/>
      <c r="W172" s="20"/>
      <c r="X172" s="20"/>
      <c r="Y172" s="20"/>
      <c r="Z172" s="9">
        <f t="shared" si="284"/>
        <v>0</v>
      </c>
      <c r="AA172" s="20"/>
      <c r="AB172" s="25">
        <v>1020900</v>
      </c>
      <c r="AC172" s="24">
        <v>621200</v>
      </c>
      <c r="AD172" s="24">
        <v>240000</v>
      </c>
      <c r="AE172" s="20"/>
      <c r="AF172" s="20"/>
      <c r="AG172" s="21">
        <f t="shared" si="285"/>
        <v>1882100</v>
      </c>
      <c r="AH172" s="25">
        <v>1155000</v>
      </c>
      <c r="AI172" s="20">
        <f>105000+311500+315000+315000+210000</f>
        <v>1256500</v>
      </c>
      <c r="AJ172" s="20">
        <f>1387200+296000+148000</f>
        <v>1831200</v>
      </c>
      <c r="AK172" s="21">
        <f t="shared" si="286"/>
        <v>4242700</v>
      </c>
      <c r="AL172" s="25"/>
      <c r="AM172" s="20"/>
      <c r="AN172" s="20"/>
      <c r="AO172" s="21">
        <f t="shared" si="287"/>
        <v>0</v>
      </c>
      <c r="AP172" s="25"/>
      <c r="AQ172" s="25">
        <v>100000</v>
      </c>
      <c r="AR172" s="25">
        <f>218150+257600</f>
        <v>475750</v>
      </c>
      <c r="AS172" s="25"/>
      <c r="AT172" s="20"/>
      <c r="AU172" s="20"/>
      <c r="AV172" s="21">
        <f t="shared" si="288"/>
        <v>575750</v>
      </c>
      <c r="AW172" s="4">
        <f t="shared" si="289"/>
        <v>155000</v>
      </c>
      <c r="AX172" s="4">
        <f t="shared" si="290"/>
        <v>2001900</v>
      </c>
      <c r="AY172" s="4">
        <f t="shared" si="291"/>
        <v>1646950</v>
      </c>
      <c r="AZ172" s="4">
        <f t="shared" si="292"/>
        <v>1575000</v>
      </c>
      <c r="BA172" s="94">
        <f t="shared" si="293"/>
        <v>1256500</v>
      </c>
      <c r="BB172" s="94">
        <f t="shared" si="294"/>
        <v>1831200</v>
      </c>
      <c r="BC172" s="9">
        <f t="shared" si="295"/>
        <v>8466550</v>
      </c>
    </row>
    <row r="173" spans="1:55" ht="30">
      <c r="A173" s="186"/>
      <c r="B173" s="8">
        <v>3</v>
      </c>
      <c r="C173" s="2" t="s">
        <v>312</v>
      </c>
      <c r="D173" s="13" t="s">
        <v>313</v>
      </c>
      <c r="E173" s="4" t="s">
        <v>24</v>
      </c>
      <c r="F173" s="4"/>
      <c r="G173" s="4"/>
      <c r="H173" s="4"/>
      <c r="I173" s="4"/>
      <c r="J173" s="4"/>
      <c r="K173" s="4"/>
      <c r="L173" s="9">
        <f t="shared" si="282"/>
        <v>0</v>
      </c>
      <c r="M173" s="4"/>
      <c r="N173" s="4"/>
      <c r="O173" s="4"/>
      <c r="P173" s="4"/>
      <c r="Q173" s="4"/>
      <c r="R173" s="4"/>
      <c r="S173" s="9">
        <f t="shared" si="283"/>
        <v>0</v>
      </c>
      <c r="T173" s="20"/>
      <c r="U173" s="20"/>
      <c r="V173" s="20"/>
      <c r="W173" s="20"/>
      <c r="X173" s="20"/>
      <c r="Y173" s="20"/>
      <c r="Z173" s="9">
        <f t="shared" si="284"/>
        <v>0</v>
      </c>
      <c r="AA173" s="20"/>
      <c r="AB173" s="25"/>
      <c r="AC173" s="24"/>
      <c r="AD173" s="24"/>
      <c r="AE173" s="20"/>
      <c r="AF173" s="20"/>
      <c r="AG173" s="21">
        <f t="shared" si="285"/>
        <v>0</v>
      </c>
      <c r="AH173" s="25">
        <v>0</v>
      </c>
      <c r="AI173" s="20"/>
      <c r="AJ173" s="20"/>
      <c r="AK173" s="21">
        <f t="shared" si="286"/>
        <v>0</v>
      </c>
      <c r="AL173" s="25"/>
      <c r="AM173" s="20"/>
      <c r="AN173" s="20"/>
      <c r="AO173" s="21">
        <f t="shared" si="287"/>
        <v>0</v>
      </c>
      <c r="AP173" s="25"/>
      <c r="AQ173" s="25">
        <v>100000</v>
      </c>
      <c r="AR173" s="25">
        <v>276000</v>
      </c>
      <c r="AS173" s="25"/>
      <c r="AT173" s="20"/>
      <c r="AU173" s="20"/>
      <c r="AV173" s="21">
        <f t="shared" si="288"/>
        <v>376000</v>
      </c>
      <c r="AW173" s="4">
        <f t="shared" si="289"/>
        <v>0</v>
      </c>
      <c r="AX173" s="4">
        <f t="shared" si="290"/>
        <v>100000</v>
      </c>
      <c r="AY173" s="4">
        <f t="shared" si="291"/>
        <v>276000</v>
      </c>
      <c r="AZ173" s="4">
        <f t="shared" si="292"/>
        <v>0</v>
      </c>
      <c r="BA173" s="94">
        <f t="shared" si="293"/>
        <v>0</v>
      </c>
      <c r="BB173" s="94">
        <f t="shared" si="294"/>
        <v>0</v>
      </c>
      <c r="BC173" s="9">
        <f t="shared" si="295"/>
        <v>376000</v>
      </c>
    </row>
    <row r="174" spans="1:55">
      <c r="A174" s="186"/>
      <c r="B174" s="8">
        <v>4</v>
      </c>
      <c r="C174" s="1" t="s">
        <v>314</v>
      </c>
      <c r="D174" s="12" t="s">
        <v>26</v>
      </c>
      <c r="E174" s="4" t="s">
        <v>24</v>
      </c>
      <c r="F174" s="4"/>
      <c r="G174" s="4">
        <v>155000</v>
      </c>
      <c r="H174" s="4">
        <f>368500+47500+82500</f>
        <v>498500</v>
      </c>
      <c r="I174" s="4">
        <f>100000+120000</f>
        <v>220000</v>
      </c>
      <c r="J174" s="4"/>
      <c r="K174" s="4"/>
      <c r="L174" s="9">
        <f t="shared" si="282"/>
        <v>873500</v>
      </c>
      <c r="M174" s="4"/>
      <c r="N174" s="4"/>
      <c r="O174" s="4"/>
      <c r="P174" s="4"/>
      <c r="Q174" s="4"/>
      <c r="R174" s="4"/>
      <c r="S174" s="9">
        <f t="shared" si="283"/>
        <v>0</v>
      </c>
      <c r="T174" s="20"/>
      <c r="U174" s="20"/>
      <c r="V174" s="20"/>
      <c r="W174" s="20"/>
      <c r="X174" s="20"/>
      <c r="Y174" s="20"/>
      <c r="Z174" s="9">
        <f t="shared" si="284"/>
        <v>0</v>
      </c>
      <c r="AA174" s="20"/>
      <c r="AB174" s="25">
        <v>607050</v>
      </c>
      <c r="AC174" s="24">
        <v>506100</v>
      </c>
      <c r="AD174" s="24">
        <v>180000</v>
      </c>
      <c r="AE174" s="20"/>
      <c r="AF174" s="20"/>
      <c r="AG174" s="21">
        <f t="shared" si="285"/>
        <v>1293150</v>
      </c>
      <c r="AH174" s="25">
        <v>921500</v>
      </c>
      <c r="AI174" s="20">
        <f>310500+309000+305500+307500+203500</f>
        <v>1436000</v>
      </c>
      <c r="AJ174" s="20">
        <f>1352500+280800+140000</f>
        <v>1773300</v>
      </c>
      <c r="AK174" s="21">
        <f t="shared" si="286"/>
        <v>4130800</v>
      </c>
      <c r="AL174" s="25"/>
      <c r="AM174" s="20"/>
      <c r="AN174" s="20"/>
      <c r="AO174" s="21">
        <f t="shared" si="287"/>
        <v>0</v>
      </c>
      <c r="AP174" s="25"/>
      <c r="AQ174" s="25"/>
      <c r="AR174" s="25"/>
      <c r="AS174" s="25"/>
      <c r="AT174" s="20"/>
      <c r="AU174" s="20"/>
      <c r="AV174" s="21">
        <f t="shared" si="288"/>
        <v>0</v>
      </c>
      <c r="AW174" s="4">
        <f t="shared" si="289"/>
        <v>0</v>
      </c>
      <c r="AX174" s="4">
        <f t="shared" si="290"/>
        <v>762050</v>
      </c>
      <c r="AY174" s="4">
        <f t="shared" si="291"/>
        <v>1004600</v>
      </c>
      <c r="AZ174" s="4">
        <f t="shared" si="292"/>
        <v>1321500</v>
      </c>
      <c r="BA174" s="94">
        <f t="shared" si="293"/>
        <v>1436000</v>
      </c>
      <c r="BB174" s="94">
        <f t="shared" si="294"/>
        <v>1773300</v>
      </c>
      <c r="BC174" s="9">
        <f t="shared" si="295"/>
        <v>6297450</v>
      </c>
    </row>
    <row r="175" spans="1:55">
      <c r="A175" s="186"/>
      <c r="B175" s="8">
        <v>5</v>
      </c>
      <c r="C175" s="1" t="s">
        <v>315</v>
      </c>
      <c r="D175" s="12" t="s">
        <v>316</v>
      </c>
      <c r="E175" s="4" t="s">
        <v>24</v>
      </c>
      <c r="F175" s="4"/>
      <c r="G175" s="4"/>
      <c r="H175" s="4">
        <v>155000</v>
      </c>
      <c r="I175" s="4">
        <f>64000+12000</f>
        <v>76000</v>
      </c>
      <c r="J175" s="4"/>
      <c r="K175" s="4"/>
      <c r="L175" s="9">
        <f t="shared" si="282"/>
        <v>231000</v>
      </c>
      <c r="M175" s="4"/>
      <c r="N175" s="4"/>
      <c r="O175" s="4"/>
      <c r="P175" s="4"/>
      <c r="Q175" s="4"/>
      <c r="R175" s="4"/>
      <c r="S175" s="9">
        <f t="shared" si="283"/>
        <v>0</v>
      </c>
      <c r="T175" s="20"/>
      <c r="U175" s="20"/>
      <c r="V175" s="20"/>
      <c r="W175" s="20"/>
      <c r="X175" s="20"/>
      <c r="Y175" s="20"/>
      <c r="Z175" s="9">
        <f t="shared" si="284"/>
        <v>0</v>
      </c>
      <c r="AA175" s="20"/>
      <c r="AB175" s="25">
        <v>195000</v>
      </c>
      <c r="AC175" s="24">
        <v>377200</v>
      </c>
      <c r="AD175" s="24">
        <v>140000</v>
      </c>
      <c r="AE175" s="20"/>
      <c r="AF175" s="20"/>
      <c r="AG175" s="21">
        <f t="shared" si="285"/>
        <v>712200</v>
      </c>
      <c r="AH175" s="25">
        <v>612500</v>
      </c>
      <c r="AI175" s="20">
        <f>56000+175000+189000+189000+126000</f>
        <v>735000</v>
      </c>
      <c r="AJ175" s="20">
        <f>705600+126000+63000</f>
        <v>894600</v>
      </c>
      <c r="AK175" s="21">
        <f t="shared" si="286"/>
        <v>2242100</v>
      </c>
      <c r="AL175" s="25"/>
      <c r="AM175" s="20"/>
      <c r="AN175" s="20"/>
      <c r="AO175" s="21">
        <f t="shared" si="287"/>
        <v>0</v>
      </c>
      <c r="AP175" s="25"/>
      <c r="AQ175" s="25">
        <v>100000</v>
      </c>
      <c r="AR175" s="25">
        <v>276000</v>
      </c>
      <c r="AS175" s="25"/>
      <c r="AT175" s="20"/>
      <c r="AU175" s="20"/>
      <c r="AV175" s="21">
        <f t="shared" si="288"/>
        <v>376000</v>
      </c>
      <c r="AW175" s="4">
        <f t="shared" si="289"/>
        <v>0</v>
      </c>
      <c r="AX175" s="4">
        <f t="shared" si="290"/>
        <v>295000</v>
      </c>
      <c r="AY175" s="4">
        <f t="shared" si="291"/>
        <v>808200</v>
      </c>
      <c r="AZ175" s="4">
        <f t="shared" si="292"/>
        <v>828500</v>
      </c>
      <c r="BA175" s="94">
        <f t="shared" si="293"/>
        <v>735000</v>
      </c>
      <c r="BB175" s="94">
        <f t="shared" si="294"/>
        <v>894600</v>
      </c>
      <c r="BC175" s="9">
        <f t="shared" si="295"/>
        <v>3561300</v>
      </c>
    </row>
    <row r="176" spans="1:55" ht="47.25">
      <c r="A176" s="186"/>
      <c r="B176" s="8">
        <v>6</v>
      </c>
      <c r="C176" s="44" t="s">
        <v>317</v>
      </c>
      <c r="D176" s="62" t="s">
        <v>318</v>
      </c>
      <c r="E176" s="4" t="s">
        <v>24</v>
      </c>
      <c r="F176" s="4"/>
      <c r="G176" s="4"/>
      <c r="H176" s="4"/>
      <c r="I176" s="4"/>
      <c r="J176" s="4"/>
      <c r="K176" s="4"/>
      <c r="L176" s="9">
        <f t="shared" si="282"/>
        <v>0</v>
      </c>
      <c r="M176" s="76"/>
      <c r="N176" s="76"/>
      <c r="O176" s="76">
        <v>290000</v>
      </c>
      <c r="P176" s="76"/>
      <c r="Q176" s="4"/>
      <c r="R176" s="4"/>
      <c r="S176" s="9">
        <f t="shared" si="283"/>
        <v>290000</v>
      </c>
      <c r="T176" s="20"/>
      <c r="U176" s="20"/>
      <c r="V176" s="20"/>
      <c r="W176" s="20"/>
      <c r="X176" s="20"/>
      <c r="Y176" s="20"/>
      <c r="Z176" s="9">
        <f t="shared" si="284"/>
        <v>0</v>
      </c>
      <c r="AA176" s="20"/>
      <c r="AB176" s="25"/>
      <c r="AC176" s="24"/>
      <c r="AD176" s="24"/>
      <c r="AE176" s="20"/>
      <c r="AF176" s="20"/>
      <c r="AG176" s="21">
        <f t="shared" si="285"/>
        <v>0</v>
      </c>
      <c r="AH176" s="25">
        <v>0</v>
      </c>
      <c r="AI176" s="20"/>
      <c r="AJ176" s="20"/>
      <c r="AK176" s="21">
        <f t="shared" si="286"/>
        <v>0</v>
      </c>
      <c r="AL176" s="25"/>
      <c r="AM176" s="20"/>
      <c r="AN176" s="20"/>
      <c r="AO176" s="21">
        <f t="shared" si="287"/>
        <v>0</v>
      </c>
      <c r="AP176" s="25"/>
      <c r="AQ176" s="25"/>
      <c r="AR176" s="25"/>
      <c r="AS176" s="25"/>
      <c r="AT176" s="20"/>
      <c r="AU176" s="20"/>
      <c r="AV176" s="21">
        <f t="shared" si="288"/>
        <v>0</v>
      </c>
      <c r="AW176" s="4">
        <f t="shared" si="289"/>
        <v>0</v>
      </c>
      <c r="AX176" s="4">
        <f t="shared" si="290"/>
        <v>0</v>
      </c>
      <c r="AY176" s="4">
        <f t="shared" si="291"/>
        <v>290000</v>
      </c>
      <c r="AZ176" s="4">
        <f t="shared" si="292"/>
        <v>0</v>
      </c>
      <c r="BA176" s="94">
        <f t="shared" si="293"/>
        <v>0</v>
      </c>
      <c r="BB176" s="94">
        <f t="shared" si="294"/>
        <v>0</v>
      </c>
      <c r="BC176" s="9">
        <f t="shared" si="295"/>
        <v>290000</v>
      </c>
    </row>
    <row r="177" spans="1:55">
      <c r="A177" s="186"/>
      <c r="B177" s="8">
        <v>7</v>
      </c>
      <c r="C177" s="1" t="s">
        <v>319</v>
      </c>
      <c r="D177" s="12" t="s">
        <v>320</v>
      </c>
      <c r="E177" s="4" t="s">
        <v>24</v>
      </c>
      <c r="F177" s="4"/>
      <c r="G177" s="4">
        <v>155000</v>
      </c>
      <c r="H177" s="4"/>
      <c r="I177" s="4"/>
      <c r="J177" s="4"/>
      <c r="K177" s="4"/>
      <c r="L177" s="9">
        <f t="shared" si="282"/>
        <v>155000</v>
      </c>
      <c r="M177" s="4"/>
      <c r="N177" s="4"/>
      <c r="O177" s="4"/>
      <c r="P177" s="4"/>
      <c r="Q177" s="4"/>
      <c r="R177" s="4"/>
      <c r="S177" s="9">
        <f t="shared" si="283"/>
        <v>0</v>
      </c>
      <c r="T177" s="20"/>
      <c r="U177" s="20"/>
      <c r="V177" s="20"/>
      <c r="W177" s="20"/>
      <c r="X177" s="20"/>
      <c r="Y177" s="20"/>
      <c r="Z177" s="9">
        <f t="shared" si="284"/>
        <v>0</v>
      </c>
      <c r="AA177" s="20"/>
      <c r="AB177" s="20">
        <v>345350</v>
      </c>
      <c r="AC177" s="24">
        <v>155200</v>
      </c>
      <c r="AD177" s="24"/>
      <c r="AE177" s="20"/>
      <c r="AF177" s="20"/>
      <c r="AG177" s="21">
        <f t="shared" si="285"/>
        <v>500550</v>
      </c>
      <c r="AH177" s="25">
        <v>0</v>
      </c>
      <c r="AI177" s="20"/>
      <c r="AJ177" s="20"/>
      <c r="AK177" s="21">
        <f t="shared" si="286"/>
        <v>0</v>
      </c>
      <c r="AL177" s="25"/>
      <c r="AM177" s="20"/>
      <c r="AN177" s="20"/>
      <c r="AO177" s="21">
        <f t="shared" si="287"/>
        <v>0</v>
      </c>
      <c r="AP177" s="25"/>
      <c r="AQ177" s="25"/>
      <c r="AR177" s="25"/>
      <c r="AS177" s="25"/>
      <c r="AT177" s="20"/>
      <c r="AU177" s="20"/>
      <c r="AV177" s="21">
        <f t="shared" si="288"/>
        <v>0</v>
      </c>
      <c r="AW177" s="4">
        <f t="shared" si="289"/>
        <v>0</v>
      </c>
      <c r="AX177" s="4">
        <f t="shared" si="290"/>
        <v>500350</v>
      </c>
      <c r="AY177" s="4">
        <f t="shared" si="291"/>
        <v>155200</v>
      </c>
      <c r="AZ177" s="4">
        <f t="shared" si="292"/>
        <v>0</v>
      </c>
      <c r="BA177" s="94">
        <f t="shared" si="293"/>
        <v>0</v>
      </c>
      <c r="BB177" s="94">
        <f t="shared" si="294"/>
        <v>0</v>
      </c>
      <c r="BC177" s="9">
        <f t="shared" si="295"/>
        <v>655550</v>
      </c>
    </row>
    <row r="178" spans="1:55">
      <c r="A178" s="186"/>
      <c r="B178" s="8">
        <v>8</v>
      </c>
      <c r="C178" s="1" t="s">
        <v>321</v>
      </c>
      <c r="D178" s="12" t="s">
        <v>313</v>
      </c>
      <c r="E178" s="4" t="s">
        <v>24</v>
      </c>
      <c r="F178" s="4"/>
      <c r="G178" s="4">
        <v>255000</v>
      </c>
      <c r="H178" s="4">
        <f>52000+60500+209000+77000</f>
        <v>398500</v>
      </c>
      <c r="I178" s="4">
        <f>140000+20000</f>
        <v>160000</v>
      </c>
      <c r="J178" s="4"/>
      <c r="K178" s="4"/>
      <c r="L178" s="9">
        <f t="shared" si="282"/>
        <v>813500</v>
      </c>
      <c r="M178" s="4"/>
      <c r="N178" s="4"/>
      <c r="O178" s="4"/>
      <c r="P178" s="4"/>
      <c r="Q178" s="4"/>
      <c r="R178" s="4"/>
      <c r="S178" s="9">
        <f t="shared" si="283"/>
        <v>0</v>
      </c>
      <c r="T178" s="20"/>
      <c r="U178" s="20"/>
      <c r="V178" s="20"/>
      <c r="W178" s="20"/>
      <c r="X178" s="20"/>
      <c r="Y178" s="20"/>
      <c r="Z178" s="9">
        <f t="shared" si="284"/>
        <v>0</v>
      </c>
      <c r="AA178" s="20"/>
      <c r="AB178" s="25">
        <v>392250</v>
      </c>
      <c r="AC178" s="24">
        <v>664450</v>
      </c>
      <c r="AD178" s="24">
        <v>270000</v>
      </c>
      <c r="AE178" s="20"/>
      <c r="AF178" s="20"/>
      <c r="AG178" s="21">
        <f t="shared" si="285"/>
        <v>1326700</v>
      </c>
      <c r="AH178" s="25">
        <v>1155000</v>
      </c>
      <c r="AI178" s="20">
        <f>105000+315000+315000+315000+210000</f>
        <v>1260000</v>
      </c>
      <c r="AJ178" s="20">
        <f>1364000+312000+156000</f>
        <v>1832000</v>
      </c>
      <c r="AK178" s="21">
        <f t="shared" si="286"/>
        <v>4247000</v>
      </c>
      <c r="AL178" s="25"/>
      <c r="AM178" s="20"/>
      <c r="AN178" s="20"/>
      <c r="AO178" s="21">
        <f t="shared" si="287"/>
        <v>0</v>
      </c>
      <c r="AP178" s="25"/>
      <c r="AQ178" s="25">
        <v>100000</v>
      </c>
      <c r="AR178" s="25">
        <v>276000</v>
      </c>
      <c r="AS178" s="25"/>
      <c r="AT178" s="20"/>
      <c r="AU178" s="20"/>
      <c r="AV178" s="21">
        <f t="shared" si="288"/>
        <v>376000</v>
      </c>
      <c r="AW178" s="4">
        <f t="shared" si="289"/>
        <v>0</v>
      </c>
      <c r="AX178" s="4">
        <f t="shared" si="290"/>
        <v>747250</v>
      </c>
      <c r="AY178" s="4">
        <f t="shared" si="291"/>
        <v>1338950</v>
      </c>
      <c r="AZ178" s="4">
        <f t="shared" si="292"/>
        <v>1585000</v>
      </c>
      <c r="BA178" s="94">
        <f t="shared" si="293"/>
        <v>1260000</v>
      </c>
      <c r="BB178" s="94">
        <f t="shared" si="294"/>
        <v>1832000</v>
      </c>
      <c r="BC178" s="9">
        <f t="shared" si="295"/>
        <v>6763200</v>
      </c>
    </row>
    <row r="179" spans="1:55" ht="47.25">
      <c r="A179" s="186"/>
      <c r="B179" s="8">
        <v>9</v>
      </c>
      <c r="C179" s="1" t="s">
        <v>322</v>
      </c>
      <c r="D179" s="12" t="s">
        <v>323</v>
      </c>
      <c r="E179" s="4" t="s">
        <v>24</v>
      </c>
      <c r="F179" s="4">
        <v>155000</v>
      </c>
      <c r="G179" s="4">
        <v>137500</v>
      </c>
      <c r="H179" s="4">
        <f>115500+38500+44000+33000</f>
        <v>231000</v>
      </c>
      <c r="I179" s="4"/>
      <c r="J179" s="4"/>
      <c r="K179" s="4"/>
      <c r="L179" s="9">
        <f t="shared" si="282"/>
        <v>523500</v>
      </c>
      <c r="M179" s="4"/>
      <c r="N179" s="4"/>
      <c r="O179" s="4"/>
      <c r="P179" s="4"/>
      <c r="Q179" s="4"/>
      <c r="R179" s="4"/>
      <c r="S179" s="9">
        <f t="shared" si="283"/>
        <v>0</v>
      </c>
      <c r="T179" s="20">
        <v>290000</v>
      </c>
      <c r="U179" s="20"/>
      <c r="V179" s="4">
        <v>1218000</v>
      </c>
      <c r="W179" s="22"/>
      <c r="X179" s="22"/>
      <c r="Y179" s="22"/>
      <c r="Z179" s="9">
        <f t="shared" si="284"/>
        <v>1508000</v>
      </c>
      <c r="AA179" s="20">
        <v>195000</v>
      </c>
      <c r="AB179" s="25">
        <v>359450</v>
      </c>
      <c r="AC179" s="24">
        <v>55200</v>
      </c>
      <c r="AD179" s="24"/>
      <c r="AE179" s="20"/>
      <c r="AF179" s="20"/>
      <c r="AG179" s="21">
        <f t="shared" si="285"/>
        <v>609650</v>
      </c>
      <c r="AH179" s="25">
        <v>0</v>
      </c>
      <c r="AI179" s="20"/>
      <c r="AJ179" s="20"/>
      <c r="AK179" s="21">
        <f t="shared" si="286"/>
        <v>0</v>
      </c>
      <c r="AL179" s="25"/>
      <c r="AM179" s="20"/>
      <c r="AN179" s="20"/>
      <c r="AO179" s="21">
        <f t="shared" si="287"/>
        <v>0</v>
      </c>
      <c r="AP179" s="25"/>
      <c r="AQ179" s="25"/>
      <c r="AR179" s="25"/>
      <c r="AS179" s="25"/>
      <c r="AT179" s="20"/>
      <c r="AU179" s="20"/>
      <c r="AV179" s="21">
        <f t="shared" si="288"/>
        <v>0</v>
      </c>
      <c r="AW179" s="4">
        <f t="shared" si="289"/>
        <v>640000</v>
      </c>
      <c r="AX179" s="4">
        <f t="shared" si="290"/>
        <v>496950</v>
      </c>
      <c r="AY179" s="4">
        <f t="shared" si="291"/>
        <v>1504200</v>
      </c>
      <c r="AZ179" s="4">
        <f t="shared" si="292"/>
        <v>0</v>
      </c>
      <c r="BA179" s="94">
        <f t="shared" si="293"/>
        <v>0</v>
      </c>
      <c r="BB179" s="94">
        <f t="shared" si="294"/>
        <v>0</v>
      </c>
      <c r="BC179" s="9">
        <f t="shared" si="295"/>
        <v>2641150</v>
      </c>
    </row>
    <row r="180" spans="1:55">
      <c r="A180" s="186"/>
      <c r="B180" s="8">
        <v>10</v>
      </c>
      <c r="C180" s="1" t="s">
        <v>324</v>
      </c>
      <c r="D180" s="12" t="s">
        <v>26</v>
      </c>
      <c r="E180" s="4" t="s">
        <v>24</v>
      </c>
      <c r="F180" s="4"/>
      <c r="G180" s="4"/>
      <c r="H180" s="4"/>
      <c r="I180" s="4"/>
      <c r="J180" s="4"/>
      <c r="K180" s="4"/>
      <c r="L180" s="9">
        <f t="shared" si="282"/>
        <v>0</v>
      </c>
      <c r="M180" s="4"/>
      <c r="N180" s="4"/>
      <c r="O180" s="4"/>
      <c r="P180" s="4"/>
      <c r="Q180" s="4"/>
      <c r="R180" s="4"/>
      <c r="S180" s="9">
        <f t="shared" si="283"/>
        <v>0</v>
      </c>
      <c r="T180" s="20">
        <v>290000</v>
      </c>
      <c r="U180" s="20"/>
      <c r="V180" s="4">
        <v>252000</v>
      </c>
      <c r="W180" s="22"/>
      <c r="X180" s="22"/>
      <c r="Y180" s="22"/>
      <c r="Z180" s="9">
        <f t="shared" si="284"/>
        <v>542000</v>
      </c>
      <c r="AA180" s="20"/>
      <c r="AB180" s="25"/>
      <c r="AC180" s="24"/>
      <c r="AD180" s="24"/>
      <c r="AE180" s="20"/>
      <c r="AF180" s="20"/>
      <c r="AG180" s="21">
        <f t="shared" si="285"/>
        <v>0</v>
      </c>
      <c r="AH180" s="25">
        <v>0</v>
      </c>
      <c r="AI180" s="20"/>
      <c r="AJ180" s="20"/>
      <c r="AK180" s="21">
        <f t="shared" si="286"/>
        <v>0</v>
      </c>
      <c r="AL180" s="25"/>
      <c r="AM180" s="20"/>
      <c r="AN180" s="20"/>
      <c r="AO180" s="21">
        <f t="shared" si="287"/>
        <v>0</v>
      </c>
      <c r="AP180" s="25"/>
      <c r="AQ180" s="25"/>
      <c r="AR180" s="25"/>
      <c r="AS180" s="25"/>
      <c r="AT180" s="20"/>
      <c r="AU180" s="20"/>
      <c r="AV180" s="21">
        <f t="shared" si="288"/>
        <v>0</v>
      </c>
      <c r="AW180" s="4">
        <f t="shared" si="289"/>
        <v>290000</v>
      </c>
      <c r="AX180" s="4">
        <f t="shared" si="290"/>
        <v>0</v>
      </c>
      <c r="AY180" s="4">
        <f t="shared" si="291"/>
        <v>252000</v>
      </c>
      <c r="AZ180" s="4">
        <f t="shared" si="292"/>
        <v>0</v>
      </c>
      <c r="BA180" s="94">
        <f t="shared" si="293"/>
        <v>0</v>
      </c>
      <c r="BB180" s="94">
        <f t="shared" si="294"/>
        <v>0</v>
      </c>
      <c r="BC180" s="9">
        <f t="shared" si="295"/>
        <v>542000</v>
      </c>
    </row>
    <row r="181" spans="1:55">
      <c r="A181" s="186"/>
      <c r="B181" s="8">
        <v>11</v>
      </c>
      <c r="C181" s="1" t="s">
        <v>325</v>
      </c>
      <c r="D181" s="61" t="s">
        <v>326</v>
      </c>
      <c r="E181" s="4" t="s">
        <v>24</v>
      </c>
      <c r="F181" s="4"/>
      <c r="G181" s="4"/>
      <c r="H181" s="4"/>
      <c r="I181" s="4"/>
      <c r="J181" s="4"/>
      <c r="K181" s="4"/>
      <c r="L181" s="9">
        <f t="shared" si="282"/>
        <v>0</v>
      </c>
      <c r="M181" s="4"/>
      <c r="N181" s="4"/>
      <c r="O181" s="4"/>
      <c r="P181" s="4"/>
      <c r="Q181" s="4"/>
      <c r="R181" s="4"/>
      <c r="S181" s="9">
        <f t="shared" si="283"/>
        <v>0</v>
      </c>
      <c r="T181" s="20">
        <v>290000</v>
      </c>
      <c r="U181" s="22">
        <v>931000</v>
      </c>
      <c r="V181" s="4">
        <v>112000</v>
      </c>
      <c r="W181" s="73">
        <v>720000</v>
      </c>
      <c r="X181" s="73">
        <f>1125000+225000+225000+150000</f>
        <v>1725000</v>
      </c>
      <c r="Y181" s="73">
        <f>1244000+560000</f>
        <v>1804000</v>
      </c>
      <c r="Z181" s="9">
        <f t="shared" si="284"/>
        <v>5582000</v>
      </c>
      <c r="AA181" s="20">
        <v>195000</v>
      </c>
      <c r="AB181" s="25">
        <v>557300</v>
      </c>
      <c r="AC181" s="24">
        <v>216700</v>
      </c>
      <c r="AD181" s="24">
        <v>96000</v>
      </c>
      <c r="AE181" s="20"/>
      <c r="AF181" s="20"/>
      <c r="AG181" s="21">
        <f t="shared" si="285"/>
        <v>1065000</v>
      </c>
      <c r="AH181" s="25">
        <v>0</v>
      </c>
      <c r="AI181" s="20"/>
      <c r="AJ181" s="20"/>
      <c r="AK181" s="21">
        <f t="shared" si="286"/>
        <v>0</v>
      </c>
      <c r="AL181" s="25"/>
      <c r="AM181" s="20"/>
      <c r="AN181" s="20"/>
      <c r="AO181" s="21">
        <f t="shared" si="287"/>
        <v>0</v>
      </c>
      <c r="AP181" s="25"/>
      <c r="AQ181" s="25"/>
      <c r="AR181" s="25"/>
      <c r="AS181" s="25"/>
      <c r="AT181" s="20"/>
      <c r="AU181" s="20"/>
      <c r="AV181" s="21">
        <f t="shared" si="288"/>
        <v>0</v>
      </c>
      <c r="AW181" s="4">
        <f t="shared" si="289"/>
        <v>485000</v>
      </c>
      <c r="AX181" s="4">
        <f t="shared" si="290"/>
        <v>1488300</v>
      </c>
      <c r="AY181" s="4">
        <f t="shared" si="291"/>
        <v>328700</v>
      </c>
      <c r="AZ181" s="4">
        <f t="shared" si="292"/>
        <v>816000</v>
      </c>
      <c r="BA181" s="94">
        <f t="shared" si="293"/>
        <v>1725000</v>
      </c>
      <c r="BB181" s="94">
        <f t="shared" si="294"/>
        <v>1804000</v>
      </c>
      <c r="BC181" s="9">
        <f t="shared" si="295"/>
        <v>6647000</v>
      </c>
    </row>
    <row r="182" spans="1:55">
      <c r="A182" s="186"/>
      <c r="B182" s="8">
        <v>12</v>
      </c>
      <c r="C182" s="1" t="s">
        <v>327</v>
      </c>
      <c r="D182" s="12" t="s">
        <v>313</v>
      </c>
      <c r="E182" s="4" t="s">
        <v>24</v>
      </c>
      <c r="F182" s="4"/>
      <c r="G182" s="4">
        <v>155000</v>
      </c>
      <c r="H182" s="4">
        <f>155000+64000+60000</f>
        <v>279000</v>
      </c>
      <c r="I182" s="4">
        <f>80000+20000</f>
        <v>100000</v>
      </c>
      <c r="J182" s="4"/>
      <c r="K182" s="4"/>
      <c r="L182" s="9">
        <f t="shared" si="282"/>
        <v>534000</v>
      </c>
      <c r="M182" s="4"/>
      <c r="N182" s="4"/>
      <c r="O182" s="4"/>
      <c r="P182" s="4"/>
      <c r="Q182" s="4"/>
      <c r="R182" s="4"/>
      <c r="S182" s="9">
        <f t="shared" si="283"/>
        <v>0</v>
      </c>
      <c r="T182" s="20"/>
      <c r="U182" s="20"/>
      <c r="V182" s="4"/>
      <c r="W182" s="20"/>
      <c r="X182" s="20"/>
      <c r="Y182" s="20"/>
      <c r="Z182" s="9">
        <f t="shared" si="284"/>
        <v>0</v>
      </c>
      <c r="AA182" s="20"/>
      <c r="AB182" s="20">
        <v>258750</v>
      </c>
      <c r="AC182" s="24">
        <v>388150</v>
      </c>
      <c r="AD182" s="24">
        <v>150000</v>
      </c>
      <c r="AE182" s="20"/>
      <c r="AF182" s="20"/>
      <c r="AG182" s="21">
        <f t="shared" si="285"/>
        <v>796900</v>
      </c>
      <c r="AH182" s="25">
        <v>945000</v>
      </c>
      <c r="AI182" s="20">
        <f>294000+315000+315000+315000+210000</f>
        <v>1449000</v>
      </c>
      <c r="AJ182" s="20">
        <f>1379000+296000+148000</f>
        <v>1823000</v>
      </c>
      <c r="AK182" s="21">
        <f t="shared" si="286"/>
        <v>4217000</v>
      </c>
      <c r="AL182" s="25"/>
      <c r="AM182" s="20"/>
      <c r="AN182" s="20"/>
      <c r="AO182" s="21">
        <f t="shared" si="287"/>
        <v>0</v>
      </c>
      <c r="AP182" s="25"/>
      <c r="AQ182" s="25"/>
      <c r="AR182" s="25"/>
      <c r="AS182" s="25"/>
      <c r="AT182" s="20"/>
      <c r="AU182" s="20"/>
      <c r="AV182" s="21">
        <f t="shared" si="288"/>
        <v>0</v>
      </c>
      <c r="AW182" s="4">
        <f t="shared" si="289"/>
        <v>0</v>
      </c>
      <c r="AX182" s="4">
        <f t="shared" si="290"/>
        <v>413750</v>
      </c>
      <c r="AY182" s="4">
        <f t="shared" si="291"/>
        <v>667150</v>
      </c>
      <c r="AZ182" s="4">
        <f t="shared" si="292"/>
        <v>1195000</v>
      </c>
      <c r="BA182" s="94">
        <f t="shared" si="293"/>
        <v>1449000</v>
      </c>
      <c r="BB182" s="94">
        <f t="shared" si="294"/>
        <v>1823000</v>
      </c>
      <c r="BC182" s="9">
        <f t="shared" si="295"/>
        <v>5547900</v>
      </c>
    </row>
    <row r="183" spans="1:55">
      <c r="A183" s="186"/>
      <c r="B183" s="8">
        <v>13</v>
      </c>
      <c r="C183" s="1" t="s">
        <v>329</v>
      </c>
      <c r="D183" s="12" t="s">
        <v>330</v>
      </c>
      <c r="E183" s="4" t="s">
        <v>24</v>
      </c>
      <c r="F183" s="4">
        <v>155000</v>
      </c>
      <c r="G183" s="4">
        <v>1039000</v>
      </c>
      <c r="H183" s="4">
        <f>220000+297000+80000</f>
        <v>597000</v>
      </c>
      <c r="I183" s="4">
        <f>60000+40000</f>
        <v>100000</v>
      </c>
      <c r="J183" s="4"/>
      <c r="K183" s="4"/>
      <c r="L183" s="9">
        <f t="shared" si="282"/>
        <v>1891000</v>
      </c>
      <c r="M183" s="76"/>
      <c r="N183" s="76">
        <v>1010000</v>
      </c>
      <c r="O183" s="76">
        <v>1670000</v>
      </c>
      <c r="P183" s="76">
        <v>250000</v>
      </c>
      <c r="Q183" s="4"/>
      <c r="R183" s="4"/>
      <c r="S183" s="9">
        <f t="shared" si="283"/>
        <v>2930000</v>
      </c>
      <c r="T183" s="20"/>
      <c r="U183" s="22">
        <v>899000</v>
      </c>
      <c r="V183" s="4">
        <v>870000</v>
      </c>
      <c r="W183" s="32">
        <v>300000</v>
      </c>
      <c r="X183" s="32"/>
      <c r="Y183" s="32"/>
      <c r="Z183" s="9">
        <f t="shared" si="284"/>
        <v>2069000</v>
      </c>
      <c r="AA183" s="20">
        <v>195000</v>
      </c>
      <c r="AB183" s="25">
        <v>1164700</v>
      </c>
      <c r="AC183" s="24">
        <v>483750</v>
      </c>
      <c r="AD183" s="24">
        <v>150000</v>
      </c>
      <c r="AE183" s="20"/>
      <c r="AF183" s="20"/>
      <c r="AG183" s="21">
        <f t="shared" si="285"/>
        <v>1993450</v>
      </c>
      <c r="AH183" s="25">
        <v>0</v>
      </c>
      <c r="AI183" s="20"/>
      <c r="AJ183" s="20"/>
      <c r="AK183" s="21">
        <f t="shared" si="286"/>
        <v>0</v>
      </c>
      <c r="AL183" s="24">
        <v>900000</v>
      </c>
      <c r="AM183" s="20">
        <f>300000+300000+300000+300000+200000</f>
        <v>1400000</v>
      </c>
      <c r="AN183" s="20">
        <f>1970000+765000</f>
        <v>2735000</v>
      </c>
      <c r="AO183" s="21">
        <f t="shared" si="287"/>
        <v>5035000</v>
      </c>
      <c r="AP183" s="25"/>
      <c r="AQ183" s="24">
        <f>100000+276000</f>
        <v>376000</v>
      </c>
      <c r="AR183" s="25"/>
      <c r="AS183" s="25"/>
      <c r="AT183" s="20"/>
      <c r="AU183" s="20"/>
      <c r="AV183" s="21">
        <f t="shared" si="288"/>
        <v>376000</v>
      </c>
      <c r="AW183" s="4">
        <f t="shared" si="289"/>
        <v>350000</v>
      </c>
      <c r="AX183" s="4">
        <f t="shared" si="290"/>
        <v>4488700</v>
      </c>
      <c r="AY183" s="4">
        <f t="shared" si="291"/>
        <v>3620750</v>
      </c>
      <c r="AZ183" s="4">
        <f t="shared" si="292"/>
        <v>1700000</v>
      </c>
      <c r="BA183" s="94">
        <f t="shared" si="293"/>
        <v>1400000</v>
      </c>
      <c r="BB183" s="94">
        <f t="shared" si="294"/>
        <v>2735000</v>
      </c>
      <c r="BC183" s="9">
        <f t="shared" si="295"/>
        <v>14294450</v>
      </c>
    </row>
    <row r="184" spans="1:55" ht="31.5">
      <c r="A184" s="186"/>
      <c r="B184" s="8">
        <v>14</v>
      </c>
      <c r="C184" s="1" t="s">
        <v>331</v>
      </c>
      <c r="D184" s="5" t="s">
        <v>421</v>
      </c>
      <c r="E184" s="4" t="s">
        <v>24</v>
      </c>
      <c r="F184" s="4"/>
      <c r="G184" s="4"/>
      <c r="H184" s="4"/>
      <c r="I184" s="4"/>
      <c r="J184" s="4"/>
      <c r="K184" s="4"/>
      <c r="L184" s="9">
        <f t="shared" si="282"/>
        <v>0</v>
      </c>
      <c r="M184" s="4"/>
      <c r="N184" s="4"/>
      <c r="O184" s="4"/>
      <c r="P184" s="4"/>
      <c r="Q184" s="4"/>
      <c r="R184" s="4"/>
      <c r="S184" s="9">
        <f t="shared" si="283"/>
        <v>0</v>
      </c>
      <c r="T184" s="20"/>
      <c r="U184" s="20"/>
      <c r="V184" s="4"/>
      <c r="W184" s="20"/>
      <c r="X184" s="20"/>
      <c r="Y184" s="20"/>
      <c r="Z184" s="9">
        <f t="shared" si="284"/>
        <v>0</v>
      </c>
      <c r="AA184" s="20"/>
      <c r="AB184" s="25">
        <v>195000</v>
      </c>
      <c r="AC184" s="24">
        <v>275000</v>
      </c>
      <c r="AD184" s="24">
        <v>1010000</v>
      </c>
      <c r="AE184" s="20">
        <f>70000+210000+210000+210000+140000</f>
        <v>840000</v>
      </c>
      <c r="AF184" s="20">
        <f>797050+195500+99700</f>
        <v>1092250</v>
      </c>
      <c r="AG184" s="21">
        <f t="shared" si="285"/>
        <v>3412250</v>
      </c>
      <c r="AH184" s="25">
        <v>0</v>
      </c>
      <c r="AI184" s="20"/>
      <c r="AJ184" s="20"/>
      <c r="AK184" s="21">
        <f t="shared" si="286"/>
        <v>0</v>
      </c>
      <c r="AL184" s="25"/>
      <c r="AM184" s="20"/>
      <c r="AN184" s="20"/>
      <c r="AO184" s="21">
        <f t="shared" si="287"/>
        <v>0</v>
      </c>
      <c r="AP184" s="25"/>
      <c r="AQ184" s="25">
        <v>100000</v>
      </c>
      <c r="AR184" s="25">
        <v>239200</v>
      </c>
      <c r="AS184" s="25"/>
      <c r="AT184" s="20"/>
      <c r="AU184" s="20"/>
      <c r="AV184" s="21">
        <f t="shared" si="288"/>
        <v>339200</v>
      </c>
      <c r="AW184" s="4">
        <f t="shared" si="289"/>
        <v>0</v>
      </c>
      <c r="AX184" s="4">
        <f t="shared" si="290"/>
        <v>295000</v>
      </c>
      <c r="AY184" s="4">
        <f t="shared" si="291"/>
        <v>514200</v>
      </c>
      <c r="AZ184" s="4">
        <f t="shared" si="292"/>
        <v>1010000</v>
      </c>
      <c r="BA184" s="94">
        <f t="shared" si="293"/>
        <v>840000</v>
      </c>
      <c r="BB184" s="94">
        <f t="shared" si="294"/>
        <v>1092250</v>
      </c>
      <c r="BC184" s="9">
        <f t="shared" si="295"/>
        <v>3751450</v>
      </c>
    </row>
    <row r="185" spans="1:55">
      <c r="A185" s="186"/>
      <c r="B185" s="8">
        <v>15</v>
      </c>
      <c r="C185" s="1" t="s">
        <v>332</v>
      </c>
      <c r="D185" s="4" t="s">
        <v>333</v>
      </c>
      <c r="E185" s="4" t="s">
        <v>24</v>
      </c>
      <c r="F185" s="4"/>
      <c r="G185" s="4">
        <v>741983</v>
      </c>
      <c r="H185" s="4">
        <f>88000+110000+220000</f>
        <v>418000</v>
      </c>
      <c r="I185" s="4"/>
      <c r="J185" s="4"/>
      <c r="K185" s="4"/>
      <c r="L185" s="9">
        <f t="shared" si="282"/>
        <v>1159983</v>
      </c>
      <c r="M185" s="4"/>
      <c r="N185" s="4"/>
      <c r="O185" s="4"/>
      <c r="P185" s="4"/>
      <c r="Q185" s="4"/>
      <c r="R185" s="4"/>
      <c r="S185" s="9">
        <f t="shared" si="283"/>
        <v>0</v>
      </c>
      <c r="T185" s="20"/>
      <c r="U185" s="22">
        <v>1078065</v>
      </c>
      <c r="V185" s="4">
        <v>2130000</v>
      </c>
      <c r="W185" s="32"/>
      <c r="X185" s="32"/>
      <c r="Y185" s="32"/>
      <c r="Z185" s="9">
        <f t="shared" si="284"/>
        <v>3208065</v>
      </c>
      <c r="AA185" s="20"/>
      <c r="AB185" s="25">
        <v>1012650</v>
      </c>
      <c r="AC185" s="24">
        <v>477000</v>
      </c>
      <c r="AD185" s="24"/>
      <c r="AE185" s="20"/>
      <c r="AF185" s="20"/>
      <c r="AG185" s="21">
        <f t="shared" si="285"/>
        <v>1489650</v>
      </c>
      <c r="AH185" s="25">
        <v>0</v>
      </c>
      <c r="AI185" s="20"/>
      <c r="AJ185" s="20"/>
      <c r="AK185" s="21">
        <f t="shared" si="286"/>
        <v>0</v>
      </c>
      <c r="AL185" s="25"/>
      <c r="AM185" s="20"/>
      <c r="AN185" s="20"/>
      <c r="AO185" s="21">
        <f t="shared" si="287"/>
        <v>0</v>
      </c>
      <c r="AP185" s="25"/>
      <c r="AQ185" s="25"/>
      <c r="AR185" s="25"/>
      <c r="AS185" s="25"/>
      <c r="AT185" s="20"/>
      <c r="AU185" s="20"/>
      <c r="AV185" s="21">
        <f t="shared" si="288"/>
        <v>0</v>
      </c>
      <c r="AW185" s="4">
        <f t="shared" si="289"/>
        <v>0</v>
      </c>
      <c r="AX185" s="4">
        <f t="shared" si="290"/>
        <v>2832698</v>
      </c>
      <c r="AY185" s="4">
        <f t="shared" si="291"/>
        <v>3025000</v>
      </c>
      <c r="AZ185" s="4">
        <f t="shared" si="292"/>
        <v>0</v>
      </c>
      <c r="BA185" s="94">
        <f t="shared" si="293"/>
        <v>0</v>
      </c>
      <c r="BB185" s="94">
        <f t="shared" si="294"/>
        <v>0</v>
      </c>
      <c r="BC185" s="9">
        <f t="shared" si="295"/>
        <v>5857698</v>
      </c>
    </row>
    <row r="186" spans="1:55">
      <c r="A186" s="186"/>
      <c r="B186" s="8">
        <v>16</v>
      </c>
      <c r="C186" s="1" t="s">
        <v>334</v>
      </c>
      <c r="D186" s="4" t="s">
        <v>335</v>
      </c>
      <c r="E186" s="4" t="s">
        <v>24</v>
      </c>
      <c r="F186" s="4"/>
      <c r="G186" s="4">
        <v>155000</v>
      </c>
      <c r="H186" s="4"/>
      <c r="I186" s="4"/>
      <c r="J186" s="4"/>
      <c r="K186" s="4"/>
      <c r="L186" s="9">
        <f t="shared" si="282"/>
        <v>155000</v>
      </c>
      <c r="M186" s="4"/>
      <c r="N186" s="4"/>
      <c r="O186" s="4"/>
      <c r="P186" s="4"/>
      <c r="Q186" s="4"/>
      <c r="R186" s="4"/>
      <c r="S186" s="9">
        <f t="shared" si="283"/>
        <v>0</v>
      </c>
      <c r="T186" s="20"/>
      <c r="U186" s="20"/>
      <c r="V186" s="20"/>
      <c r="W186" s="20"/>
      <c r="X186" s="20"/>
      <c r="Y186" s="20"/>
      <c r="Z186" s="9">
        <f t="shared" si="284"/>
        <v>0</v>
      </c>
      <c r="AA186" s="20"/>
      <c r="AB186" s="25">
        <v>841750</v>
      </c>
      <c r="AC186" s="20"/>
      <c r="AD186" s="20"/>
      <c r="AE186" s="20"/>
      <c r="AF186" s="20"/>
      <c r="AG186" s="21">
        <f t="shared" si="285"/>
        <v>841750</v>
      </c>
      <c r="AH186" s="25">
        <v>0</v>
      </c>
      <c r="AI186" s="20"/>
      <c r="AJ186" s="20"/>
      <c r="AK186" s="21">
        <f t="shared" si="286"/>
        <v>0</v>
      </c>
      <c r="AL186" s="25"/>
      <c r="AM186" s="20"/>
      <c r="AN186" s="20"/>
      <c r="AO186" s="21">
        <f t="shared" si="287"/>
        <v>0</v>
      </c>
      <c r="AP186" s="25"/>
      <c r="AQ186" s="25">
        <v>100000</v>
      </c>
      <c r="AR186" s="25"/>
      <c r="AS186" s="25"/>
      <c r="AT186" s="20"/>
      <c r="AU186" s="20"/>
      <c r="AV186" s="21">
        <f t="shared" si="288"/>
        <v>100000</v>
      </c>
      <c r="AW186" s="4">
        <f t="shared" si="289"/>
        <v>0</v>
      </c>
      <c r="AX186" s="4">
        <f t="shared" si="290"/>
        <v>1096750</v>
      </c>
      <c r="AY186" s="4">
        <f t="shared" si="291"/>
        <v>0</v>
      </c>
      <c r="AZ186" s="4">
        <f t="shared" si="292"/>
        <v>0</v>
      </c>
      <c r="BA186" s="94">
        <f t="shared" si="293"/>
        <v>0</v>
      </c>
      <c r="BB186" s="94">
        <f t="shared" si="294"/>
        <v>0</v>
      </c>
      <c r="BC186" s="9">
        <f t="shared" si="295"/>
        <v>1096750</v>
      </c>
    </row>
    <row r="187" spans="1:55">
      <c r="A187" s="186"/>
      <c r="B187" s="8">
        <v>17</v>
      </c>
      <c r="C187" s="1" t="s">
        <v>336</v>
      </c>
      <c r="D187" s="4" t="s">
        <v>26</v>
      </c>
      <c r="E187" s="4" t="s">
        <v>24</v>
      </c>
      <c r="F187" s="4">
        <v>155000</v>
      </c>
      <c r="G187" s="4">
        <v>412000</v>
      </c>
      <c r="H187" s="4">
        <f>38500+209000</f>
        <v>247500</v>
      </c>
      <c r="I187" s="4"/>
      <c r="J187" s="4"/>
      <c r="K187" s="4"/>
      <c r="L187" s="9">
        <f t="shared" si="282"/>
        <v>814500</v>
      </c>
      <c r="M187" s="4"/>
      <c r="N187" s="4"/>
      <c r="O187" s="4"/>
      <c r="P187" s="4"/>
      <c r="Q187" s="4"/>
      <c r="R187" s="4"/>
      <c r="S187" s="9">
        <f t="shared" si="283"/>
        <v>0</v>
      </c>
      <c r="T187" s="20"/>
      <c r="U187" s="20"/>
      <c r="V187" s="20"/>
      <c r="W187" s="20"/>
      <c r="X187" s="20"/>
      <c r="Y187" s="20"/>
      <c r="Z187" s="9">
        <f t="shared" si="284"/>
        <v>0</v>
      </c>
      <c r="AA187" s="20">
        <v>195000</v>
      </c>
      <c r="AB187" s="25">
        <v>689400</v>
      </c>
      <c r="AC187" s="24">
        <v>235500</v>
      </c>
      <c r="AD187" s="25"/>
      <c r="AE187" s="20"/>
      <c r="AF187" s="20"/>
      <c r="AG187" s="21">
        <f t="shared" si="285"/>
        <v>1119900</v>
      </c>
      <c r="AH187" s="25">
        <v>0</v>
      </c>
      <c r="AI187" s="20"/>
      <c r="AJ187" s="20">
        <f>1288000+280500+140000</f>
        <v>1708500</v>
      </c>
      <c r="AK187" s="21">
        <f t="shared" si="286"/>
        <v>1708500</v>
      </c>
      <c r="AL187" s="25"/>
      <c r="AM187" s="20"/>
      <c r="AN187" s="20"/>
      <c r="AO187" s="21">
        <f t="shared" si="287"/>
        <v>0</v>
      </c>
      <c r="AP187" s="25"/>
      <c r="AQ187" s="25">
        <v>100000</v>
      </c>
      <c r="AR187" s="25">
        <v>432000</v>
      </c>
      <c r="AS187" s="25"/>
      <c r="AT187" s="20"/>
      <c r="AU187" s="20"/>
      <c r="AV187" s="21">
        <f t="shared" si="288"/>
        <v>532000</v>
      </c>
      <c r="AW187" s="4">
        <f t="shared" si="289"/>
        <v>350000</v>
      </c>
      <c r="AX187" s="4">
        <f t="shared" si="290"/>
        <v>1201400</v>
      </c>
      <c r="AY187" s="4">
        <f t="shared" si="291"/>
        <v>915000</v>
      </c>
      <c r="AZ187" s="4">
        <f t="shared" si="292"/>
        <v>0</v>
      </c>
      <c r="BA187" s="94">
        <f t="shared" si="293"/>
        <v>0</v>
      </c>
      <c r="BB187" s="94">
        <f t="shared" si="294"/>
        <v>1708500</v>
      </c>
      <c r="BC187" s="9">
        <f t="shared" si="295"/>
        <v>4174900</v>
      </c>
    </row>
    <row r="188" spans="1:55">
      <c r="A188" s="186"/>
      <c r="B188" s="8">
        <v>18</v>
      </c>
      <c r="C188" s="1" t="s">
        <v>337</v>
      </c>
      <c r="D188" s="5" t="s">
        <v>335</v>
      </c>
      <c r="E188" s="4" t="s">
        <v>24</v>
      </c>
      <c r="F188" s="4"/>
      <c r="G188" s="4"/>
      <c r="H188" s="4"/>
      <c r="I188" s="4"/>
      <c r="J188" s="4"/>
      <c r="K188" s="4"/>
      <c r="L188" s="9">
        <f t="shared" si="282"/>
        <v>0</v>
      </c>
      <c r="M188" s="4"/>
      <c r="N188" s="4"/>
      <c r="O188" s="4"/>
      <c r="P188" s="4"/>
      <c r="Q188" s="4"/>
      <c r="R188" s="4"/>
      <c r="S188" s="9">
        <f t="shared" si="283"/>
        <v>0</v>
      </c>
      <c r="T188" s="20"/>
      <c r="U188" s="20"/>
      <c r="V188" s="20"/>
      <c r="W188" s="20"/>
      <c r="X188" s="20"/>
      <c r="Y188" s="20"/>
      <c r="Z188" s="9">
        <f t="shared" si="284"/>
        <v>0</v>
      </c>
      <c r="AA188" s="20"/>
      <c r="AB188" s="25">
        <v>195000</v>
      </c>
      <c r="AC188" s="20"/>
      <c r="AD188" s="20"/>
      <c r="AE188" s="20"/>
      <c r="AF188" s="20"/>
      <c r="AG188" s="21">
        <f t="shared" si="285"/>
        <v>195000</v>
      </c>
      <c r="AH188" s="25">
        <v>0</v>
      </c>
      <c r="AI188" s="20"/>
      <c r="AJ188" s="20"/>
      <c r="AK188" s="21">
        <f t="shared" si="286"/>
        <v>0</v>
      </c>
      <c r="AL188" s="25"/>
      <c r="AM188" s="20"/>
      <c r="AN188" s="20"/>
      <c r="AO188" s="21">
        <f t="shared" si="287"/>
        <v>0</v>
      </c>
      <c r="AP188" s="25"/>
      <c r="AQ188" s="25"/>
      <c r="AR188" s="25"/>
      <c r="AS188" s="25"/>
      <c r="AT188" s="20"/>
      <c r="AU188" s="20"/>
      <c r="AV188" s="21">
        <f t="shared" si="288"/>
        <v>0</v>
      </c>
      <c r="AW188" s="4">
        <f t="shared" si="289"/>
        <v>0</v>
      </c>
      <c r="AX188" s="4">
        <f t="shared" si="290"/>
        <v>195000</v>
      </c>
      <c r="AY188" s="4">
        <f t="shared" si="291"/>
        <v>0</v>
      </c>
      <c r="AZ188" s="4">
        <f t="shared" si="292"/>
        <v>0</v>
      </c>
      <c r="BA188" s="94">
        <f t="shared" si="293"/>
        <v>0</v>
      </c>
      <c r="BB188" s="94">
        <f t="shared" si="294"/>
        <v>0</v>
      </c>
      <c r="BC188" s="9">
        <f t="shared" si="295"/>
        <v>195000</v>
      </c>
    </row>
    <row r="189" spans="1:55" ht="31.5">
      <c r="A189" s="186"/>
      <c r="B189" s="8">
        <v>19</v>
      </c>
      <c r="C189" s="1" t="s">
        <v>338</v>
      </c>
      <c r="D189" s="4" t="s">
        <v>26</v>
      </c>
      <c r="E189" s="4" t="s">
        <v>24</v>
      </c>
      <c r="F189" s="4">
        <v>155000</v>
      </c>
      <c r="G189" s="4">
        <v>343000</v>
      </c>
      <c r="H189" s="4">
        <f>77000+38500</f>
        <v>115500</v>
      </c>
      <c r="I189" s="4">
        <f>126000+14000</f>
        <v>140000</v>
      </c>
      <c r="J189" s="4"/>
      <c r="K189" s="4"/>
      <c r="L189" s="9">
        <f t="shared" si="282"/>
        <v>753500</v>
      </c>
      <c r="M189" s="4"/>
      <c r="N189" s="4"/>
      <c r="O189" s="4"/>
      <c r="P189" s="4"/>
      <c r="Q189" s="4"/>
      <c r="R189" s="4"/>
      <c r="S189" s="9">
        <f t="shared" si="283"/>
        <v>0</v>
      </c>
      <c r="T189" s="20"/>
      <c r="U189" s="20"/>
      <c r="V189" s="20"/>
      <c r="W189" s="20"/>
      <c r="X189" s="20"/>
      <c r="Y189" s="20"/>
      <c r="Z189" s="9">
        <f t="shared" si="284"/>
        <v>0</v>
      </c>
      <c r="AA189" s="20">
        <v>195000</v>
      </c>
      <c r="AB189" s="25">
        <v>835150</v>
      </c>
      <c r="AC189" s="24">
        <v>494400</v>
      </c>
      <c r="AD189" s="25">
        <v>150000</v>
      </c>
      <c r="AE189" s="20"/>
      <c r="AF189" s="20"/>
      <c r="AG189" s="21">
        <f t="shared" si="285"/>
        <v>1674550</v>
      </c>
      <c r="AH189" s="25">
        <v>946000</v>
      </c>
      <c r="AI189" s="20">
        <f>101000+301500+200000+100500+300000+201000</f>
        <v>1204000</v>
      </c>
      <c r="AJ189" s="20">
        <f>1359200+295600+147800</f>
        <v>1802600</v>
      </c>
      <c r="AK189" s="21">
        <f t="shared" si="286"/>
        <v>3952600</v>
      </c>
      <c r="AL189" s="25"/>
      <c r="AM189" s="20"/>
      <c r="AN189" s="20"/>
      <c r="AO189" s="21">
        <f t="shared" si="287"/>
        <v>0</v>
      </c>
      <c r="AP189" s="25"/>
      <c r="AQ189" s="25"/>
      <c r="AR189" s="25"/>
      <c r="AS189" s="25"/>
      <c r="AT189" s="20"/>
      <c r="AU189" s="20"/>
      <c r="AV189" s="21">
        <f t="shared" si="288"/>
        <v>0</v>
      </c>
      <c r="AW189" s="4">
        <f t="shared" si="289"/>
        <v>350000</v>
      </c>
      <c r="AX189" s="4">
        <f t="shared" si="290"/>
        <v>1178150</v>
      </c>
      <c r="AY189" s="4">
        <f t="shared" si="291"/>
        <v>609900</v>
      </c>
      <c r="AZ189" s="4">
        <f t="shared" si="292"/>
        <v>1236000</v>
      </c>
      <c r="BA189" s="94">
        <f t="shared" si="293"/>
        <v>1204000</v>
      </c>
      <c r="BB189" s="94">
        <f t="shared" si="294"/>
        <v>1802600</v>
      </c>
      <c r="BC189" s="9">
        <f t="shared" si="295"/>
        <v>6380650</v>
      </c>
    </row>
    <row r="190" spans="1:55">
      <c r="A190" s="186"/>
      <c r="B190" s="8">
        <v>20</v>
      </c>
      <c r="C190" s="1" t="s">
        <v>339</v>
      </c>
      <c r="D190" s="4" t="s">
        <v>335</v>
      </c>
      <c r="E190" s="4" t="s">
        <v>24</v>
      </c>
      <c r="F190" s="4"/>
      <c r="G190" s="4">
        <v>155000</v>
      </c>
      <c r="H190" s="4">
        <f>397500+88000</f>
        <v>485500</v>
      </c>
      <c r="I190" s="4">
        <v>420000</v>
      </c>
      <c r="J190" s="4">
        <f>210000+210000+210000+210000+140000</f>
        <v>980000</v>
      </c>
      <c r="K190" s="4">
        <f>1000000+220000+110000</f>
        <v>1330000</v>
      </c>
      <c r="L190" s="9">
        <f t="shared" si="282"/>
        <v>3370500</v>
      </c>
      <c r="M190" s="4"/>
      <c r="N190" s="4"/>
      <c r="O190" s="4"/>
      <c r="P190" s="4"/>
      <c r="Q190" s="4"/>
      <c r="R190" s="4"/>
      <c r="S190" s="9">
        <f t="shared" si="283"/>
        <v>0</v>
      </c>
      <c r="T190" s="20"/>
      <c r="U190" s="20"/>
      <c r="V190" s="20"/>
      <c r="W190" s="20"/>
      <c r="X190" s="20"/>
      <c r="Y190" s="20"/>
      <c r="Z190" s="9">
        <f t="shared" si="284"/>
        <v>0</v>
      </c>
      <c r="AA190" s="20"/>
      <c r="AB190" s="20"/>
      <c r="AC190" s="20"/>
      <c r="AD190" s="20"/>
      <c r="AE190" s="20"/>
      <c r="AF190" s="20"/>
      <c r="AG190" s="21">
        <f t="shared" si="285"/>
        <v>0</v>
      </c>
      <c r="AH190" s="25">
        <v>0</v>
      </c>
      <c r="AI190" s="20"/>
      <c r="AJ190" s="20"/>
      <c r="AK190" s="21">
        <f t="shared" si="286"/>
        <v>0</v>
      </c>
      <c r="AL190" s="25"/>
      <c r="AM190" s="20"/>
      <c r="AN190" s="20"/>
      <c r="AO190" s="21">
        <f t="shared" si="287"/>
        <v>0</v>
      </c>
      <c r="AP190" s="25"/>
      <c r="AQ190" s="25"/>
      <c r="AR190" s="25">
        <v>100000</v>
      </c>
      <c r="AS190" s="25">
        <v>150000</v>
      </c>
      <c r="AT190" s="20"/>
      <c r="AU190" s="20"/>
      <c r="AV190" s="21">
        <f t="shared" si="288"/>
        <v>250000</v>
      </c>
      <c r="AW190" s="4">
        <f t="shared" si="289"/>
        <v>0</v>
      </c>
      <c r="AX190" s="4">
        <f t="shared" si="290"/>
        <v>155000</v>
      </c>
      <c r="AY190" s="4">
        <f t="shared" si="291"/>
        <v>585500</v>
      </c>
      <c r="AZ190" s="4">
        <f t="shared" si="292"/>
        <v>570000</v>
      </c>
      <c r="BA190" s="94">
        <f t="shared" si="293"/>
        <v>980000</v>
      </c>
      <c r="BB190" s="94">
        <f t="shared" si="294"/>
        <v>1330000</v>
      </c>
      <c r="BC190" s="9">
        <f t="shared" si="295"/>
        <v>3620500</v>
      </c>
    </row>
    <row r="191" spans="1:55">
      <c r="A191" s="186"/>
      <c r="B191" s="8">
        <v>21</v>
      </c>
      <c r="C191" s="1" t="s">
        <v>340</v>
      </c>
      <c r="D191" s="4" t="s">
        <v>341</v>
      </c>
      <c r="E191" s="4" t="s">
        <v>24</v>
      </c>
      <c r="F191" s="4">
        <v>155000</v>
      </c>
      <c r="G191" s="4">
        <v>762000</v>
      </c>
      <c r="H191" s="4">
        <f>93500+187000+291500</f>
        <v>572000</v>
      </c>
      <c r="I191" s="4">
        <v>225500</v>
      </c>
      <c r="J191" s="4"/>
      <c r="K191" s="4"/>
      <c r="L191" s="9">
        <f t="shared" si="282"/>
        <v>1714500</v>
      </c>
      <c r="M191" s="76"/>
      <c r="N191" s="76">
        <v>290000</v>
      </c>
      <c r="O191" s="76">
        <v>800000</v>
      </c>
      <c r="P191" s="76">
        <v>925000</v>
      </c>
      <c r="Q191" s="4">
        <f>225000+225000+225000+225000+150000</f>
        <v>1050000</v>
      </c>
      <c r="R191" s="4">
        <f>1565000+400000</f>
        <v>1965000</v>
      </c>
      <c r="S191" s="9">
        <f t="shared" si="283"/>
        <v>5030000</v>
      </c>
      <c r="T191" s="20"/>
      <c r="U191" s="20"/>
      <c r="V191" s="20"/>
      <c r="W191" s="20"/>
      <c r="X191" s="20"/>
      <c r="Y191" s="20"/>
      <c r="Z191" s="9">
        <f t="shared" si="284"/>
        <v>0</v>
      </c>
      <c r="AA191" s="20">
        <v>195000</v>
      </c>
      <c r="AB191" s="25">
        <v>953000</v>
      </c>
      <c r="AC191" s="24">
        <v>722650</v>
      </c>
      <c r="AD191" s="25">
        <v>270000</v>
      </c>
      <c r="AE191" s="20"/>
      <c r="AF191" s="20"/>
      <c r="AG191" s="21">
        <f t="shared" si="285"/>
        <v>2140650</v>
      </c>
      <c r="AH191" s="25">
        <v>0</v>
      </c>
      <c r="AI191" s="20"/>
      <c r="AJ191" s="20"/>
      <c r="AK191" s="21">
        <f t="shared" si="286"/>
        <v>0</v>
      </c>
      <c r="AL191" s="25"/>
      <c r="AM191" s="20"/>
      <c r="AN191" s="20"/>
      <c r="AO191" s="21">
        <f t="shared" si="287"/>
        <v>0</v>
      </c>
      <c r="AP191" s="25"/>
      <c r="AQ191" s="25"/>
      <c r="AR191" s="25"/>
      <c r="AS191" s="25"/>
      <c r="AT191" s="20"/>
      <c r="AU191" s="20"/>
      <c r="AV191" s="21">
        <f t="shared" si="288"/>
        <v>0</v>
      </c>
      <c r="AW191" s="4">
        <f t="shared" si="289"/>
        <v>350000</v>
      </c>
      <c r="AX191" s="4">
        <f t="shared" si="290"/>
        <v>2005000</v>
      </c>
      <c r="AY191" s="4">
        <f t="shared" si="291"/>
        <v>2094650</v>
      </c>
      <c r="AZ191" s="4">
        <f t="shared" si="292"/>
        <v>1420500</v>
      </c>
      <c r="BA191" s="94">
        <f t="shared" si="293"/>
        <v>1050000</v>
      </c>
      <c r="BB191" s="94">
        <f t="shared" si="294"/>
        <v>1965000</v>
      </c>
      <c r="BC191" s="9">
        <f t="shared" si="295"/>
        <v>8885150</v>
      </c>
    </row>
    <row r="192" spans="1:55" ht="31.5">
      <c r="A192" s="186"/>
      <c r="B192" s="8">
        <v>22</v>
      </c>
      <c r="C192" s="1" t="s">
        <v>342</v>
      </c>
      <c r="D192" s="4" t="s">
        <v>343</v>
      </c>
      <c r="E192" s="4" t="s">
        <v>24</v>
      </c>
      <c r="F192" s="4"/>
      <c r="G192" s="4">
        <v>155000</v>
      </c>
      <c r="H192" s="4">
        <f>341000+214500</f>
        <v>555500</v>
      </c>
      <c r="I192" s="4">
        <v>180000</v>
      </c>
      <c r="J192" s="4"/>
      <c r="K192" s="4"/>
      <c r="L192" s="9">
        <f t="shared" si="282"/>
        <v>890500</v>
      </c>
      <c r="M192" s="76"/>
      <c r="N192" s="76">
        <v>1140000</v>
      </c>
      <c r="O192" s="76">
        <v>670000</v>
      </c>
      <c r="P192" s="76">
        <v>975000</v>
      </c>
      <c r="Q192" s="4">
        <f>225000+225000+225000+225000+150000</f>
        <v>1050000</v>
      </c>
      <c r="R192" s="4">
        <v>2145000</v>
      </c>
      <c r="S192" s="9">
        <f t="shared" si="283"/>
        <v>5980000</v>
      </c>
      <c r="T192" s="20"/>
      <c r="U192" s="20"/>
      <c r="V192" s="20"/>
      <c r="W192" s="20"/>
      <c r="X192" s="20"/>
      <c r="Y192" s="20"/>
      <c r="Z192" s="9">
        <f t="shared" si="284"/>
        <v>0</v>
      </c>
      <c r="AA192" s="20"/>
      <c r="AB192" s="20"/>
      <c r="AC192" s="20"/>
      <c r="AD192" s="20"/>
      <c r="AE192" s="20"/>
      <c r="AF192" s="20"/>
      <c r="AG192" s="21">
        <f t="shared" si="285"/>
        <v>0</v>
      </c>
      <c r="AH192" s="25">
        <v>0</v>
      </c>
      <c r="AI192" s="20"/>
      <c r="AJ192" s="20"/>
      <c r="AK192" s="21">
        <f t="shared" si="286"/>
        <v>0</v>
      </c>
      <c r="AL192" s="25"/>
      <c r="AM192" s="20"/>
      <c r="AN192" s="20"/>
      <c r="AO192" s="21">
        <f t="shared" si="287"/>
        <v>0</v>
      </c>
      <c r="AP192" s="25"/>
      <c r="AQ192" s="25"/>
      <c r="AR192" s="25"/>
      <c r="AS192" s="25"/>
      <c r="AT192" s="20"/>
      <c r="AU192" s="20"/>
      <c r="AV192" s="21">
        <f t="shared" si="288"/>
        <v>0</v>
      </c>
      <c r="AW192" s="4">
        <f t="shared" si="289"/>
        <v>0</v>
      </c>
      <c r="AX192" s="4">
        <f t="shared" si="290"/>
        <v>1295000</v>
      </c>
      <c r="AY192" s="4">
        <f t="shared" si="291"/>
        <v>1225500</v>
      </c>
      <c r="AZ192" s="4">
        <f t="shared" si="292"/>
        <v>1155000</v>
      </c>
      <c r="BA192" s="94">
        <f t="shared" si="293"/>
        <v>1050000</v>
      </c>
      <c r="BB192" s="94">
        <f t="shared" si="294"/>
        <v>2145000</v>
      </c>
      <c r="BC192" s="9">
        <f t="shared" si="295"/>
        <v>6870500</v>
      </c>
    </row>
    <row r="193" spans="1:55" ht="47.25">
      <c r="A193" s="186"/>
      <c r="B193" s="8">
        <v>23</v>
      </c>
      <c r="C193" s="1" t="s">
        <v>344</v>
      </c>
      <c r="D193" s="4" t="s">
        <v>345</v>
      </c>
      <c r="E193" s="4" t="s">
        <v>24</v>
      </c>
      <c r="F193" s="4"/>
      <c r="G193" s="4"/>
      <c r="H193" s="4">
        <v>155000</v>
      </c>
      <c r="I193" s="4"/>
      <c r="J193" s="4"/>
      <c r="K193" s="4"/>
      <c r="L193" s="9">
        <f t="shared" si="282"/>
        <v>155000</v>
      </c>
      <c r="M193" s="4"/>
      <c r="N193" s="4"/>
      <c r="O193" s="4"/>
      <c r="P193" s="4"/>
      <c r="Q193" s="4"/>
      <c r="R193" s="4"/>
      <c r="S193" s="9">
        <f t="shared" si="283"/>
        <v>0</v>
      </c>
      <c r="T193" s="20"/>
      <c r="U193" s="20"/>
      <c r="V193" s="20"/>
      <c r="W193" s="20"/>
      <c r="X193" s="20"/>
      <c r="Y193" s="20"/>
      <c r="Z193" s="9">
        <f t="shared" si="284"/>
        <v>0</v>
      </c>
      <c r="AA193" s="20"/>
      <c r="AB193" s="20">
        <v>195000</v>
      </c>
      <c r="AC193" s="20"/>
      <c r="AD193" s="20"/>
      <c r="AE193" s="20"/>
      <c r="AF193" s="20"/>
      <c r="AG193" s="21">
        <f t="shared" si="285"/>
        <v>195000</v>
      </c>
      <c r="AH193" s="25">
        <v>0</v>
      </c>
      <c r="AI193" s="20"/>
      <c r="AJ193" s="20"/>
      <c r="AK193" s="21">
        <f t="shared" si="286"/>
        <v>0</v>
      </c>
      <c r="AL193" s="25"/>
      <c r="AM193" s="20"/>
      <c r="AN193" s="20"/>
      <c r="AO193" s="21">
        <f t="shared" si="287"/>
        <v>0</v>
      </c>
      <c r="AP193" s="25"/>
      <c r="AQ193" s="25"/>
      <c r="AR193" s="25"/>
      <c r="AS193" s="25"/>
      <c r="AT193" s="20"/>
      <c r="AU193" s="20"/>
      <c r="AV193" s="21">
        <f t="shared" si="288"/>
        <v>0</v>
      </c>
      <c r="AW193" s="4">
        <f t="shared" si="289"/>
        <v>0</v>
      </c>
      <c r="AX193" s="4">
        <f t="shared" si="290"/>
        <v>195000</v>
      </c>
      <c r="AY193" s="4">
        <f t="shared" si="291"/>
        <v>155000</v>
      </c>
      <c r="AZ193" s="4">
        <f t="shared" si="292"/>
        <v>0</v>
      </c>
      <c r="BA193" s="94">
        <f t="shared" si="293"/>
        <v>0</v>
      </c>
      <c r="BB193" s="94">
        <f t="shared" si="294"/>
        <v>0</v>
      </c>
      <c r="BC193" s="9">
        <f t="shared" si="295"/>
        <v>350000</v>
      </c>
    </row>
    <row r="194" spans="1:55">
      <c r="A194" s="186"/>
      <c r="B194" s="8">
        <v>24</v>
      </c>
      <c r="C194" s="1" t="s">
        <v>346</v>
      </c>
      <c r="D194" s="4" t="s">
        <v>347</v>
      </c>
      <c r="E194" s="4" t="s">
        <v>24</v>
      </c>
      <c r="F194" s="4">
        <v>155000</v>
      </c>
      <c r="G194" s="4">
        <v>927000</v>
      </c>
      <c r="H194" s="4">
        <f>209000+313500</f>
        <v>522500</v>
      </c>
      <c r="I194" s="4">
        <f>160000+20000</f>
        <v>180000</v>
      </c>
      <c r="J194" s="4"/>
      <c r="K194" s="4"/>
      <c r="L194" s="9">
        <f t="shared" si="282"/>
        <v>1784500</v>
      </c>
      <c r="M194" s="76"/>
      <c r="N194" s="76">
        <v>1340000</v>
      </c>
      <c r="O194" s="76">
        <v>980000</v>
      </c>
      <c r="P194" s="76">
        <v>250000</v>
      </c>
      <c r="Q194" s="4"/>
      <c r="R194" s="4"/>
      <c r="S194" s="9">
        <f t="shared" si="283"/>
        <v>2570000</v>
      </c>
      <c r="T194" s="20">
        <v>290000</v>
      </c>
      <c r="U194" s="22">
        <v>1323000</v>
      </c>
      <c r="V194" s="4">
        <v>741000</v>
      </c>
      <c r="W194" s="32">
        <v>300000</v>
      </c>
      <c r="X194" s="32"/>
      <c r="Y194" s="32"/>
      <c r="Z194" s="9">
        <f t="shared" si="284"/>
        <v>2654000</v>
      </c>
      <c r="AA194" s="20"/>
      <c r="AB194" s="20">
        <v>195000</v>
      </c>
      <c r="AC194" s="24">
        <v>297250</v>
      </c>
      <c r="AD194" s="25">
        <v>142000</v>
      </c>
      <c r="AE194" s="20"/>
      <c r="AF194" s="20"/>
      <c r="AG194" s="21">
        <f t="shared" si="285"/>
        <v>634250</v>
      </c>
      <c r="AH194" s="25">
        <v>0</v>
      </c>
      <c r="AI194" s="20"/>
      <c r="AJ194" s="20"/>
      <c r="AK194" s="21">
        <f t="shared" si="286"/>
        <v>0</v>
      </c>
      <c r="AL194" s="24">
        <v>890000</v>
      </c>
      <c r="AM194" s="20">
        <f>300000+300000+280000+285000+190000</f>
        <v>1355000</v>
      </c>
      <c r="AN194" s="20">
        <f>1633500+612000</f>
        <v>2245500</v>
      </c>
      <c r="AO194" s="21">
        <f t="shared" si="287"/>
        <v>4490500</v>
      </c>
      <c r="AP194" s="25"/>
      <c r="AQ194" s="25">
        <v>100000</v>
      </c>
      <c r="AR194" s="25">
        <v>220800</v>
      </c>
      <c r="AS194" s="25"/>
      <c r="AT194" s="20"/>
      <c r="AU194" s="20"/>
      <c r="AV194" s="21">
        <f t="shared" si="288"/>
        <v>320800</v>
      </c>
      <c r="AW194" s="4">
        <f t="shared" si="289"/>
        <v>445000</v>
      </c>
      <c r="AX194" s="4">
        <f t="shared" si="290"/>
        <v>3885000</v>
      </c>
      <c r="AY194" s="4">
        <f t="shared" si="291"/>
        <v>2761550</v>
      </c>
      <c r="AZ194" s="4">
        <f t="shared" si="292"/>
        <v>1762000</v>
      </c>
      <c r="BA194" s="94">
        <f t="shared" si="293"/>
        <v>1355000</v>
      </c>
      <c r="BB194" s="94">
        <f t="shared" si="294"/>
        <v>2245500</v>
      </c>
      <c r="BC194" s="9">
        <f t="shared" si="295"/>
        <v>12454050</v>
      </c>
    </row>
    <row r="195" spans="1:55">
      <c r="A195" s="186"/>
      <c r="B195" s="8">
        <v>25</v>
      </c>
      <c r="C195" s="1" t="s">
        <v>348</v>
      </c>
      <c r="D195" s="5" t="s">
        <v>422</v>
      </c>
      <c r="E195" s="4" t="s">
        <v>24</v>
      </c>
      <c r="F195" s="4"/>
      <c r="G195" s="4"/>
      <c r="H195" s="4"/>
      <c r="I195" s="4"/>
      <c r="J195" s="4"/>
      <c r="K195" s="4"/>
      <c r="L195" s="9">
        <f t="shared" si="282"/>
        <v>0</v>
      </c>
      <c r="M195" s="4"/>
      <c r="N195" s="4"/>
      <c r="O195" s="4"/>
      <c r="P195" s="4"/>
      <c r="Q195" s="4"/>
      <c r="R195" s="4"/>
      <c r="S195" s="9">
        <f t="shared" si="283"/>
        <v>0</v>
      </c>
      <c r="T195" s="20"/>
      <c r="U195" s="20"/>
      <c r="V195" s="20"/>
      <c r="W195" s="20"/>
      <c r="X195" s="20"/>
      <c r="Y195" s="20"/>
      <c r="Z195" s="9">
        <f t="shared" si="284"/>
        <v>0</v>
      </c>
      <c r="AA195" s="20"/>
      <c r="AB195" s="20">
        <v>195000</v>
      </c>
      <c r="AC195" s="24"/>
      <c r="AD195" s="25"/>
      <c r="AE195" s="20"/>
      <c r="AF195" s="20">
        <f>638500+76800</f>
        <v>715300</v>
      </c>
      <c r="AG195" s="21">
        <f t="shared" si="285"/>
        <v>910300</v>
      </c>
      <c r="AH195" s="25">
        <v>0</v>
      </c>
      <c r="AI195" s="20"/>
      <c r="AJ195" s="20"/>
      <c r="AK195" s="21">
        <f t="shared" si="286"/>
        <v>0</v>
      </c>
      <c r="AL195" s="25"/>
      <c r="AM195" s="20"/>
      <c r="AN195" s="20"/>
      <c r="AO195" s="21">
        <f t="shared" si="287"/>
        <v>0</v>
      </c>
      <c r="AP195" s="25"/>
      <c r="AQ195" s="25"/>
      <c r="AR195" s="25"/>
      <c r="AS195" s="25"/>
      <c r="AT195" s="20"/>
      <c r="AU195" s="20"/>
      <c r="AV195" s="21">
        <f t="shared" si="288"/>
        <v>0</v>
      </c>
      <c r="AW195" s="4">
        <f t="shared" si="289"/>
        <v>0</v>
      </c>
      <c r="AX195" s="4">
        <f t="shared" si="290"/>
        <v>195000</v>
      </c>
      <c r="AY195" s="4">
        <f t="shared" si="291"/>
        <v>0</v>
      </c>
      <c r="AZ195" s="4">
        <f t="shared" si="292"/>
        <v>0</v>
      </c>
      <c r="BA195" s="94">
        <f t="shared" si="293"/>
        <v>0</v>
      </c>
      <c r="BB195" s="94">
        <f t="shared" si="294"/>
        <v>715300</v>
      </c>
      <c r="BC195" s="9">
        <f t="shared" si="295"/>
        <v>910300</v>
      </c>
    </row>
    <row r="196" spans="1:55">
      <c r="A196" s="186"/>
      <c r="B196" s="8">
        <v>26</v>
      </c>
      <c r="C196" s="63" t="s">
        <v>349</v>
      </c>
      <c r="D196" s="5" t="s">
        <v>423</v>
      </c>
      <c r="E196" s="4" t="s">
        <v>24</v>
      </c>
      <c r="F196" s="4"/>
      <c r="G196" s="4"/>
      <c r="H196" s="4"/>
      <c r="I196" s="4"/>
      <c r="J196" s="4"/>
      <c r="K196" s="4"/>
      <c r="L196" s="9">
        <f t="shared" si="282"/>
        <v>0</v>
      </c>
      <c r="M196" s="4"/>
      <c r="N196" s="4"/>
      <c r="O196" s="4"/>
      <c r="P196" s="4"/>
      <c r="Q196" s="4"/>
      <c r="R196" s="4"/>
      <c r="S196" s="9">
        <f t="shared" si="283"/>
        <v>0</v>
      </c>
      <c r="T196" s="20"/>
      <c r="U196" s="20"/>
      <c r="V196" s="20"/>
      <c r="W196" s="20"/>
      <c r="X196" s="20"/>
      <c r="Y196" s="20"/>
      <c r="Z196" s="9">
        <f t="shared" si="284"/>
        <v>0</v>
      </c>
      <c r="AA196" s="20"/>
      <c r="AB196" s="20">
        <v>258750</v>
      </c>
      <c r="AC196" s="24">
        <v>359000</v>
      </c>
      <c r="AD196" s="25">
        <v>876000</v>
      </c>
      <c r="AE196" s="20">
        <v>742000</v>
      </c>
      <c r="AF196" s="20"/>
      <c r="AG196" s="21">
        <f t="shared" si="285"/>
        <v>2235750</v>
      </c>
      <c r="AH196" s="25">
        <v>0</v>
      </c>
      <c r="AI196" s="20"/>
      <c r="AJ196" s="20"/>
      <c r="AK196" s="21">
        <f t="shared" si="286"/>
        <v>0</v>
      </c>
      <c r="AL196" s="25"/>
      <c r="AM196" s="20"/>
      <c r="AN196" s="20"/>
      <c r="AO196" s="21">
        <f t="shared" si="287"/>
        <v>0</v>
      </c>
      <c r="AP196" s="25"/>
      <c r="AQ196" s="25"/>
      <c r="AR196" s="25"/>
      <c r="AS196" s="25"/>
      <c r="AT196" s="20"/>
      <c r="AU196" s="20"/>
      <c r="AV196" s="21">
        <f t="shared" si="288"/>
        <v>0</v>
      </c>
      <c r="AW196" s="4">
        <f t="shared" si="289"/>
        <v>0</v>
      </c>
      <c r="AX196" s="4">
        <f t="shared" si="290"/>
        <v>258750</v>
      </c>
      <c r="AY196" s="4">
        <f t="shared" si="291"/>
        <v>359000</v>
      </c>
      <c r="AZ196" s="4">
        <f t="shared" si="292"/>
        <v>876000</v>
      </c>
      <c r="BA196" s="94">
        <f t="shared" si="293"/>
        <v>742000</v>
      </c>
      <c r="BB196" s="94">
        <f t="shared" si="294"/>
        <v>0</v>
      </c>
      <c r="BC196" s="9">
        <f t="shared" si="295"/>
        <v>2235750</v>
      </c>
    </row>
    <row r="197" spans="1:55">
      <c r="A197" s="186"/>
      <c r="B197" s="8">
        <v>27</v>
      </c>
      <c r="C197" s="2" t="s">
        <v>350</v>
      </c>
      <c r="D197" s="4" t="s">
        <v>347</v>
      </c>
      <c r="E197" s="4" t="s">
        <v>24</v>
      </c>
      <c r="F197" s="4"/>
      <c r="G197" s="4"/>
      <c r="H197" s="4"/>
      <c r="I197" s="4"/>
      <c r="J197" s="4"/>
      <c r="K197" s="4"/>
      <c r="L197" s="9">
        <f t="shared" si="282"/>
        <v>0</v>
      </c>
      <c r="M197" s="4"/>
      <c r="N197" s="4"/>
      <c r="O197" s="4"/>
      <c r="P197" s="4"/>
      <c r="Q197" s="4"/>
      <c r="R197" s="4"/>
      <c r="S197" s="9">
        <f t="shared" si="283"/>
        <v>0</v>
      </c>
      <c r="T197" s="20"/>
      <c r="U197" s="20"/>
      <c r="V197" s="20"/>
      <c r="W197" s="20"/>
      <c r="X197" s="20"/>
      <c r="Y197" s="20"/>
      <c r="Z197" s="9">
        <f t="shared" si="284"/>
        <v>0</v>
      </c>
      <c r="AA197" s="20"/>
      <c r="AB197" s="20"/>
      <c r="AC197" s="24"/>
      <c r="AD197" s="25"/>
      <c r="AE197" s="20"/>
      <c r="AF197" s="20"/>
      <c r="AG197" s="21">
        <f t="shared" si="285"/>
        <v>0</v>
      </c>
      <c r="AH197" s="25">
        <v>0</v>
      </c>
      <c r="AI197" s="20"/>
      <c r="AJ197" s="20"/>
      <c r="AK197" s="21">
        <f t="shared" si="286"/>
        <v>0</v>
      </c>
      <c r="AL197" s="25"/>
      <c r="AM197" s="20"/>
      <c r="AN197" s="20"/>
      <c r="AO197" s="21">
        <f t="shared" si="287"/>
        <v>0</v>
      </c>
      <c r="AP197" s="25"/>
      <c r="AQ197" s="25">
        <v>100000</v>
      </c>
      <c r="AR197" s="25">
        <v>540000</v>
      </c>
      <c r="AS197" s="25"/>
      <c r="AT197" s="20"/>
      <c r="AU197" s="20"/>
      <c r="AV197" s="21">
        <f t="shared" si="288"/>
        <v>640000</v>
      </c>
      <c r="AW197" s="4">
        <f t="shared" si="289"/>
        <v>0</v>
      </c>
      <c r="AX197" s="4">
        <f t="shared" si="290"/>
        <v>100000</v>
      </c>
      <c r="AY197" s="4">
        <f t="shared" si="291"/>
        <v>540000</v>
      </c>
      <c r="AZ197" s="4">
        <f t="shared" si="292"/>
        <v>0</v>
      </c>
      <c r="BA197" s="94">
        <f t="shared" si="293"/>
        <v>0</v>
      </c>
      <c r="BB197" s="94">
        <f t="shared" si="294"/>
        <v>0</v>
      </c>
      <c r="BC197" s="9">
        <f t="shared" si="295"/>
        <v>640000</v>
      </c>
    </row>
    <row r="198" spans="1:55" ht="31.5">
      <c r="A198" s="186"/>
      <c r="B198" s="8">
        <v>28</v>
      </c>
      <c r="C198" s="1" t="s">
        <v>351</v>
      </c>
      <c r="D198" s="5" t="s">
        <v>424</v>
      </c>
      <c r="E198" s="4" t="s">
        <v>24</v>
      </c>
      <c r="F198" s="4"/>
      <c r="G198" s="4"/>
      <c r="H198" s="4"/>
      <c r="I198" s="4"/>
      <c r="J198" s="4"/>
      <c r="K198" s="4"/>
      <c r="L198" s="9">
        <f t="shared" si="282"/>
        <v>0</v>
      </c>
      <c r="M198" s="4"/>
      <c r="N198" s="4"/>
      <c r="O198" s="4"/>
      <c r="P198" s="4"/>
      <c r="Q198" s="4"/>
      <c r="R198" s="4"/>
      <c r="S198" s="9">
        <f t="shared" si="283"/>
        <v>0</v>
      </c>
      <c r="T198" s="20"/>
      <c r="U198" s="20"/>
      <c r="V198" s="20"/>
      <c r="W198" s="20"/>
      <c r="X198" s="20"/>
      <c r="Y198" s="20"/>
      <c r="Z198" s="9">
        <f t="shared" si="284"/>
        <v>0</v>
      </c>
      <c r="AA198" s="20"/>
      <c r="AB198" s="20"/>
      <c r="AC198" s="24">
        <v>195000</v>
      </c>
      <c r="AD198" s="25">
        <v>959500</v>
      </c>
      <c r="AE198" s="20">
        <f>140000+210000+171500+210000+140000</f>
        <v>871500</v>
      </c>
      <c r="AF198" s="20">
        <f>1087600+267000+133500</f>
        <v>1488100</v>
      </c>
      <c r="AG198" s="21">
        <f t="shared" si="285"/>
        <v>3514100</v>
      </c>
      <c r="AH198" s="25">
        <v>0</v>
      </c>
      <c r="AI198" s="20"/>
      <c r="AJ198" s="20"/>
      <c r="AK198" s="21">
        <f t="shared" si="286"/>
        <v>0</v>
      </c>
      <c r="AL198" s="25"/>
      <c r="AM198" s="20"/>
      <c r="AN198" s="20"/>
      <c r="AO198" s="21">
        <f t="shared" si="287"/>
        <v>0</v>
      </c>
      <c r="AP198" s="25"/>
      <c r="AQ198" s="25"/>
      <c r="AR198" s="25"/>
      <c r="AS198" s="25"/>
      <c r="AT198" s="20"/>
      <c r="AU198" s="20"/>
      <c r="AV198" s="21">
        <f t="shared" si="288"/>
        <v>0</v>
      </c>
      <c r="AW198" s="4">
        <f t="shared" si="289"/>
        <v>0</v>
      </c>
      <c r="AX198" s="4">
        <f t="shared" si="290"/>
        <v>0</v>
      </c>
      <c r="AY198" s="4">
        <f t="shared" si="291"/>
        <v>195000</v>
      </c>
      <c r="AZ198" s="4">
        <f t="shared" si="292"/>
        <v>959500</v>
      </c>
      <c r="BA198" s="94">
        <f t="shared" si="293"/>
        <v>871500</v>
      </c>
      <c r="BB198" s="94">
        <f t="shared" si="294"/>
        <v>1488100</v>
      </c>
      <c r="BC198" s="9">
        <f t="shared" si="295"/>
        <v>3514100</v>
      </c>
    </row>
    <row r="199" spans="1:55" ht="31.5">
      <c r="A199" s="186"/>
      <c r="B199" s="8">
        <v>29</v>
      </c>
      <c r="C199" s="1" t="s">
        <v>352</v>
      </c>
      <c r="D199" s="4" t="s">
        <v>309</v>
      </c>
      <c r="E199" s="4" t="s">
        <v>24</v>
      </c>
      <c r="F199" s="4"/>
      <c r="G199" s="4"/>
      <c r="H199" s="4">
        <v>155000</v>
      </c>
      <c r="I199" s="4"/>
      <c r="J199" s="4"/>
      <c r="K199" s="4"/>
      <c r="L199" s="9">
        <f t="shared" si="282"/>
        <v>155000</v>
      </c>
      <c r="M199" s="4"/>
      <c r="N199" s="4"/>
      <c r="O199" s="4"/>
      <c r="P199" s="4"/>
      <c r="Q199" s="4"/>
      <c r="R199" s="4"/>
      <c r="S199" s="9">
        <f t="shared" si="283"/>
        <v>0</v>
      </c>
      <c r="T199" s="20"/>
      <c r="U199" s="20"/>
      <c r="V199" s="20"/>
      <c r="W199" s="20"/>
      <c r="X199" s="20"/>
      <c r="Y199" s="20"/>
      <c r="Z199" s="9">
        <f t="shared" si="284"/>
        <v>0</v>
      </c>
      <c r="AA199" s="20"/>
      <c r="AB199" s="20"/>
      <c r="AC199" s="20">
        <v>195000</v>
      </c>
      <c r="AD199" s="20"/>
      <c r="AE199" s="20"/>
      <c r="AF199" s="20"/>
      <c r="AG199" s="21">
        <f t="shared" si="285"/>
        <v>195000</v>
      </c>
      <c r="AH199" s="25">
        <v>0</v>
      </c>
      <c r="AI199" s="20"/>
      <c r="AJ199" s="20"/>
      <c r="AK199" s="21">
        <f t="shared" si="286"/>
        <v>0</v>
      </c>
      <c r="AL199" s="25"/>
      <c r="AM199" s="20"/>
      <c r="AN199" s="20"/>
      <c r="AO199" s="21">
        <f t="shared" si="287"/>
        <v>0</v>
      </c>
      <c r="AP199" s="25"/>
      <c r="AQ199" s="25"/>
      <c r="AR199" s="25">
        <v>100000</v>
      </c>
      <c r="AS199" s="25"/>
      <c r="AT199" s="20"/>
      <c r="AU199" s="20"/>
      <c r="AV199" s="21">
        <f t="shared" si="288"/>
        <v>100000</v>
      </c>
      <c r="AW199" s="4">
        <f t="shared" si="289"/>
        <v>0</v>
      </c>
      <c r="AX199" s="4">
        <f t="shared" si="290"/>
        <v>0</v>
      </c>
      <c r="AY199" s="4">
        <f t="shared" si="291"/>
        <v>450000</v>
      </c>
      <c r="AZ199" s="4">
        <f t="shared" si="292"/>
        <v>0</v>
      </c>
      <c r="BA199" s="94">
        <f t="shared" si="293"/>
        <v>0</v>
      </c>
      <c r="BB199" s="94">
        <f t="shared" si="294"/>
        <v>0</v>
      </c>
      <c r="BC199" s="9">
        <f t="shared" si="295"/>
        <v>450000</v>
      </c>
    </row>
    <row r="200" spans="1:55" ht="31.5">
      <c r="A200" s="186"/>
      <c r="B200" s="8">
        <v>30</v>
      </c>
      <c r="C200" s="1" t="s">
        <v>353</v>
      </c>
      <c r="D200" s="46" t="s">
        <v>354</v>
      </c>
      <c r="E200" s="4" t="s">
        <v>24</v>
      </c>
      <c r="F200" s="4"/>
      <c r="G200" s="4"/>
      <c r="H200" s="4"/>
      <c r="I200" s="4"/>
      <c r="J200" s="4"/>
      <c r="K200" s="4"/>
      <c r="L200" s="9">
        <f t="shared" si="282"/>
        <v>0</v>
      </c>
      <c r="M200" s="4"/>
      <c r="N200" s="4"/>
      <c r="O200" s="4"/>
      <c r="P200" s="4"/>
      <c r="Q200" s="4"/>
      <c r="R200" s="4"/>
      <c r="S200" s="9">
        <f t="shared" si="283"/>
        <v>0</v>
      </c>
      <c r="T200" s="20">
        <v>290000</v>
      </c>
      <c r="U200" s="22">
        <v>1092000</v>
      </c>
      <c r="V200" s="4">
        <v>196000</v>
      </c>
      <c r="W200" s="32"/>
      <c r="X200" s="32"/>
      <c r="Y200" s="32"/>
      <c r="Z200" s="9">
        <f t="shared" si="284"/>
        <v>1578000</v>
      </c>
      <c r="AA200" s="20">
        <v>195000</v>
      </c>
      <c r="AB200" s="25">
        <v>1321050</v>
      </c>
      <c r="AC200" s="24">
        <v>562600</v>
      </c>
      <c r="AD200" s="25">
        <v>490000</v>
      </c>
      <c r="AE200" s="20">
        <f>140000+210000+210000+210000+140000</f>
        <v>910000</v>
      </c>
      <c r="AF200" s="20">
        <f>930100+334650+111550</f>
        <v>1376300</v>
      </c>
      <c r="AG200" s="21">
        <f t="shared" si="285"/>
        <v>4854950</v>
      </c>
      <c r="AH200" s="25">
        <v>0</v>
      </c>
      <c r="AI200" s="20"/>
      <c r="AJ200" s="20"/>
      <c r="AK200" s="21">
        <f t="shared" si="286"/>
        <v>0</v>
      </c>
      <c r="AL200" s="25"/>
      <c r="AM200" s="20"/>
      <c r="AN200" s="20"/>
      <c r="AO200" s="21">
        <f t="shared" si="287"/>
        <v>0</v>
      </c>
      <c r="AP200" s="25"/>
      <c r="AQ200" s="25"/>
      <c r="AR200" s="25"/>
      <c r="AS200" s="25"/>
      <c r="AT200" s="20"/>
      <c r="AU200" s="20"/>
      <c r="AV200" s="21">
        <f t="shared" si="288"/>
        <v>0</v>
      </c>
      <c r="AW200" s="4">
        <f t="shared" si="289"/>
        <v>485000</v>
      </c>
      <c r="AX200" s="4">
        <f t="shared" si="290"/>
        <v>2413050</v>
      </c>
      <c r="AY200" s="4">
        <f t="shared" si="291"/>
        <v>758600</v>
      </c>
      <c r="AZ200" s="4">
        <f t="shared" si="292"/>
        <v>490000</v>
      </c>
      <c r="BA200" s="94">
        <f t="shared" si="293"/>
        <v>910000</v>
      </c>
      <c r="BB200" s="94">
        <f t="shared" si="294"/>
        <v>1376300</v>
      </c>
      <c r="BC200" s="9">
        <f t="shared" si="295"/>
        <v>6432950</v>
      </c>
    </row>
    <row r="201" spans="1:55" ht="31.5">
      <c r="A201" s="186"/>
      <c r="B201" s="8">
        <v>31</v>
      </c>
      <c r="C201" s="1" t="s">
        <v>355</v>
      </c>
      <c r="D201" s="4" t="s">
        <v>335</v>
      </c>
      <c r="E201" s="4" t="s">
        <v>24</v>
      </c>
      <c r="F201" s="4">
        <v>155000</v>
      </c>
      <c r="G201" s="4">
        <v>247000</v>
      </c>
      <c r="H201" s="4"/>
      <c r="I201" s="4"/>
      <c r="J201" s="4"/>
      <c r="K201" s="4"/>
      <c r="L201" s="9">
        <f t="shared" si="282"/>
        <v>402000</v>
      </c>
      <c r="M201" s="76">
        <v>290000</v>
      </c>
      <c r="N201" s="76">
        <v>990000</v>
      </c>
      <c r="O201" s="76"/>
      <c r="P201" s="76"/>
      <c r="Q201" s="4"/>
      <c r="R201" s="4"/>
      <c r="S201" s="9">
        <f t="shared" si="283"/>
        <v>1280000</v>
      </c>
      <c r="T201" s="20">
        <v>290000</v>
      </c>
      <c r="U201" s="22">
        <v>177414</v>
      </c>
      <c r="V201" s="4"/>
      <c r="W201" s="20"/>
      <c r="X201" s="20"/>
      <c r="Y201" s="20"/>
      <c r="Z201" s="9">
        <f t="shared" si="284"/>
        <v>467414</v>
      </c>
      <c r="AA201" s="20">
        <v>195000</v>
      </c>
      <c r="AB201" s="25">
        <v>1144000</v>
      </c>
      <c r="AC201" s="20"/>
      <c r="AD201" s="20"/>
      <c r="AE201" s="20"/>
      <c r="AF201" s="20"/>
      <c r="AG201" s="21">
        <f t="shared" si="285"/>
        <v>1339000</v>
      </c>
      <c r="AH201" s="25">
        <v>0</v>
      </c>
      <c r="AI201" s="20"/>
      <c r="AJ201" s="20"/>
      <c r="AK201" s="21">
        <f t="shared" si="286"/>
        <v>0</v>
      </c>
      <c r="AL201" s="25"/>
      <c r="AM201" s="20"/>
      <c r="AN201" s="20"/>
      <c r="AO201" s="21">
        <f t="shared" si="287"/>
        <v>0</v>
      </c>
      <c r="AP201" s="25"/>
      <c r="AQ201" s="25">
        <v>100000</v>
      </c>
      <c r="AR201" s="25"/>
      <c r="AS201" s="25"/>
      <c r="AT201" s="20"/>
      <c r="AU201" s="20"/>
      <c r="AV201" s="21">
        <f t="shared" si="288"/>
        <v>100000</v>
      </c>
      <c r="AW201" s="4">
        <f t="shared" si="289"/>
        <v>930000</v>
      </c>
      <c r="AX201" s="4">
        <f t="shared" si="290"/>
        <v>2658414</v>
      </c>
      <c r="AY201" s="4">
        <f t="shared" si="291"/>
        <v>0</v>
      </c>
      <c r="AZ201" s="4">
        <f t="shared" si="292"/>
        <v>0</v>
      </c>
      <c r="BA201" s="94">
        <f t="shared" si="293"/>
        <v>0</v>
      </c>
      <c r="BB201" s="94">
        <f t="shared" si="294"/>
        <v>0</v>
      </c>
      <c r="BC201" s="9">
        <f t="shared" si="295"/>
        <v>3588414</v>
      </c>
    </row>
    <row r="202" spans="1:55">
      <c r="A202" s="186"/>
      <c r="B202" s="8">
        <v>32</v>
      </c>
      <c r="C202" s="1" t="s">
        <v>356</v>
      </c>
      <c r="D202" s="4" t="s">
        <v>313</v>
      </c>
      <c r="E202" s="4" t="s">
        <v>24</v>
      </c>
      <c r="F202" s="4"/>
      <c r="G202" s="4"/>
      <c r="H202" s="4">
        <v>155000</v>
      </c>
      <c r="I202" s="4"/>
      <c r="J202" s="4"/>
      <c r="K202" s="4"/>
      <c r="L202" s="9">
        <f t="shared" si="282"/>
        <v>155000</v>
      </c>
      <c r="M202" s="4"/>
      <c r="N202" s="4"/>
      <c r="O202" s="4"/>
      <c r="P202" s="4"/>
      <c r="Q202" s="4"/>
      <c r="R202" s="4"/>
      <c r="S202" s="9">
        <f t="shared" si="283"/>
        <v>0</v>
      </c>
      <c r="T202" s="20"/>
      <c r="U202" s="20"/>
      <c r="V202" s="4"/>
      <c r="W202" s="20"/>
      <c r="X202" s="20"/>
      <c r="Y202" s="20"/>
      <c r="Z202" s="9">
        <f t="shared" si="284"/>
        <v>0</v>
      </c>
      <c r="AA202" s="20"/>
      <c r="AB202" s="20">
        <v>195000</v>
      </c>
      <c r="AC202" s="20"/>
      <c r="AD202" s="20"/>
      <c r="AE202" s="20"/>
      <c r="AF202" s="20"/>
      <c r="AG202" s="21">
        <f t="shared" si="285"/>
        <v>195000</v>
      </c>
      <c r="AH202" s="25">
        <v>0</v>
      </c>
      <c r="AI202" s="20"/>
      <c r="AJ202" s="20"/>
      <c r="AK202" s="21">
        <f t="shared" si="286"/>
        <v>0</v>
      </c>
      <c r="AL202" s="25"/>
      <c r="AM202" s="20"/>
      <c r="AN202" s="20"/>
      <c r="AO202" s="21">
        <f t="shared" si="287"/>
        <v>0</v>
      </c>
      <c r="AP202" s="25"/>
      <c r="AQ202" s="25"/>
      <c r="AR202" s="25"/>
      <c r="AS202" s="25"/>
      <c r="AT202" s="20"/>
      <c r="AU202" s="20"/>
      <c r="AV202" s="21">
        <f t="shared" si="288"/>
        <v>0</v>
      </c>
      <c r="AW202" s="4">
        <f t="shared" si="289"/>
        <v>0</v>
      </c>
      <c r="AX202" s="4">
        <f t="shared" si="290"/>
        <v>195000</v>
      </c>
      <c r="AY202" s="4">
        <f t="shared" si="291"/>
        <v>155000</v>
      </c>
      <c r="AZ202" s="4">
        <f t="shared" si="292"/>
        <v>0</v>
      </c>
      <c r="BA202" s="94">
        <f t="shared" si="293"/>
        <v>0</v>
      </c>
      <c r="BB202" s="94">
        <f t="shared" si="294"/>
        <v>0</v>
      </c>
      <c r="BC202" s="9">
        <f t="shared" si="295"/>
        <v>350000</v>
      </c>
    </row>
    <row r="203" spans="1:55">
      <c r="A203" s="186"/>
      <c r="B203" s="8">
        <v>33</v>
      </c>
      <c r="C203" s="1" t="s">
        <v>119</v>
      </c>
      <c r="D203" s="4" t="s">
        <v>309</v>
      </c>
      <c r="E203" s="4" t="s">
        <v>24</v>
      </c>
      <c r="F203" s="4"/>
      <c r="G203" s="4">
        <v>155000</v>
      </c>
      <c r="H203" s="4"/>
      <c r="I203" s="4"/>
      <c r="J203" s="4"/>
      <c r="K203" s="4"/>
      <c r="L203" s="9">
        <f t="shared" si="282"/>
        <v>155000</v>
      </c>
      <c r="M203" s="4"/>
      <c r="N203" s="4"/>
      <c r="O203" s="4"/>
      <c r="P203" s="4"/>
      <c r="Q203" s="4"/>
      <c r="R203" s="4"/>
      <c r="S203" s="9">
        <f t="shared" si="283"/>
        <v>0</v>
      </c>
      <c r="T203" s="20"/>
      <c r="U203" s="20"/>
      <c r="V203" s="20"/>
      <c r="W203" s="20"/>
      <c r="X203" s="20"/>
      <c r="Y203" s="20"/>
      <c r="Z203" s="9">
        <f t="shared" si="284"/>
        <v>0</v>
      </c>
      <c r="AA203" s="20"/>
      <c r="AB203" s="20"/>
      <c r="AC203" s="20"/>
      <c r="AD203" s="20"/>
      <c r="AE203" s="20"/>
      <c r="AF203" s="20"/>
      <c r="AG203" s="21">
        <f t="shared" si="285"/>
        <v>0</v>
      </c>
      <c r="AH203" s="25"/>
      <c r="AI203" s="20"/>
      <c r="AJ203" s="20"/>
      <c r="AK203" s="21">
        <f t="shared" si="286"/>
        <v>0</v>
      </c>
      <c r="AL203" s="25"/>
      <c r="AM203" s="20"/>
      <c r="AN203" s="20"/>
      <c r="AO203" s="21">
        <f t="shared" si="287"/>
        <v>0</v>
      </c>
      <c r="AP203" s="25"/>
      <c r="AQ203" s="25">
        <v>100000</v>
      </c>
      <c r="AR203" s="25">
        <v>239200</v>
      </c>
      <c r="AS203" s="25"/>
      <c r="AT203" s="20"/>
      <c r="AU203" s="20"/>
      <c r="AV203" s="21">
        <f t="shared" si="288"/>
        <v>339200</v>
      </c>
      <c r="AW203" s="4">
        <f t="shared" si="289"/>
        <v>0</v>
      </c>
      <c r="AX203" s="4">
        <f t="shared" si="290"/>
        <v>255000</v>
      </c>
      <c r="AY203" s="4">
        <f t="shared" si="291"/>
        <v>239200</v>
      </c>
      <c r="AZ203" s="4">
        <f t="shared" si="292"/>
        <v>0</v>
      </c>
      <c r="BA203" s="94">
        <f t="shared" si="293"/>
        <v>0</v>
      </c>
      <c r="BB203" s="94">
        <f t="shared" si="294"/>
        <v>0</v>
      </c>
      <c r="BC203" s="9">
        <f t="shared" si="295"/>
        <v>494200</v>
      </c>
    </row>
    <row r="204" spans="1:55" ht="31.5">
      <c r="A204" s="186"/>
      <c r="B204" s="8">
        <v>34</v>
      </c>
      <c r="C204" s="1" t="s">
        <v>357</v>
      </c>
      <c r="D204" s="12" t="s">
        <v>358</v>
      </c>
      <c r="E204" s="4" t="s">
        <v>24</v>
      </c>
      <c r="F204" s="4">
        <v>155000</v>
      </c>
      <c r="G204" s="4">
        <v>566000</v>
      </c>
      <c r="H204" s="4">
        <f>88000+93500+308000+20000</f>
        <v>509500</v>
      </c>
      <c r="I204" s="4">
        <f>120000+40000</f>
        <v>160000</v>
      </c>
      <c r="J204" s="4"/>
      <c r="K204" s="4"/>
      <c r="L204" s="9">
        <f t="shared" si="282"/>
        <v>1390500</v>
      </c>
      <c r="M204" s="76">
        <v>290000</v>
      </c>
      <c r="N204" s="76">
        <v>1620000</v>
      </c>
      <c r="O204" s="76">
        <v>1490000</v>
      </c>
      <c r="P204" s="76">
        <v>925000</v>
      </c>
      <c r="Q204" s="4">
        <f>225000+225000+220000+225000+150000</f>
        <v>1045000</v>
      </c>
      <c r="R204" s="4">
        <f>1505000+510000</f>
        <v>2015000</v>
      </c>
      <c r="S204" s="9">
        <f t="shared" si="283"/>
        <v>7385000</v>
      </c>
      <c r="T204" s="20"/>
      <c r="U204" s="20"/>
      <c r="V204" s="4"/>
      <c r="W204" s="20"/>
      <c r="X204" s="20"/>
      <c r="Y204" s="20"/>
      <c r="Z204" s="9">
        <f t="shared" si="284"/>
        <v>0</v>
      </c>
      <c r="AA204" s="20">
        <v>195000</v>
      </c>
      <c r="AB204" s="25">
        <v>840750</v>
      </c>
      <c r="AC204" s="24">
        <v>537100</v>
      </c>
      <c r="AD204" s="25">
        <v>150000</v>
      </c>
      <c r="AE204" s="20"/>
      <c r="AF204" s="20"/>
      <c r="AG204" s="21">
        <f t="shared" si="285"/>
        <v>1722850</v>
      </c>
      <c r="AH204" s="25">
        <v>0</v>
      </c>
      <c r="AI204" s="20"/>
      <c r="AJ204" s="20"/>
      <c r="AK204" s="21">
        <f t="shared" si="286"/>
        <v>0</v>
      </c>
      <c r="AL204" s="25"/>
      <c r="AM204" s="20"/>
      <c r="AN204" s="20"/>
      <c r="AO204" s="21">
        <f t="shared" si="287"/>
        <v>0</v>
      </c>
      <c r="AP204" s="25"/>
      <c r="AQ204" s="25"/>
      <c r="AR204" s="25"/>
      <c r="AS204" s="25"/>
      <c r="AT204" s="20"/>
      <c r="AU204" s="20"/>
      <c r="AV204" s="21">
        <f t="shared" si="288"/>
        <v>0</v>
      </c>
      <c r="AW204" s="4">
        <f t="shared" si="289"/>
        <v>640000</v>
      </c>
      <c r="AX204" s="4">
        <f t="shared" si="290"/>
        <v>3026750</v>
      </c>
      <c r="AY204" s="4">
        <f t="shared" si="291"/>
        <v>2536600</v>
      </c>
      <c r="AZ204" s="4">
        <f t="shared" si="292"/>
        <v>1235000</v>
      </c>
      <c r="BA204" s="94">
        <f t="shared" si="293"/>
        <v>1045000</v>
      </c>
      <c r="BB204" s="94">
        <f t="shared" si="294"/>
        <v>2015000</v>
      </c>
      <c r="BC204" s="9">
        <f t="shared" si="295"/>
        <v>10498350</v>
      </c>
    </row>
    <row r="205" spans="1:55">
      <c r="A205" s="186"/>
      <c r="B205" s="8">
        <v>35</v>
      </c>
      <c r="C205" s="42" t="s">
        <v>359</v>
      </c>
      <c r="D205" s="64" t="s">
        <v>360</v>
      </c>
      <c r="E205" s="4" t="s">
        <v>24</v>
      </c>
      <c r="F205" s="4"/>
      <c r="G205" s="4"/>
      <c r="H205" s="4"/>
      <c r="I205" s="4"/>
      <c r="J205" s="4"/>
      <c r="K205" s="4"/>
      <c r="L205" s="9">
        <f t="shared" si="282"/>
        <v>0</v>
      </c>
      <c r="M205" s="4"/>
      <c r="N205" s="4"/>
      <c r="O205" s="4"/>
      <c r="P205" s="4"/>
      <c r="Q205" s="4"/>
      <c r="R205" s="4"/>
      <c r="S205" s="9">
        <f t="shared" si="283"/>
        <v>0</v>
      </c>
      <c r="T205" s="20"/>
      <c r="U205" s="22">
        <v>1550000</v>
      </c>
      <c r="V205" s="4">
        <v>2160000</v>
      </c>
      <c r="W205" s="32">
        <v>420000</v>
      </c>
      <c r="X205" s="32">
        <f>225000+75000+120000+120000+120000+40000</f>
        <v>700000</v>
      </c>
      <c r="Y205" s="32">
        <f>780000+315000</f>
        <v>1095000</v>
      </c>
      <c r="Z205" s="9">
        <f t="shared" si="284"/>
        <v>5925000</v>
      </c>
      <c r="AA205" s="20"/>
      <c r="AB205" s="25"/>
      <c r="AC205" s="24"/>
      <c r="AD205" s="25"/>
      <c r="AE205" s="20"/>
      <c r="AF205" s="20"/>
      <c r="AG205" s="21">
        <f t="shared" si="285"/>
        <v>0</v>
      </c>
      <c r="AH205" s="25">
        <v>0</v>
      </c>
      <c r="AI205" s="20"/>
      <c r="AJ205" s="20"/>
      <c r="AK205" s="21">
        <f t="shared" si="286"/>
        <v>0</v>
      </c>
      <c r="AL205" s="25"/>
      <c r="AM205" s="20"/>
      <c r="AN205" s="20"/>
      <c r="AO205" s="21">
        <f t="shared" si="287"/>
        <v>0</v>
      </c>
      <c r="AP205" s="25"/>
      <c r="AQ205" s="25"/>
      <c r="AR205" s="25"/>
      <c r="AS205" s="25"/>
      <c r="AT205" s="20"/>
      <c r="AU205" s="20"/>
      <c r="AV205" s="21">
        <f t="shared" si="288"/>
        <v>0</v>
      </c>
      <c r="AW205" s="4">
        <f t="shared" si="289"/>
        <v>0</v>
      </c>
      <c r="AX205" s="4">
        <f t="shared" si="290"/>
        <v>1550000</v>
      </c>
      <c r="AY205" s="4">
        <f t="shared" si="291"/>
        <v>2160000</v>
      </c>
      <c r="AZ205" s="4">
        <f t="shared" si="292"/>
        <v>420000</v>
      </c>
      <c r="BA205" s="94">
        <f t="shared" si="293"/>
        <v>700000</v>
      </c>
      <c r="BB205" s="94">
        <f t="shared" si="294"/>
        <v>1095000</v>
      </c>
      <c r="BC205" s="9">
        <f t="shared" si="295"/>
        <v>5925000</v>
      </c>
    </row>
    <row r="206" spans="1:55">
      <c r="A206" s="186"/>
      <c r="B206" s="8">
        <v>36</v>
      </c>
      <c r="C206" s="2" t="s">
        <v>14</v>
      </c>
      <c r="D206" s="13" t="s">
        <v>26</v>
      </c>
      <c r="E206" s="4" t="s">
        <v>24</v>
      </c>
      <c r="F206" s="4"/>
      <c r="G206" s="4"/>
      <c r="H206" s="4"/>
      <c r="I206" s="4"/>
      <c r="J206" s="4"/>
      <c r="K206" s="4"/>
      <c r="L206" s="9">
        <f t="shared" si="282"/>
        <v>0</v>
      </c>
      <c r="M206" s="4"/>
      <c r="N206" s="4"/>
      <c r="O206" s="4"/>
      <c r="P206" s="4"/>
      <c r="Q206" s="4"/>
      <c r="R206" s="4"/>
      <c r="S206" s="9">
        <f t="shared" si="283"/>
        <v>0</v>
      </c>
      <c r="T206" s="20"/>
      <c r="U206" s="26"/>
      <c r="V206" s="32"/>
      <c r="W206" s="32">
        <v>128000</v>
      </c>
      <c r="X206" s="32"/>
      <c r="Y206" s="32"/>
      <c r="Z206" s="9">
        <f t="shared" si="284"/>
        <v>128000</v>
      </c>
      <c r="AA206" s="20"/>
      <c r="AB206" s="25"/>
      <c r="AC206" s="24"/>
      <c r="AD206" s="25"/>
      <c r="AE206" s="20"/>
      <c r="AF206" s="20"/>
      <c r="AG206" s="21">
        <f t="shared" si="285"/>
        <v>0</v>
      </c>
      <c r="AH206" s="25">
        <v>0</v>
      </c>
      <c r="AI206" s="20"/>
      <c r="AJ206" s="20"/>
      <c r="AK206" s="21">
        <f t="shared" si="286"/>
        <v>0</v>
      </c>
      <c r="AL206" s="25"/>
      <c r="AM206" s="20"/>
      <c r="AN206" s="20"/>
      <c r="AO206" s="21">
        <f t="shared" si="287"/>
        <v>0</v>
      </c>
      <c r="AP206" s="25"/>
      <c r="AQ206" s="25">
        <v>100000</v>
      </c>
      <c r="AR206" s="25"/>
      <c r="AS206" s="25"/>
      <c r="AT206" s="20"/>
      <c r="AU206" s="20"/>
      <c r="AV206" s="21">
        <f t="shared" si="288"/>
        <v>100000</v>
      </c>
      <c r="AW206" s="4">
        <f t="shared" si="289"/>
        <v>0</v>
      </c>
      <c r="AX206" s="4">
        <f t="shared" si="290"/>
        <v>100000</v>
      </c>
      <c r="AY206" s="4">
        <f t="shared" si="291"/>
        <v>0</v>
      </c>
      <c r="AZ206" s="4">
        <f t="shared" si="292"/>
        <v>128000</v>
      </c>
      <c r="BA206" s="94">
        <f t="shared" si="293"/>
        <v>0</v>
      </c>
      <c r="BB206" s="94">
        <f t="shared" si="294"/>
        <v>0</v>
      </c>
      <c r="BC206" s="9">
        <f t="shared" si="295"/>
        <v>228000</v>
      </c>
    </row>
    <row r="207" spans="1:55" ht="18.75">
      <c r="A207" s="187"/>
      <c r="B207" s="8">
        <v>37</v>
      </c>
      <c r="C207" s="1" t="s">
        <v>361</v>
      </c>
      <c r="D207" s="91" t="s">
        <v>425</v>
      </c>
      <c r="E207" s="4" t="s">
        <v>24</v>
      </c>
      <c r="F207" s="4"/>
      <c r="G207" s="4"/>
      <c r="H207" s="4"/>
      <c r="I207" s="4"/>
      <c r="J207" s="4"/>
      <c r="K207" s="4"/>
      <c r="L207" s="9">
        <f t="shared" si="282"/>
        <v>0</v>
      </c>
      <c r="M207" s="4"/>
      <c r="N207" s="4"/>
      <c r="O207" s="4"/>
      <c r="P207" s="4"/>
      <c r="Q207" s="4"/>
      <c r="R207" s="4"/>
      <c r="S207" s="9">
        <f t="shared" si="283"/>
        <v>0</v>
      </c>
      <c r="T207" s="20"/>
      <c r="U207" s="20"/>
      <c r="V207" s="20"/>
      <c r="W207" s="20"/>
      <c r="X207" s="20"/>
      <c r="Y207" s="20"/>
      <c r="Z207" s="9">
        <f t="shared" si="284"/>
        <v>0</v>
      </c>
      <c r="AA207" s="20"/>
      <c r="AB207" s="25"/>
      <c r="AC207" s="24">
        <v>627400</v>
      </c>
      <c r="AD207" s="25">
        <v>950000</v>
      </c>
      <c r="AE207" s="20">
        <f>70000+207000+208500+208500+139000</f>
        <v>833000</v>
      </c>
      <c r="AF207" s="20">
        <f>1196900+271600+135800</f>
        <v>1604300</v>
      </c>
      <c r="AG207" s="21">
        <f t="shared" si="285"/>
        <v>4014700</v>
      </c>
      <c r="AH207" s="25">
        <v>0</v>
      </c>
      <c r="AI207" s="20"/>
      <c r="AJ207" s="20"/>
      <c r="AK207" s="21">
        <f t="shared" si="286"/>
        <v>0</v>
      </c>
      <c r="AL207" s="25"/>
      <c r="AM207" s="20"/>
      <c r="AN207" s="20"/>
      <c r="AO207" s="21">
        <f t="shared" si="287"/>
        <v>0</v>
      </c>
      <c r="AP207" s="25"/>
      <c r="AQ207" s="25"/>
      <c r="AR207" s="25"/>
      <c r="AS207" s="25"/>
      <c r="AT207" s="20"/>
      <c r="AU207" s="20"/>
      <c r="AV207" s="21">
        <f t="shared" si="288"/>
        <v>0</v>
      </c>
      <c r="AW207" s="4">
        <f t="shared" si="289"/>
        <v>0</v>
      </c>
      <c r="AX207" s="4">
        <f t="shared" si="290"/>
        <v>0</v>
      </c>
      <c r="AY207" s="4">
        <f t="shared" si="291"/>
        <v>627400</v>
      </c>
      <c r="AZ207" s="4">
        <f t="shared" si="292"/>
        <v>950000</v>
      </c>
      <c r="BA207" s="94">
        <f t="shared" si="293"/>
        <v>833000</v>
      </c>
      <c r="BB207" s="94">
        <f t="shared" si="294"/>
        <v>1604300</v>
      </c>
      <c r="BC207" s="9">
        <f t="shared" si="295"/>
        <v>4014700</v>
      </c>
    </row>
    <row r="208" spans="1:55" s="38" customFormat="1">
      <c r="A208" s="34"/>
      <c r="B208" s="34"/>
      <c r="C208" s="35" t="s">
        <v>362</v>
      </c>
      <c r="D208" s="37"/>
      <c r="E208" s="37"/>
      <c r="F208" s="37">
        <f>SUM(F171:F207)</f>
        <v>1395000</v>
      </c>
      <c r="G208" s="37">
        <f t="shared" ref="G208:BC208" si="296">SUM(G171:G207)</f>
        <v>7396483</v>
      </c>
      <c r="H208" s="37">
        <f t="shared" si="296"/>
        <v>6600000</v>
      </c>
      <c r="I208" s="37">
        <f t="shared" si="296"/>
        <v>2141500</v>
      </c>
      <c r="J208" s="37">
        <f t="shared" si="296"/>
        <v>980000</v>
      </c>
      <c r="K208" s="37">
        <f t="shared" si="296"/>
        <v>1330000</v>
      </c>
      <c r="L208" s="37">
        <f t="shared" si="296"/>
        <v>19842983</v>
      </c>
      <c r="M208" s="37">
        <f t="shared" si="296"/>
        <v>580000</v>
      </c>
      <c r="N208" s="37">
        <f t="shared" si="296"/>
        <v>6390000</v>
      </c>
      <c r="O208" s="37">
        <f t="shared" si="296"/>
        <v>5900000</v>
      </c>
      <c r="P208" s="37">
        <f t="shared" si="296"/>
        <v>3325000</v>
      </c>
      <c r="Q208" s="37">
        <f t="shared" si="296"/>
        <v>3145000</v>
      </c>
      <c r="R208" s="37">
        <f t="shared" si="296"/>
        <v>6125000</v>
      </c>
      <c r="S208" s="37">
        <f t="shared" si="296"/>
        <v>25465000</v>
      </c>
      <c r="T208" s="37">
        <f t="shared" si="296"/>
        <v>1740000</v>
      </c>
      <c r="U208" s="37">
        <f t="shared" si="296"/>
        <v>7050479</v>
      </c>
      <c r="V208" s="37">
        <f t="shared" si="296"/>
        <v>7679000</v>
      </c>
      <c r="W208" s="37">
        <f t="shared" si="296"/>
        <v>1868000</v>
      </c>
      <c r="X208" s="37">
        <f t="shared" si="296"/>
        <v>2425000</v>
      </c>
      <c r="Y208" s="37">
        <f t="shared" si="296"/>
        <v>2899000</v>
      </c>
      <c r="Z208" s="37">
        <f t="shared" si="296"/>
        <v>23661479</v>
      </c>
      <c r="AA208" s="37">
        <f t="shared" si="296"/>
        <v>1950000</v>
      </c>
      <c r="AB208" s="37">
        <f t="shared" si="296"/>
        <v>14238850</v>
      </c>
      <c r="AC208" s="37">
        <f t="shared" si="296"/>
        <v>8484650</v>
      </c>
      <c r="AD208" s="37">
        <f t="shared" si="296"/>
        <v>6737500</v>
      </c>
      <c r="AE208" s="37">
        <f t="shared" si="296"/>
        <v>4767000</v>
      </c>
      <c r="AF208" s="37">
        <f t="shared" si="296"/>
        <v>7173350</v>
      </c>
      <c r="AG208" s="37">
        <f t="shared" si="296"/>
        <v>43351350</v>
      </c>
      <c r="AH208" s="37">
        <f t="shared" si="296"/>
        <v>5735000</v>
      </c>
      <c r="AI208" s="37">
        <f t="shared" si="296"/>
        <v>7340500</v>
      </c>
      <c r="AJ208" s="37">
        <f t="shared" si="296"/>
        <v>11665200</v>
      </c>
      <c r="AK208" s="37">
        <f t="shared" si="296"/>
        <v>24740700</v>
      </c>
      <c r="AL208" s="37">
        <f t="shared" si="296"/>
        <v>1790000</v>
      </c>
      <c r="AM208" s="37">
        <f t="shared" si="296"/>
        <v>2755000</v>
      </c>
      <c r="AN208" s="37">
        <f t="shared" si="296"/>
        <v>4980500</v>
      </c>
      <c r="AO208" s="37">
        <f t="shared" si="296"/>
        <v>9525500</v>
      </c>
      <c r="AP208" s="37">
        <f t="shared" si="296"/>
        <v>0</v>
      </c>
      <c r="AQ208" s="37">
        <f t="shared" si="296"/>
        <v>1576000</v>
      </c>
      <c r="AR208" s="37">
        <f t="shared" si="296"/>
        <v>3174950</v>
      </c>
      <c r="AS208" s="37">
        <f t="shared" si="296"/>
        <v>150000</v>
      </c>
      <c r="AT208" s="37">
        <f t="shared" si="296"/>
        <v>0</v>
      </c>
      <c r="AU208" s="37">
        <f t="shared" si="296"/>
        <v>0</v>
      </c>
      <c r="AV208" s="37">
        <f t="shared" si="296"/>
        <v>4900950</v>
      </c>
      <c r="AW208" s="37">
        <f t="shared" si="296"/>
        <v>5665000</v>
      </c>
      <c r="AX208" s="37">
        <f t="shared" si="296"/>
        <v>36651812</v>
      </c>
      <c r="AY208" s="37">
        <f t="shared" si="296"/>
        <v>31838600</v>
      </c>
      <c r="AZ208" s="37">
        <f t="shared" si="296"/>
        <v>21747000</v>
      </c>
      <c r="BA208" s="37">
        <f t="shared" si="296"/>
        <v>21412500</v>
      </c>
      <c r="BB208" s="37">
        <f t="shared" si="296"/>
        <v>34173050</v>
      </c>
      <c r="BC208" s="37">
        <f t="shared" si="296"/>
        <v>151487962</v>
      </c>
    </row>
    <row r="209" spans="1:55" ht="31.5">
      <c r="A209" s="108" t="s">
        <v>62</v>
      </c>
      <c r="B209" s="8">
        <v>1</v>
      </c>
      <c r="C209" s="1" t="s">
        <v>8</v>
      </c>
      <c r="D209" s="5" t="s">
        <v>426</v>
      </c>
      <c r="E209" s="4" t="s">
        <v>62</v>
      </c>
      <c r="F209" s="4"/>
      <c r="G209" s="4"/>
      <c r="H209" s="5"/>
      <c r="I209" s="4"/>
      <c r="J209" s="4"/>
      <c r="K209" s="4"/>
      <c r="L209" s="9">
        <f>SUM(F209:K209)</f>
        <v>0</v>
      </c>
      <c r="M209" s="76"/>
      <c r="N209" s="76"/>
      <c r="O209" s="76">
        <v>351999</v>
      </c>
      <c r="P209" s="76">
        <v>450000</v>
      </c>
      <c r="Q209" s="4">
        <f>1050000+75000+225000+225000+150000</f>
        <v>1725000</v>
      </c>
      <c r="R209" s="4">
        <v>1485000</v>
      </c>
      <c r="S209" s="9">
        <f>SUM(M209:R209)</f>
        <v>4011999</v>
      </c>
      <c r="T209" s="20"/>
      <c r="U209" s="20"/>
      <c r="V209" s="20"/>
      <c r="W209" s="20"/>
      <c r="X209" s="20"/>
      <c r="Y209" s="20"/>
      <c r="Z209" s="9">
        <f>SUM(T209:Y209)</f>
        <v>0</v>
      </c>
      <c r="AA209" s="20"/>
      <c r="AB209" s="25">
        <v>195000</v>
      </c>
      <c r="AC209" s="20"/>
      <c r="AD209" s="20">
        <v>42000</v>
      </c>
      <c r="AE209" s="20"/>
      <c r="AF209" s="20"/>
      <c r="AG209" s="21">
        <f>SUM(AA209:AF209)</f>
        <v>237000</v>
      </c>
      <c r="AH209" s="25"/>
      <c r="AI209" s="20"/>
      <c r="AJ209" s="20"/>
      <c r="AK209" s="21">
        <f>SUM(AH209:AJ209)</f>
        <v>0</v>
      </c>
      <c r="AL209" s="25"/>
      <c r="AM209" s="20"/>
      <c r="AN209" s="20"/>
      <c r="AO209" s="21">
        <f>SUM(AL209:AN209)</f>
        <v>0</v>
      </c>
      <c r="AP209" s="25"/>
      <c r="AQ209" s="25"/>
      <c r="AR209" s="25"/>
      <c r="AS209" s="25"/>
      <c r="AT209" s="20"/>
      <c r="AU209" s="20"/>
      <c r="AV209" s="21">
        <f>SUM(AP209:AU209)</f>
        <v>0</v>
      </c>
      <c r="AW209" s="4">
        <f>F209+M209+T209+AA209+AP209</f>
        <v>0</v>
      </c>
      <c r="AX209" s="4">
        <f>G209+N209+U209+AB209+AQ209</f>
        <v>195000</v>
      </c>
      <c r="AY209" s="4">
        <f>H209+O209+V209+AC209+AR209</f>
        <v>351999</v>
      </c>
      <c r="AZ209" s="4">
        <f>I209+P209+W209+AD209+AH209+AL209+AS209</f>
        <v>492000</v>
      </c>
      <c r="BA209" s="94">
        <f>1050000+75000</f>
        <v>1125000</v>
      </c>
      <c r="BB209" s="94">
        <f>K209+R209+Y209+AF209+AJ209+AN209+AU209</f>
        <v>1485000</v>
      </c>
      <c r="BC209" s="9">
        <f>SUM(AW209:BB209)</f>
        <v>3648999</v>
      </c>
    </row>
    <row r="210" spans="1:55" s="38" customFormat="1">
      <c r="A210" s="34"/>
      <c r="B210" s="34"/>
      <c r="C210" s="35" t="s">
        <v>363</v>
      </c>
      <c r="D210" s="37"/>
      <c r="E210" s="37"/>
      <c r="F210" s="37">
        <f>SUM(F209)</f>
        <v>0</v>
      </c>
      <c r="G210" s="37">
        <f t="shared" ref="G210:BC210" si="297">SUM(G209)</f>
        <v>0</v>
      </c>
      <c r="H210" s="37">
        <f t="shared" si="297"/>
        <v>0</v>
      </c>
      <c r="I210" s="37">
        <f t="shared" si="297"/>
        <v>0</v>
      </c>
      <c r="J210" s="37">
        <f t="shared" si="297"/>
        <v>0</v>
      </c>
      <c r="K210" s="37">
        <f t="shared" si="297"/>
        <v>0</v>
      </c>
      <c r="L210" s="37">
        <f t="shared" si="297"/>
        <v>0</v>
      </c>
      <c r="M210" s="37">
        <f t="shared" si="297"/>
        <v>0</v>
      </c>
      <c r="N210" s="37">
        <f t="shared" si="297"/>
        <v>0</v>
      </c>
      <c r="O210" s="37">
        <f t="shared" si="297"/>
        <v>351999</v>
      </c>
      <c r="P210" s="37">
        <f t="shared" si="297"/>
        <v>450000</v>
      </c>
      <c r="Q210" s="37">
        <f t="shared" si="297"/>
        <v>1725000</v>
      </c>
      <c r="R210" s="37">
        <f t="shared" si="297"/>
        <v>1485000</v>
      </c>
      <c r="S210" s="37">
        <f t="shared" si="297"/>
        <v>4011999</v>
      </c>
      <c r="T210" s="37">
        <f t="shared" si="297"/>
        <v>0</v>
      </c>
      <c r="U210" s="37">
        <f t="shared" si="297"/>
        <v>0</v>
      </c>
      <c r="V210" s="37">
        <f t="shared" si="297"/>
        <v>0</v>
      </c>
      <c r="W210" s="37">
        <f t="shared" si="297"/>
        <v>0</v>
      </c>
      <c r="X210" s="37">
        <f t="shared" si="297"/>
        <v>0</v>
      </c>
      <c r="Y210" s="37">
        <f t="shared" si="297"/>
        <v>0</v>
      </c>
      <c r="Z210" s="37">
        <f t="shared" si="297"/>
        <v>0</v>
      </c>
      <c r="AA210" s="37">
        <f t="shared" si="297"/>
        <v>0</v>
      </c>
      <c r="AB210" s="37">
        <f t="shared" si="297"/>
        <v>195000</v>
      </c>
      <c r="AC210" s="37">
        <f t="shared" si="297"/>
        <v>0</v>
      </c>
      <c r="AD210" s="37">
        <f t="shared" si="297"/>
        <v>42000</v>
      </c>
      <c r="AE210" s="37">
        <f t="shared" si="297"/>
        <v>0</v>
      </c>
      <c r="AF210" s="37">
        <f t="shared" si="297"/>
        <v>0</v>
      </c>
      <c r="AG210" s="37">
        <f t="shared" si="297"/>
        <v>237000</v>
      </c>
      <c r="AH210" s="37">
        <f t="shared" si="297"/>
        <v>0</v>
      </c>
      <c r="AI210" s="37">
        <f t="shared" si="297"/>
        <v>0</v>
      </c>
      <c r="AJ210" s="37">
        <f t="shared" si="297"/>
        <v>0</v>
      </c>
      <c r="AK210" s="37">
        <f t="shared" si="297"/>
        <v>0</v>
      </c>
      <c r="AL210" s="37">
        <f t="shared" si="297"/>
        <v>0</v>
      </c>
      <c r="AM210" s="37">
        <f t="shared" si="297"/>
        <v>0</v>
      </c>
      <c r="AN210" s="37">
        <f t="shared" si="297"/>
        <v>0</v>
      </c>
      <c r="AO210" s="37">
        <f t="shared" si="297"/>
        <v>0</v>
      </c>
      <c r="AP210" s="37">
        <f t="shared" si="297"/>
        <v>0</v>
      </c>
      <c r="AQ210" s="37">
        <f t="shared" si="297"/>
        <v>0</v>
      </c>
      <c r="AR210" s="37">
        <f t="shared" si="297"/>
        <v>0</v>
      </c>
      <c r="AS210" s="37">
        <f t="shared" si="297"/>
        <v>0</v>
      </c>
      <c r="AT210" s="37">
        <f t="shared" si="297"/>
        <v>0</v>
      </c>
      <c r="AU210" s="37">
        <f t="shared" si="297"/>
        <v>0</v>
      </c>
      <c r="AV210" s="37">
        <f t="shared" si="297"/>
        <v>0</v>
      </c>
      <c r="AW210" s="37">
        <f t="shared" si="297"/>
        <v>0</v>
      </c>
      <c r="AX210" s="37">
        <f t="shared" si="297"/>
        <v>195000</v>
      </c>
      <c r="AY210" s="37">
        <f t="shared" si="297"/>
        <v>351999</v>
      </c>
      <c r="AZ210" s="37">
        <f t="shared" si="297"/>
        <v>492000</v>
      </c>
      <c r="BA210" s="37">
        <f t="shared" si="297"/>
        <v>1125000</v>
      </c>
      <c r="BB210" s="37">
        <f t="shared" si="297"/>
        <v>1485000</v>
      </c>
      <c r="BC210" s="37">
        <f t="shared" si="297"/>
        <v>3648999</v>
      </c>
    </row>
    <row r="211" spans="1:55">
      <c r="A211" s="185" t="s">
        <v>23</v>
      </c>
      <c r="B211" s="8">
        <v>1</v>
      </c>
      <c r="C211" s="1" t="s">
        <v>0</v>
      </c>
      <c r="D211" s="4" t="s">
        <v>22</v>
      </c>
      <c r="E211" s="4" t="s">
        <v>23</v>
      </c>
      <c r="F211" s="4"/>
      <c r="G211" s="4"/>
      <c r="H211" s="4">
        <v>155000</v>
      </c>
      <c r="I211" s="4">
        <v>172000</v>
      </c>
      <c r="J211" s="4">
        <f>828000+140000+420000+140000</f>
        <v>1528000</v>
      </c>
      <c r="K211" s="4">
        <f>880000+183208+93208</f>
        <v>1156416</v>
      </c>
      <c r="L211" s="9">
        <f t="shared" ref="L211:L223" si="298">SUM(F211:K211)</f>
        <v>3011416</v>
      </c>
      <c r="M211" s="76"/>
      <c r="N211" s="76"/>
      <c r="O211" s="76"/>
      <c r="P211" s="76"/>
      <c r="Q211" s="4"/>
      <c r="R211" s="4"/>
      <c r="S211" s="9">
        <f t="shared" ref="S211:S223" si="299">SUM(M211:R211)</f>
        <v>0</v>
      </c>
      <c r="T211" s="20"/>
      <c r="U211" s="20"/>
      <c r="V211" s="20"/>
      <c r="W211" s="20"/>
      <c r="X211" s="20"/>
      <c r="Y211" s="20"/>
      <c r="Z211" s="9">
        <f t="shared" ref="Z211:Z223" si="300">SUM(T211:Y211)</f>
        <v>0</v>
      </c>
      <c r="AA211" s="20"/>
      <c r="AB211" s="20"/>
      <c r="AC211" s="20"/>
      <c r="AD211" s="20"/>
      <c r="AE211" s="20"/>
      <c r="AF211" s="20"/>
      <c r="AG211" s="21">
        <f t="shared" ref="AG211:AG223" si="301">SUM(AA211:AF211)</f>
        <v>0</v>
      </c>
      <c r="AH211" s="25">
        <v>0</v>
      </c>
      <c r="AI211" s="20"/>
      <c r="AJ211" s="20"/>
      <c r="AK211" s="21">
        <f t="shared" ref="AK211:AK223" si="302">SUM(AH211:AJ211)</f>
        <v>0</v>
      </c>
      <c r="AL211" s="25"/>
      <c r="AM211" s="20"/>
      <c r="AN211" s="20"/>
      <c r="AO211" s="21">
        <f t="shared" ref="AO211:AO223" si="303">SUM(AL211:AN211)</f>
        <v>0</v>
      </c>
      <c r="AP211" s="25"/>
      <c r="AQ211" s="25"/>
      <c r="AR211" s="25">
        <v>100000</v>
      </c>
      <c r="AS211" s="25">
        <v>125000</v>
      </c>
      <c r="AT211" s="20"/>
      <c r="AU211" s="20"/>
      <c r="AV211" s="21">
        <f t="shared" ref="AV211:AV223" si="304">SUM(AP211:AU211)</f>
        <v>225000</v>
      </c>
      <c r="AW211" s="4">
        <f t="shared" ref="AW211:AW223" si="305">F211+M211+T211+AA211+AP211</f>
        <v>0</v>
      </c>
      <c r="AX211" s="4">
        <f t="shared" ref="AX211:AX223" si="306">G211+N211+U211+AB211+AQ211</f>
        <v>0</v>
      </c>
      <c r="AY211" s="4">
        <f t="shared" ref="AY211:AY223" si="307">H211+O211+V211+AC211+AR211</f>
        <v>255000</v>
      </c>
      <c r="AZ211" s="4">
        <f t="shared" ref="AZ211:AZ223" si="308">I211+P211+W211+AD211+AH211+AL211+AS211</f>
        <v>297000</v>
      </c>
      <c r="BA211" s="94">
        <f t="shared" ref="BA211:BA223" si="309">J211+Q211+X211+AE211+AI211+AM211+AT211</f>
        <v>1528000</v>
      </c>
      <c r="BB211" s="94">
        <f t="shared" ref="BB211:BB223" si="310">K211+R211+Y211+AF211+AJ211+AN211+AU211</f>
        <v>1156416</v>
      </c>
      <c r="BC211" s="9">
        <f t="shared" ref="BC211:BC223" si="311">SUM(AW211:BB211)</f>
        <v>3236416</v>
      </c>
    </row>
    <row r="212" spans="1:55" ht="31.5">
      <c r="A212" s="186"/>
      <c r="B212" s="8">
        <v>2</v>
      </c>
      <c r="C212" s="1" t="s">
        <v>364</v>
      </c>
      <c r="D212" s="4" t="s">
        <v>365</v>
      </c>
      <c r="E212" s="4" t="s">
        <v>23</v>
      </c>
      <c r="F212" s="4"/>
      <c r="G212" s="4">
        <f>399694+3753</f>
        <v>403447</v>
      </c>
      <c r="H212" s="4">
        <f>114500+65000+219000</f>
        <v>398500</v>
      </c>
      <c r="I212" s="4"/>
      <c r="J212" s="4"/>
      <c r="K212" s="4"/>
      <c r="L212" s="9">
        <f t="shared" si="298"/>
        <v>801947</v>
      </c>
      <c r="M212" s="4"/>
      <c r="N212" s="4"/>
      <c r="O212" s="4"/>
      <c r="P212" s="4"/>
      <c r="Q212" s="4"/>
      <c r="R212" s="4"/>
      <c r="S212" s="9">
        <f t="shared" si="299"/>
        <v>0</v>
      </c>
      <c r="T212" s="20"/>
      <c r="U212" s="20"/>
      <c r="V212" s="20"/>
      <c r="W212" s="20"/>
      <c r="X212" s="20"/>
      <c r="Y212" s="20"/>
      <c r="Z212" s="9">
        <f t="shared" si="300"/>
        <v>0</v>
      </c>
      <c r="AA212" s="20">
        <v>195000</v>
      </c>
      <c r="AB212" s="25">
        <v>1079050</v>
      </c>
      <c r="AC212" s="25">
        <v>1013650</v>
      </c>
      <c r="AD212" s="24">
        <v>150000</v>
      </c>
      <c r="AE212" s="20"/>
      <c r="AF212" s="20"/>
      <c r="AG212" s="21">
        <f t="shared" si="301"/>
        <v>2437700</v>
      </c>
      <c r="AH212" s="25">
        <v>838000</v>
      </c>
      <c r="AI212" s="20">
        <f>105000+315000+315000+315000+210000</f>
        <v>1260000</v>
      </c>
      <c r="AJ212" s="20">
        <f>1386000+310000+155200</f>
        <v>1851200</v>
      </c>
      <c r="AK212" s="21">
        <f t="shared" si="302"/>
        <v>3949200</v>
      </c>
      <c r="AL212" s="25"/>
      <c r="AM212" s="20"/>
      <c r="AN212" s="20"/>
      <c r="AO212" s="21">
        <f t="shared" si="303"/>
        <v>0</v>
      </c>
      <c r="AP212" s="25"/>
      <c r="AQ212" s="25"/>
      <c r="AR212" s="25"/>
      <c r="AS212" s="25"/>
      <c r="AT212" s="20"/>
      <c r="AU212" s="20"/>
      <c r="AV212" s="21">
        <f t="shared" si="304"/>
        <v>0</v>
      </c>
      <c r="AW212" s="4">
        <f t="shared" si="305"/>
        <v>195000</v>
      </c>
      <c r="AX212" s="4">
        <f t="shared" si="306"/>
        <v>1482497</v>
      </c>
      <c r="AY212" s="4">
        <f t="shared" si="307"/>
        <v>1412150</v>
      </c>
      <c r="AZ212" s="4">
        <f t="shared" si="308"/>
        <v>988000</v>
      </c>
      <c r="BA212" s="94">
        <f t="shared" si="309"/>
        <v>1260000</v>
      </c>
      <c r="BB212" s="94">
        <f t="shared" si="310"/>
        <v>1851200</v>
      </c>
      <c r="BC212" s="9">
        <f t="shared" si="311"/>
        <v>7188847</v>
      </c>
    </row>
    <row r="213" spans="1:55">
      <c r="A213" s="186"/>
      <c r="B213" s="8">
        <v>3</v>
      </c>
      <c r="C213" s="1" t="s">
        <v>366</v>
      </c>
      <c r="D213" s="4" t="s">
        <v>367</v>
      </c>
      <c r="E213" s="4" t="s">
        <v>23</v>
      </c>
      <c r="F213" s="4"/>
      <c r="G213" s="4"/>
      <c r="H213" s="4">
        <v>155000</v>
      </c>
      <c r="I213" s="4"/>
      <c r="J213" s="4"/>
      <c r="K213" s="4"/>
      <c r="L213" s="9">
        <f t="shared" si="298"/>
        <v>155000</v>
      </c>
      <c r="M213" s="4"/>
      <c r="N213" s="4"/>
      <c r="O213" s="4"/>
      <c r="P213" s="4"/>
      <c r="Q213" s="4"/>
      <c r="R213" s="4"/>
      <c r="S213" s="9">
        <f t="shared" si="299"/>
        <v>0</v>
      </c>
      <c r="T213" s="20"/>
      <c r="U213" s="20"/>
      <c r="V213" s="20"/>
      <c r="W213" s="20"/>
      <c r="X213" s="20"/>
      <c r="Y213" s="20"/>
      <c r="Z213" s="9">
        <f t="shared" si="300"/>
        <v>0</v>
      </c>
      <c r="AA213" s="20"/>
      <c r="AB213" s="20"/>
      <c r="AC213" s="20"/>
      <c r="AD213" s="20"/>
      <c r="AE213" s="20"/>
      <c r="AF213" s="20"/>
      <c r="AG213" s="21">
        <f t="shared" si="301"/>
        <v>0</v>
      </c>
      <c r="AH213" s="25">
        <v>0</v>
      </c>
      <c r="AI213" s="20"/>
      <c r="AJ213" s="20"/>
      <c r="AK213" s="21">
        <f t="shared" si="302"/>
        <v>0</v>
      </c>
      <c r="AL213" s="25"/>
      <c r="AM213" s="20"/>
      <c r="AN213" s="20"/>
      <c r="AO213" s="21">
        <f t="shared" si="303"/>
        <v>0</v>
      </c>
      <c r="AP213" s="25"/>
      <c r="AQ213" s="25"/>
      <c r="AR213" s="25"/>
      <c r="AS213" s="25"/>
      <c r="AT213" s="20"/>
      <c r="AU213" s="20"/>
      <c r="AV213" s="21">
        <f t="shared" si="304"/>
        <v>0</v>
      </c>
      <c r="AW213" s="4">
        <f t="shared" si="305"/>
        <v>0</v>
      </c>
      <c r="AX213" s="4">
        <f t="shared" si="306"/>
        <v>0</v>
      </c>
      <c r="AY213" s="4">
        <f t="shared" si="307"/>
        <v>155000</v>
      </c>
      <c r="AZ213" s="4">
        <f t="shared" si="308"/>
        <v>0</v>
      </c>
      <c r="BA213" s="94">
        <f t="shared" si="309"/>
        <v>0</v>
      </c>
      <c r="BB213" s="94">
        <f t="shared" si="310"/>
        <v>0</v>
      </c>
      <c r="BC213" s="9">
        <f t="shared" si="311"/>
        <v>155000</v>
      </c>
    </row>
    <row r="214" spans="1:55">
      <c r="A214" s="186"/>
      <c r="B214" s="8">
        <v>4</v>
      </c>
      <c r="C214" s="1" t="s">
        <v>368</v>
      </c>
      <c r="D214" s="4" t="s">
        <v>369</v>
      </c>
      <c r="E214" s="4" t="s">
        <v>23</v>
      </c>
      <c r="F214" s="4"/>
      <c r="G214" s="4"/>
      <c r="H214" s="4">
        <v>155000</v>
      </c>
      <c r="I214" s="4"/>
      <c r="J214" s="4"/>
      <c r="K214" s="4"/>
      <c r="L214" s="9">
        <f t="shared" si="298"/>
        <v>155000</v>
      </c>
      <c r="M214" s="4"/>
      <c r="N214" s="4"/>
      <c r="O214" s="4"/>
      <c r="P214" s="4"/>
      <c r="Q214" s="4"/>
      <c r="R214" s="4"/>
      <c r="S214" s="9">
        <f t="shared" si="299"/>
        <v>0</v>
      </c>
      <c r="T214" s="20"/>
      <c r="U214" s="20"/>
      <c r="V214" s="20"/>
      <c r="W214" s="20"/>
      <c r="X214" s="20"/>
      <c r="Y214" s="20"/>
      <c r="Z214" s="9">
        <f t="shared" si="300"/>
        <v>0</v>
      </c>
      <c r="AA214" s="20"/>
      <c r="AB214" s="20">
        <v>195000</v>
      </c>
      <c r="AC214" s="25">
        <v>710800</v>
      </c>
      <c r="AD214" s="24">
        <v>210000</v>
      </c>
      <c r="AE214" s="20"/>
      <c r="AF214" s="20"/>
      <c r="AG214" s="21">
        <f t="shared" si="301"/>
        <v>1115800</v>
      </c>
      <c r="AH214" s="25">
        <v>0</v>
      </c>
      <c r="AI214" s="20">
        <f>945000+315000+315000+315000+210000</f>
        <v>2100000</v>
      </c>
      <c r="AJ214" s="20">
        <v>693900</v>
      </c>
      <c r="AK214" s="21">
        <f t="shared" si="302"/>
        <v>2793900</v>
      </c>
      <c r="AL214" s="25"/>
      <c r="AM214" s="20"/>
      <c r="AN214" s="20"/>
      <c r="AO214" s="21">
        <f t="shared" si="303"/>
        <v>0</v>
      </c>
      <c r="AP214" s="25"/>
      <c r="AQ214" s="25">
        <v>100000</v>
      </c>
      <c r="AR214" s="25">
        <v>540000</v>
      </c>
      <c r="AS214" s="25"/>
      <c r="AT214" s="20"/>
      <c r="AU214" s="20"/>
      <c r="AV214" s="21">
        <f t="shared" si="304"/>
        <v>640000</v>
      </c>
      <c r="AW214" s="4">
        <f t="shared" si="305"/>
        <v>0</v>
      </c>
      <c r="AX214" s="4">
        <f t="shared" si="306"/>
        <v>295000</v>
      </c>
      <c r="AY214" s="4">
        <f t="shared" si="307"/>
        <v>1405800</v>
      </c>
      <c r="AZ214" s="4">
        <f t="shared" si="308"/>
        <v>210000</v>
      </c>
      <c r="BA214" s="94">
        <f t="shared" si="309"/>
        <v>2100000</v>
      </c>
      <c r="BB214" s="94">
        <f t="shared" si="310"/>
        <v>693900</v>
      </c>
      <c r="BC214" s="9">
        <f t="shared" si="311"/>
        <v>4704700</v>
      </c>
    </row>
    <row r="215" spans="1:55">
      <c r="A215" s="186"/>
      <c r="B215" s="8">
        <v>5</v>
      </c>
      <c r="C215" s="1" t="s">
        <v>370</v>
      </c>
      <c r="D215" s="4" t="s">
        <v>371</v>
      </c>
      <c r="E215" s="4" t="s">
        <v>23</v>
      </c>
      <c r="F215" s="4"/>
      <c r="G215" s="4">
        <v>453500</v>
      </c>
      <c r="H215" s="4">
        <f>99000+203500</f>
        <v>302500</v>
      </c>
      <c r="I215" s="4">
        <v>160000</v>
      </c>
      <c r="J215" s="4"/>
      <c r="K215" s="4"/>
      <c r="L215" s="9">
        <f t="shared" si="298"/>
        <v>916000</v>
      </c>
      <c r="M215" s="4"/>
      <c r="N215" s="4"/>
      <c r="O215" s="4"/>
      <c r="P215" s="4"/>
      <c r="Q215" s="4"/>
      <c r="R215" s="4"/>
      <c r="S215" s="9">
        <f t="shared" si="299"/>
        <v>0</v>
      </c>
      <c r="T215" s="20"/>
      <c r="U215" s="20"/>
      <c r="V215" s="20"/>
      <c r="W215" s="20"/>
      <c r="X215" s="20"/>
      <c r="Y215" s="20"/>
      <c r="Z215" s="9">
        <f t="shared" si="300"/>
        <v>0</v>
      </c>
      <c r="AA215" s="20"/>
      <c r="AB215" s="25">
        <v>636450</v>
      </c>
      <c r="AC215" s="25">
        <v>252200</v>
      </c>
      <c r="AD215" s="24">
        <v>180000</v>
      </c>
      <c r="AE215" s="20"/>
      <c r="AF215" s="20"/>
      <c r="AG215" s="21">
        <f t="shared" si="301"/>
        <v>1068650</v>
      </c>
      <c r="AH215" s="25">
        <v>823000</v>
      </c>
      <c r="AI215" s="20">
        <f>283500+273000+291500+293500+196000</f>
        <v>1337500</v>
      </c>
      <c r="AJ215" s="20">
        <f>1224400+262200+129600</f>
        <v>1616200</v>
      </c>
      <c r="AK215" s="21">
        <f t="shared" si="302"/>
        <v>3776700</v>
      </c>
      <c r="AL215" s="25"/>
      <c r="AM215" s="20"/>
      <c r="AN215" s="20"/>
      <c r="AO215" s="21">
        <f t="shared" si="303"/>
        <v>0</v>
      </c>
      <c r="AP215" s="25"/>
      <c r="AQ215" s="25">
        <v>100000</v>
      </c>
      <c r="AR215" s="25">
        <v>230000</v>
      </c>
      <c r="AS215" s="25"/>
      <c r="AT215" s="20"/>
      <c r="AU215" s="20"/>
      <c r="AV215" s="21">
        <f t="shared" si="304"/>
        <v>330000</v>
      </c>
      <c r="AW215" s="4">
        <f t="shared" si="305"/>
        <v>0</v>
      </c>
      <c r="AX215" s="4">
        <f t="shared" si="306"/>
        <v>1189950</v>
      </c>
      <c r="AY215" s="4">
        <f t="shared" si="307"/>
        <v>784700</v>
      </c>
      <c r="AZ215" s="4">
        <f t="shared" si="308"/>
        <v>1163000</v>
      </c>
      <c r="BA215" s="94">
        <f t="shared" si="309"/>
        <v>1337500</v>
      </c>
      <c r="BB215" s="94">
        <f t="shared" si="310"/>
        <v>1616200</v>
      </c>
      <c r="BC215" s="9">
        <f t="shared" si="311"/>
        <v>6091350</v>
      </c>
    </row>
    <row r="216" spans="1:55">
      <c r="A216" s="186"/>
      <c r="B216" s="8">
        <v>6</v>
      </c>
      <c r="C216" s="1" t="s">
        <v>372</v>
      </c>
      <c r="D216" s="4" t="s">
        <v>371</v>
      </c>
      <c r="E216" s="4" t="s">
        <v>23</v>
      </c>
      <c r="F216" s="4"/>
      <c r="G216" s="4">
        <v>155000</v>
      </c>
      <c r="H216" s="4">
        <v>88000</v>
      </c>
      <c r="I216" s="4"/>
      <c r="J216" s="4"/>
      <c r="K216" s="4"/>
      <c r="L216" s="9">
        <f t="shared" si="298"/>
        <v>243000</v>
      </c>
      <c r="M216" s="4"/>
      <c r="N216" s="4"/>
      <c r="O216" s="4"/>
      <c r="P216" s="4"/>
      <c r="Q216" s="4"/>
      <c r="R216" s="4"/>
      <c r="S216" s="9">
        <f t="shared" si="299"/>
        <v>0</v>
      </c>
      <c r="T216" s="20"/>
      <c r="U216" s="20"/>
      <c r="V216" s="20"/>
      <c r="W216" s="20"/>
      <c r="X216" s="20"/>
      <c r="Y216" s="20"/>
      <c r="Z216" s="9">
        <f t="shared" si="300"/>
        <v>0</v>
      </c>
      <c r="AA216" s="20"/>
      <c r="AB216" s="25">
        <v>238650</v>
      </c>
      <c r="AC216" s="25">
        <v>601400</v>
      </c>
      <c r="AD216" s="24"/>
      <c r="AE216" s="20">
        <v>630000</v>
      </c>
      <c r="AF216" s="20"/>
      <c r="AG216" s="21">
        <f t="shared" si="301"/>
        <v>1470050</v>
      </c>
      <c r="AH216" s="25">
        <v>0</v>
      </c>
      <c r="AI216" s="20">
        <f>850500+196000</f>
        <v>1046500</v>
      </c>
      <c r="AJ216" s="20">
        <v>1234500</v>
      </c>
      <c r="AK216" s="21">
        <f t="shared" si="302"/>
        <v>2281000</v>
      </c>
      <c r="AL216" s="25"/>
      <c r="AM216" s="20"/>
      <c r="AN216" s="20"/>
      <c r="AO216" s="21">
        <f t="shared" si="303"/>
        <v>0</v>
      </c>
      <c r="AP216" s="25"/>
      <c r="AQ216" s="25"/>
      <c r="AR216" s="25"/>
      <c r="AS216" s="25"/>
      <c r="AT216" s="20"/>
      <c r="AU216" s="20"/>
      <c r="AV216" s="21">
        <f t="shared" si="304"/>
        <v>0</v>
      </c>
      <c r="AW216" s="4">
        <f t="shared" si="305"/>
        <v>0</v>
      </c>
      <c r="AX216" s="4">
        <f t="shared" si="306"/>
        <v>393650</v>
      </c>
      <c r="AY216" s="4">
        <f t="shared" si="307"/>
        <v>689400</v>
      </c>
      <c r="AZ216" s="4">
        <f t="shared" si="308"/>
        <v>0</v>
      </c>
      <c r="BA216" s="94">
        <f t="shared" si="309"/>
        <v>1676500</v>
      </c>
      <c r="BB216" s="94">
        <f t="shared" si="310"/>
        <v>1234500</v>
      </c>
      <c r="BC216" s="9">
        <f t="shared" si="311"/>
        <v>3994050</v>
      </c>
    </row>
    <row r="217" spans="1:55">
      <c r="A217" s="186"/>
      <c r="B217" s="8">
        <v>7</v>
      </c>
      <c r="C217" s="1" t="s">
        <v>373</v>
      </c>
      <c r="D217" s="4" t="s">
        <v>374</v>
      </c>
      <c r="E217" s="4" t="s">
        <v>23</v>
      </c>
      <c r="F217" s="4"/>
      <c r="G217" s="4">
        <v>719000</v>
      </c>
      <c r="H217" s="4">
        <f>282000+188000+80500+85000+80000</f>
        <v>715500</v>
      </c>
      <c r="I217" s="4">
        <v>673500</v>
      </c>
      <c r="J217" s="4">
        <f>181500+186000+186000+186000+121500</f>
        <v>861000</v>
      </c>
      <c r="K217" s="4">
        <f>848500+180000+90000</f>
        <v>1118500</v>
      </c>
      <c r="L217" s="9">
        <f t="shared" si="298"/>
        <v>4087500</v>
      </c>
      <c r="M217" s="4"/>
      <c r="N217" s="4"/>
      <c r="O217" s="4"/>
      <c r="P217" s="4"/>
      <c r="Q217" s="4"/>
      <c r="R217" s="4"/>
      <c r="S217" s="9">
        <f t="shared" si="299"/>
        <v>0</v>
      </c>
      <c r="T217" s="20"/>
      <c r="U217" s="20"/>
      <c r="V217" s="20"/>
      <c r="W217" s="20"/>
      <c r="X217" s="20"/>
      <c r="Y217" s="20"/>
      <c r="Z217" s="9">
        <f t="shared" si="300"/>
        <v>0</v>
      </c>
      <c r="AA217" s="20"/>
      <c r="AB217" s="20"/>
      <c r="AC217" s="20"/>
      <c r="AD217" s="20"/>
      <c r="AE217" s="20"/>
      <c r="AF217" s="20"/>
      <c r="AG217" s="21">
        <f t="shared" si="301"/>
        <v>0</v>
      </c>
      <c r="AH217" s="25">
        <v>0</v>
      </c>
      <c r="AI217" s="20"/>
      <c r="AJ217" s="20"/>
      <c r="AK217" s="21">
        <f t="shared" si="302"/>
        <v>0</v>
      </c>
      <c r="AL217" s="25"/>
      <c r="AM217" s="20"/>
      <c r="AN217" s="20"/>
      <c r="AO217" s="21">
        <f t="shared" si="303"/>
        <v>0</v>
      </c>
      <c r="AP217" s="25"/>
      <c r="AQ217" s="25">
        <v>100000</v>
      </c>
      <c r="AR217" s="25">
        <v>257600</v>
      </c>
      <c r="AS217" s="25"/>
      <c r="AT217" s="20"/>
      <c r="AU217" s="20"/>
      <c r="AV217" s="21">
        <f t="shared" si="304"/>
        <v>357600</v>
      </c>
      <c r="AW217" s="4">
        <f t="shared" si="305"/>
        <v>0</v>
      </c>
      <c r="AX217" s="4">
        <f t="shared" si="306"/>
        <v>819000</v>
      </c>
      <c r="AY217" s="4">
        <f t="shared" si="307"/>
        <v>973100</v>
      </c>
      <c r="AZ217" s="4">
        <f t="shared" si="308"/>
        <v>673500</v>
      </c>
      <c r="BA217" s="94">
        <f t="shared" si="309"/>
        <v>861000</v>
      </c>
      <c r="BB217" s="94">
        <f t="shared" si="310"/>
        <v>1118500</v>
      </c>
      <c r="BC217" s="9">
        <f t="shared" si="311"/>
        <v>4445100</v>
      </c>
    </row>
    <row r="218" spans="1:55">
      <c r="A218" s="186"/>
      <c r="B218" s="8">
        <v>8</v>
      </c>
      <c r="C218" s="1" t="s">
        <v>375</v>
      </c>
      <c r="D218" s="4" t="s">
        <v>376</v>
      </c>
      <c r="E218" s="4" t="s">
        <v>23</v>
      </c>
      <c r="F218" s="4"/>
      <c r="G218" s="4">
        <v>155000</v>
      </c>
      <c r="H218" s="4">
        <f>96000+48000</f>
        <v>144000</v>
      </c>
      <c r="I218" s="4">
        <f>68000+58000</f>
        <v>126000</v>
      </c>
      <c r="J218" s="4"/>
      <c r="K218" s="4"/>
      <c r="L218" s="9">
        <f t="shared" si="298"/>
        <v>425000</v>
      </c>
      <c r="M218" s="4"/>
      <c r="N218" s="4"/>
      <c r="O218" s="4"/>
      <c r="P218" s="4"/>
      <c r="Q218" s="4"/>
      <c r="R218" s="4"/>
      <c r="S218" s="9">
        <f t="shared" si="299"/>
        <v>0</v>
      </c>
      <c r="T218" s="20"/>
      <c r="U218" s="20"/>
      <c r="V218" s="20"/>
      <c r="W218" s="20"/>
      <c r="X218" s="20"/>
      <c r="Y218" s="20"/>
      <c r="Z218" s="9">
        <f t="shared" si="300"/>
        <v>0</v>
      </c>
      <c r="AA218" s="20"/>
      <c r="AB218" s="20">
        <v>195000</v>
      </c>
      <c r="AC218" s="25">
        <v>267300</v>
      </c>
      <c r="AD218" s="24">
        <v>262000</v>
      </c>
      <c r="AE218" s="20"/>
      <c r="AF218" s="20"/>
      <c r="AG218" s="21">
        <f t="shared" si="301"/>
        <v>724300</v>
      </c>
      <c r="AH218" s="25">
        <v>910500</v>
      </c>
      <c r="AI218" s="20">
        <f>306500+310500+312000+312000+208000</f>
        <v>1449000</v>
      </c>
      <c r="AJ218" s="20">
        <f>1365500+308000+154000</f>
        <v>1827500</v>
      </c>
      <c r="AK218" s="21">
        <f t="shared" si="302"/>
        <v>4187000</v>
      </c>
      <c r="AL218" s="25"/>
      <c r="AM218" s="20"/>
      <c r="AN218" s="20"/>
      <c r="AO218" s="21">
        <f t="shared" si="303"/>
        <v>0</v>
      </c>
      <c r="AP218" s="25"/>
      <c r="AQ218" s="25">
        <v>100000</v>
      </c>
      <c r="AR218" s="25">
        <v>230000</v>
      </c>
      <c r="AS218" s="25">
        <v>145000</v>
      </c>
      <c r="AT218" s="20"/>
      <c r="AU218" s="20"/>
      <c r="AV218" s="21">
        <f t="shared" si="304"/>
        <v>475000</v>
      </c>
      <c r="AW218" s="4">
        <f t="shared" si="305"/>
        <v>0</v>
      </c>
      <c r="AX218" s="4">
        <f t="shared" si="306"/>
        <v>450000</v>
      </c>
      <c r="AY218" s="4">
        <f t="shared" si="307"/>
        <v>641300</v>
      </c>
      <c r="AZ218" s="4">
        <f t="shared" si="308"/>
        <v>1443500</v>
      </c>
      <c r="BA218" s="94">
        <f t="shared" si="309"/>
        <v>1449000</v>
      </c>
      <c r="BB218" s="94">
        <f t="shared" si="310"/>
        <v>1827500</v>
      </c>
      <c r="BC218" s="9">
        <f t="shared" si="311"/>
        <v>5811300</v>
      </c>
    </row>
    <row r="219" spans="1:55" ht="31.5">
      <c r="A219" s="186"/>
      <c r="B219" s="8">
        <v>9</v>
      </c>
      <c r="C219" s="1" t="s">
        <v>377</v>
      </c>
      <c r="D219" s="4" t="s">
        <v>378</v>
      </c>
      <c r="E219" s="4" t="s">
        <v>23</v>
      </c>
      <c r="F219" s="4"/>
      <c r="G219" s="4">
        <v>529000</v>
      </c>
      <c r="H219" s="4">
        <v>330000</v>
      </c>
      <c r="I219" s="4"/>
      <c r="J219" s="4"/>
      <c r="K219" s="4"/>
      <c r="L219" s="9">
        <f t="shared" si="298"/>
        <v>859000</v>
      </c>
      <c r="M219" s="4"/>
      <c r="N219" s="4"/>
      <c r="O219" s="4"/>
      <c r="P219" s="4"/>
      <c r="Q219" s="4"/>
      <c r="R219" s="4"/>
      <c r="S219" s="9">
        <f t="shared" si="299"/>
        <v>0</v>
      </c>
      <c r="T219" s="20"/>
      <c r="U219" s="20"/>
      <c r="V219" s="4">
        <v>290000</v>
      </c>
      <c r="W219" s="23"/>
      <c r="X219" s="23"/>
      <c r="Y219" s="23"/>
      <c r="Z219" s="9">
        <f t="shared" si="300"/>
        <v>290000</v>
      </c>
      <c r="AA219" s="20"/>
      <c r="AB219" s="25">
        <v>787400</v>
      </c>
      <c r="AC219" s="25">
        <v>518950</v>
      </c>
      <c r="AD219" s="25"/>
      <c r="AE219" s="20"/>
      <c r="AF219" s="20"/>
      <c r="AG219" s="21">
        <f t="shared" si="301"/>
        <v>1306350</v>
      </c>
      <c r="AH219" s="25">
        <v>0</v>
      </c>
      <c r="AI219" s="20">
        <f>525000+315000+315000+315000+210000</f>
        <v>1680000</v>
      </c>
      <c r="AJ219" s="20">
        <f>1445782+312000+156000</f>
        <v>1913782</v>
      </c>
      <c r="AK219" s="21">
        <f t="shared" si="302"/>
        <v>3593782</v>
      </c>
      <c r="AL219" s="25"/>
      <c r="AM219" s="20"/>
      <c r="AN219" s="20"/>
      <c r="AO219" s="21">
        <f t="shared" si="303"/>
        <v>0</v>
      </c>
      <c r="AP219" s="25"/>
      <c r="AQ219" s="25"/>
      <c r="AR219" s="25"/>
      <c r="AS219" s="25"/>
      <c r="AT219" s="20"/>
      <c r="AU219" s="20"/>
      <c r="AV219" s="21">
        <f t="shared" si="304"/>
        <v>0</v>
      </c>
      <c r="AW219" s="4">
        <f t="shared" si="305"/>
        <v>0</v>
      </c>
      <c r="AX219" s="4">
        <f t="shared" si="306"/>
        <v>1316400</v>
      </c>
      <c r="AY219" s="4">
        <f t="shared" si="307"/>
        <v>1138950</v>
      </c>
      <c r="AZ219" s="4">
        <f t="shared" si="308"/>
        <v>0</v>
      </c>
      <c r="BA219" s="94">
        <f t="shared" si="309"/>
        <v>1680000</v>
      </c>
      <c r="BB219" s="94">
        <f t="shared" si="310"/>
        <v>1913782</v>
      </c>
      <c r="BC219" s="9">
        <f t="shared" si="311"/>
        <v>6049132</v>
      </c>
    </row>
    <row r="220" spans="1:55">
      <c r="A220" s="186"/>
      <c r="B220" s="8">
        <v>10</v>
      </c>
      <c r="C220" s="40" t="s">
        <v>379</v>
      </c>
      <c r="D220" s="41" t="s">
        <v>380</v>
      </c>
      <c r="E220" s="4" t="s">
        <v>23</v>
      </c>
      <c r="F220" s="4"/>
      <c r="G220" s="4"/>
      <c r="H220" s="4"/>
      <c r="I220" s="4"/>
      <c r="J220" s="4"/>
      <c r="K220" s="4"/>
      <c r="L220" s="9">
        <f t="shared" si="298"/>
        <v>0</v>
      </c>
      <c r="M220" s="76">
        <v>290000</v>
      </c>
      <c r="N220" s="76">
        <f>1200000+70000</f>
        <v>1270000</v>
      </c>
      <c r="O220" s="76">
        <f>910000-60000</f>
        <v>850000</v>
      </c>
      <c r="P220" s="76">
        <v>835000</v>
      </c>
      <c r="Q220" s="4">
        <f>195000+130000+65000+195000+195000+130000</f>
        <v>910000</v>
      </c>
      <c r="R220" s="4">
        <f>1235000+520000</f>
        <v>1755000</v>
      </c>
      <c r="S220" s="9">
        <f t="shared" si="299"/>
        <v>5910000</v>
      </c>
      <c r="T220" s="20"/>
      <c r="U220" s="20"/>
      <c r="V220" s="20"/>
      <c r="W220" s="20"/>
      <c r="X220" s="20"/>
      <c r="Y220" s="20"/>
      <c r="Z220" s="9">
        <f t="shared" si="300"/>
        <v>0</v>
      </c>
      <c r="AA220" s="20"/>
      <c r="AB220" s="25"/>
      <c r="AC220" s="20"/>
      <c r="AD220" s="20"/>
      <c r="AE220" s="20"/>
      <c r="AF220" s="20"/>
      <c r="AG220" s="21">
        <f t="shared" si="301"/>
        <v>0</v>
      </c>
      <c r="AH220" s="25">
        <v>0</v>
      </c>
      <c r="AI220" s="20"/>
      <c r="AJ220" s="20"/>
      <c r="AK220" s="21">
        <f t="shared" si="302"/>
        <v>0</v>
      </c>
      <c r="AL220" s="25"/>
      <c r="AM220" s="20"/>
      <c r="AN220" s="20"/>
      <c r="AO220" s="21">
        <f t="shared" si="303"/>
        <v>0</v>
      </c>
      <c r="AP220" s="25"/>
      <c r="AQ220" s="25"/>
      <c r="AR220" s="25">
        <f>330000</f>
        <v>330000</v>
      </c>
      <c r="AS220" s="25"/>
      <c r="AT220" s="20"/>
      <c r="AU220" s="20"/>
      <c r="AV220" s="21">
        <f t="shared" si="304"/>
        <v>330000</v>
      </c>
      <c r="AW220" s="4">
        <f t="shared" si="305"/>
        <v>290000</v>
      </c>
      <c r="AX220" s="4">
        <f t="shared" si="306"/>
        <v>1270000</v>
      </c>
      <c r="AY220" s="4">
        <f t="shared" si="307"/>
        <v>1180000</v>
      </c>
      <c r="AZ220" s="4">
        <f t="shared" si="308"/>
        <v>835000</v>
      </c>
      <c r="BA220" s="94">
        <f t="shared" si="309"/>
        <v>910000</v>
      </c>
      <c r="BB220" s="94">
        <f t="shared" si="310"/>
        <v>1755000</v>
      </c>
      <c r="BC220" s="9">
        <f t="shared" si="311"/>
        <v>6240000</v>
      </c>
    </row>
    <row r="221" spans="1:55" ht="31.5">
      <c r="A221" s="186"/>
      <c r="B221" s="8">
        <v>11</v>
      </c>
      <c r="C221" s="1" t="s">
        <v>383</v>
      </c>
      <c r="D221" s="4" t="s">
        <v>380</v>
      </c>
      <c r="E221" s="4" t="s">
        <v>23</v>
      </c>
      <c r="F221" s="4">
        <v>155000</v>
      </c>
      <c r="G221" s="4">
        <v>498500</v>
      </c>
      <c r="H221" s="4">
        <f>60500+126500+137500+258500+88000</f>
        <v>671000</v>
      </c>
      <c r="I221" s="4">
        <v>491000</v>
      </c>
      <c r="J221" s="4">
        <f>374500+182000+178500+192500+129500</f>
        <v>1057000</v>
      </c>
      <c r="K221" s="4">
        <f>905200+188000+93000</f>
        <v>1186200</v>
      </c>
      <c r="L221" s="9">
        <f t="shared" si="298"/>
        <v>4058700</v>
      </c>
      <c r="M221" s="4"/>
      <c r="N221" s="4"/>
      <c r="O221" s="4"/>
      <c r="P221" s="4"/>
      <c r="Q221" s="4"/>
      <c r="R221" s="4"/>
      <c r="S221" s="9">
        <f t="shared" si="299"/>
        <v>0</v>
      </c>
      <c r="T221" s="20"/>
      <c r="U221" s="20"/>
      <c r="V221" s="20"/>
      <c r="W221" s="20"/>
      <c r="X221" s="20"/>
      <c r="Y221" s="20"/>
      <c r="Z221" s="9">
        <f t="shared" si="300"/>
        <v>0</v>
      </c>
      <c r="AA221" s="20"/>
      <c r="AB221" s="20"/>
      <c r="AC221" s="20"/>
      <c r="AD221" s="20"/>
      <c r="AE221" s="20"/>
      <c r="AF221" s="20"/>
      <c r="AG221" s="21">
        <f t="shared" si="301"/>
        <v>0</v>
      </c>
      <c r="AH221" s="25">
        <v>0</v>
      </c>
      <c r="AI221" s="20"/>
      <c r="AJ221" s="20"/>
      <c r="AK221" s="21">
        <f t="shared" si="302"/>
        <v>0</v>
      </c>
      <c r="AL221" s="25"/>
      <c r="AM221" s="20"/>
      <c r="AN221" s="20"/>
      <c r="AO221" s="21">
        <f t="shared" si="303"/>
        <v>0</v>
      </c>
      <c r="AP221" s="25"/>
      <c r="AQ221" s="25"/>
      <c r="AR221" s="25"/>
      <c r="AS221" s="25"/>
      <c r="AT221" s="20"/>
      <c r="AU221" s="20"/>
      <c r="AV221" s="21">
        <f t="shared" si="304"/>
        <v>0</v>
      </c>
      <c r="AW221" s="4">
        <f t="shared" si="305"/>
        <v>155000</v>
      </c>
      <c r="AX221" s="4">
        <f t="shared" si="306"/>
        <v>498500</v>
      </c>
      <c r="AY221" s="4">
        <f t="shared" si="307"/>
        <v>671000</v>
      </c>
      <c r="AZ221" s="4">
        <f t="shared" si="308"/>
        <v>491000</v>
      </c>
      <c r="BA221" s="94">
        <f t="shared" si="309"/>
        <v>1057000</v>
      </c>
      <c r="BB221" s="94">
        <f t="shared" si="310"/>
        <v>1186200</v>
      </c>
      <c r="BC221" s="9">
        <f t="shared" si="311"/>
        <v>4058700</v>
      </c>
    </row>
    <row r="222" spans="1:55" ht="18.75">
      <c r="A222" s="186"/>
      <c r="B222" s="8">
        <v>12</v>
      </c>
      <c r="C222" s="1" t="s">
        <v>384</v>
      </c>
      <c r="D222" s="91" t="s">
        <v>427</v>
      </c>
      <c r="E222" s="4" t="s">
        <v>23</v>
      </c>
      <c r="F222" s="4"/>
      <c r="G222" s="4"/>
      <c r="H222" s="4"/>
      <c r="I222" s="4"/>
      <c r="J222" s="4"/>
      <c r="K222" s="4"/>
      <c r="L222" s="9">
        <f t="shared" si="298"/>
        <v>0</v>
      </c>
      <c r="M222" s="4"/>
      <c r="N222" s="4"/>
      <c r="O222" s="4"/>
      <c r="P222" s="4"/>
      <c r="Q222" s="4"/>
      <c r="R222" s="4"/>
      <c r="S222" s="9">
        <f t="shared" si="299"/>
        <v>0</v>
      </c>
      <c r="T222" s="20"/>
      <c r="U222" s="20"/>
      <c r="V222" s="20"/>
      <c r="W222" s="20"/>
      <c r="X222" s="20"/>
      <c r="Y222" s="20"/>
      <c r="Z222" s="9">
        <f t="shared" si="300"/>
        <v>0</v>
      </c>
      <c r="AA222" s="20"/>
      <c r="AB222" s="20"/>
      <c r="AC222" s="20">
        <v>227000</v>
      </c>
      <c r="AD222" s="20">
        <v>344000</v>
      </c>
      <c r="AE222" s="20">
        <f>500500+112000</f>
        <v>612500</v>
      </c>
      <c r="AF222" s="20">
        <f>692500+138600+69300</f>
        <v>900400</v>
      </c>
      <c r="AG222" s="21">
        <f t="shared" si="301"/>
        <v>2083900</v>
      </c>
      <c r="AH222" s="25"/>
      <c r="AI222" s="20"/>
      <c r="AJ222" s="20"/>
      <c r="AK222" s="21">
        <f t="shared" si="302"/>
        <v>0</v>
      </c>
      <c r="AL222" s="25"/>
      <c r="AM222" s="20"/>
      <c r="AN222" s="20"/>
      <c r="AO222" s="21">
        <f t="shared" si="303"/>
        <v>0</v>
      </c>
      <c r="AP222" s="25"/>
      <c r="AQ222" s="25"/>
      <c r="AR222" s="25"/>
      <c r="AS222" s="25"/>
      <c r="AT222" s="20"/>
      <c r="AU222" s="20"/>
      <c r="AV222" s="21">
        <f t="shared" si="304"/>
        <v>0</v>
      </c>
      <c r="AW222" s="4">
        <f t="shared" si="305"/>
        <v>0</v>
      </c>
      <c r="AX222" s="4">
        <f t="shared" si="306"/>
        <v>0</v>
      </c>
      <c r="AY222" s="4">
        <f t="shared" si="307"/>
        <v>227000</v>
      </c>
      <c r="AZ222" s="4">
        <f t="shared" si="308"/>
        <v>344000</v>
      </c>
      <c r="BA222" s="94">
        <f t="shared" si="309"/>
        <v>612500</v>
      </c>
      <c r="BB222" s="94">
        <f t="shared" si="310"/>
        <v>900400</v>
      </c>
      <c r="BC222" s="9">
        <f t="shared" si="311"/>
        <v>2083900</v>
      </c>
    </row>
    <row r="223" spans="1:55">
      <c r="A223" s="187"/>
      <c r="B223" s="8">
        <v>13</v>
      </c>
      <c r="C223" s="1" t="s">
        <v>385</v>
      </c>
      <c r="D223" s="4" t="s">
        <v>386</v>
      </c>
      <c r="E223" s="4" t="s">
        <v>23</v>
      </c>
      <c r="F223" s="4"/>
      <c r="G223" s="4">
        <v>155000</v>
      </c>
      <c r="H223" s="4"/>
      <c r="I223" s="4"/>
      <c r="J223" s="4"/>
      <c r="K223" s="4"/>
      <c r="L223" s="9">
        <f t="shared" si="298"/>
        <v>155000</v>
      </c>
      <c r="M223" s="4"/>
      <c r="N223" s="4"/>
      <c r="O223" s="4"/>
      <c r="P223" s="4"/>
      <c r="Q223" s="4"/>
      <c r="R223" s="4"/>
      <c r="S223" s="9">
        <f t="shared" si="299"/>
        <v>0</v>
      </c>
      <c r="T223" s="20"/>
      <c r="U223" s="20"/>
      <c r="V223" s="20"/>
      <c r="W223" s="20"/>
      <c r="X223" s="20"/>
      <c r="Y223" s="20"/>
      <c r="Z223" s="9">
        <f t="shared" si="300"/>
        <v>0</v>
      </c>
      <c r="AA223" s="20"/>
      <c r="AB223" s="20"/>
      <c r="AC223" s="20"/>
      <c r="AD223" s="20"/>
      <c r="AE223" s="20"/>
      <c r="AF223" s="20"/>
      <c r="AG223" s="21">
        <f t="shared" si="301"/>
        <v>0</v>
      </c>
      <c r="AH223" s="25">
        <v>0</v>
      </c>
      <c r="AI223" s="20"/>
      <c r="AJ223" s="20"/>
      <c r="AK223" s="21">
        <f t="shared" si="302"/>
        <v>0</v>
      </c>
      <c r="AL223" s="25"/>
      <c r="AM223" s="20"/>
      <c r="AN223" s="20"/>
      <c r="AO223" s="21">
        <f t="shared" si="303"/>
        <v>0</v>
      </c>
      <c r="AP223" s="25"/>
      <c r="AQ223" s="25"/>
      <c r="AR223" s="25"/>
      <c r="AS223" s="25"/>
      <c r="AT223" s="20"/>
      <c r="AU223" s="20"/>
      <c r="AV223" s="21">
        <f t="shared" si="304"/>
        <v>0</v>
      </c>
      <c r="AW223" s="4">
        <f t="shared" si="305"/>
        <v>0</v>
      </c>
      <c r="AX223" s="4">
        <f t="shared" si="306"/>
        <v>155000</v>
      </c>
      <c r="AY223" s="4">
        <f t="shared" si="307"/>
        <v>0</v>
      </c>
      <c r="AZ223" s="4">
        <f t="shared" si="308"/>
        <v>0</v>
      </c>
      <c r="BA223" s="94">
        <f t="shared" si="309"/>
        <v>0</v>
      </c>
      <c r="BB223" s="94">
        <f t="shared" si="310"/>
        <v>0</v>
      </c>
      <c r="BC223" s="9">
        <f t="shared" si="311"/>
        <v>155000</v>
      </c>
    </row>
    <row r="224" spans="1:55" s="38" customFormat="1">
      <c r="A224" s="34"/>
      <c r="B224" s="34"/>
      <c r="C224" s="35" t="s">
        <v>387</v>
      </c>
      <c r="D224" s="37"/>
      <c r="E224" s="37"/>
      <c r="F224" s="37">
        <f>SUM(F211:F223)</f>
        <v>155000</v>
      </c>
      <c r="G224" s="37">
        <f t="shared" ref="G224:BB224" si="312">SUM(G211:G223)</f>
        <v>3068447</v>
      </c>
      <c r="H224" s="37">
        <f t="shared" si="312"/>
        <v>3114500</v>
      </c>
      <c r="I224" s="37">
        <f t="shared" si="312"/>
        <v>1622500</v>
      </c>
      <c r="J224" s="37">
        <f t="shared" si="312"/>
        <v>3446000</v>
      </c>
      <c r="K224" s="37">
        <f t="shared" si="312"/>
        <v>3461116</v>
      </c>
      <c r="L224" s="37">
        <f t="shared" si="312"/>
        <v>14867563</v>
      </c>
      <c r="M224" s="37">
        <f t="shared" si="312"/>
        <v>290000</v>
      </c>
      <c r="N224" s="37">
        <f t="shared" si="312"/>
        <v>1270000</v>
      </c>
      <c r="O224" s="37">
        <f t="shared" si="312"/>
        <v>850000</v>
      </c>
      <c r="P224" s="37">
        <f t="shared" si="312"/>
        <v>835000</v>
      </c>
      <c r="Q224" s="37">
        <f t="shared" si="312"/>
        <v>910000</v>
      </c>
      <c r="R224" s="37">
        <f t="shared" si="312"/>
        <v>1755000</v>
      </c>
      <c r="S224" s="37">
        <f t="shared" si="312"/>
        <v>5910000</v>
      </c>
      <c r="T224" s="37">
        <f t="shared" si="312"/>
        <v>0</v>
      </c>
      <c r="U224" s="37">
        <f t="shared" si="312"/>
        <v>0</v>
      </c>
      <c r="V224" s="37">
        <f t="shared" si="312"/>
        <v>290000</v>
      </c>
      <c r="W224" s="37">
        <f t="shared" si="312"/>
        <v>0</v>
      </c>
      <c r="X224" s="37">
        <f t="shared" si="312"/>
        <v>0</v>
      </c>
      <c r="Y224" s="37">
        <f t="shared" si="312"/>
        <v>0</v>
      </c>
      <c r="Z224" s="37">
        <f t="shared" si="312"/>
        <v>290000</v>
      </c>
      <c r="AA224" s="37">
        <f t="shared" si="312"/>
        <v>195000</v>
      </c>
      <c r="AB224" s="37">
        <f t="shared" si="312"/>
        <v>3131550</v>
      </c>
      <c r="AC224" s="37">
        <f t="shared" si="312"/>
        <v>3591300</v>
      </c>
      <c r="AD224" s="37">
        <f t="shared" si="312"/>
        <v>1146000</v>
      </c>
      <c r="AE224" s="37">
        <f t="shared" si="312"/>
        <v>1242500</v>
      </c>
      <c r="AF224" s="37">
        <f t="shared" si="312"/>
        <v>900400</v>
      </c>
      <c r="AG224" s="37">
        <f t="shared" si="312"/>
        <v>10206750</v>
      </c>
      <c r="AH224" s="37">
        <f t="shared" si="312"/>
        <v>2571500</v>
      </c>
      <c r="AI224" s="37">
        <f t="shared" si="312"/>
        <v>8873000</v>
      </c>
      <c r="AJ224" s="37">
        <f t="shared" si="312"/>
        <v>9137082</v>
      </c>
      <c r="AK224" s="37">
        <f t="shared" si="312"/>
        <v>20581582</v>
      </c>
      <c r="AL224" s="37">
        <f t="shared" si="312"/>
        <v>0</v>
      </c>
      <c r="AM224" s="37">
        <f t="shared" si="312"/>
        <v>0</v>
      </c>
      <c r="AN224" s="37">
        <f t="shared" si="312"/>
        <v>0</v>
      </c>
      <c r="AO224" s="37">
        <f t="shared" si="312"/>
        <v>0</v>
      </c>
      <c r="AP224" s="37">
        <f t="shared" si="312"/>
        <v>0</v>
      </c>
      <c r="AQ224" s="37">
        <f t="shared" si="312"/>
        <v>400000</v>
      </c>
      <c r="AR224" s="37">
        <f t="shared" si="312"/>
        <v>1687600</v>
      </c>
      <c r="AS224" s="37">
        <f t="shared" si="312"/>
        <v>270000</v>
      </c>
      <c r="AT224" s="37">
        <f t="shared" si="312"/>
        <v>0</v>
      </c>
      <c r="AU224" s="37">
        <f t="shared" si="312"/>
        <v>0</v>
      </c>
      <c r="AV224" s="37">
        <f t="shared" si="312"/>
        <v>2357600</v>
      </c>
      <c r="AW224" s="37">
        <f t="shared" si="312"/>
        <v>640000</v>
      </c>
      <c r="AX224" s="37">
        <f t="shared" si="312"/>
        <v>7869997</v>
      </c>
      <c r="AY224" s="37">
        <f t="shared" si="312"/>
        <v>9533400</v>
      </c>
      <c r="AZ224" s="37">
        <f t="shared" si="312"/>
        <v>6445000</v>
      </c>
      <c r="BA224" s="37">
        <f t="shared" si="312"/>
        <v>14471500</v>
      </c>
      <c r="BB224" s="37">
        <f t="shared" si="312"/>
        <v>15253598</v>
      </c>
      <c r="BC224" s="37">
        <f>SUM(BC211:BC223)</f>
        <v>54213495</v>
      </c>
    </row>
    <row r="225" spans="1:55" s="14" customFormat="1">
      <c r="A225" s="65"/>
      <c r="B225" s="86"/>
      <c r="C225" s="66"/>
      <c r="D225" s="67"/>
      <c r="E225" s="67"/>
      <c r="F225" s="67"/>
      <c r="G225" s="67"/>
      <c r="H225" s="68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95"/>
      <c r="BB225" s="95"/>
      <c r="BC225" s="69"/>
    </row>
    <row r="226" spans="1:55" s="142" customFormat="1">
      <c r="A226" s="139"/>
      <c r="B226" s="140"/>
      <c r="C226" s="141" t="s">
        <v>63</v>
      </c>
      <c r="D226" s="139"/>
      <c r="E226" s="139"/>
      <c r="F226" s="139">
        <f t="shared" ref="F226:AU226" si="313">F16+F21+F27+F30+F35+F45+F54+F63+F68+F70+F80+F82+F114+F119+F123+F125+F127+F144+F147+F149+F155+F164+F170+F208+F210+F224</f>
        <v>5115000</v>
      </c>
      <c r="G226" s="139">
        <f t="shared" si="313"/>
        <v>31213052</v>
      </c>
      <c r="H226" s="139">
        <f t="shared" si="313"/>
        <v>33449181</v>
      </c>
      <c r="I226" s="139">
        <f t="shared" si="313"/>
        <v>16926000</v>
      </c>
      <c r="J226" s="139">
        <f t="shared" si="313"/>
        <v>12376000</v>
      </c>
      <c r="K226" s="139">
        <f t="shared" si="313"/>
        <v>15406301</v>
      </c>
      <c r="L226" s="139">
        <f t="shared" si="313"/>
        <v>114485534</v>
      </c>
      <c r="M226" s="139">
        <f t="shared" si="313"/>
        <v>3480000</v>
      </c>
      <c r="N226" s="139">
        <f t="shared" si="313"/>
        <v>36620000</v>
      </c>
      <c r="O226" s="139">
        <f t="shared" si="313"/>
        <v>40371999</v>
      </c>
      <c r="P226" s="139">
        <f t="shared" si="313"/>
        <v>18123500</v>
      </c>
      <c r="Q226" s="139">
        <f t="shared" si="313"/>
        <v>13675000</v>
      </c>
      <c r="R226" s="139">
        <f t="shared" si="313"/>
        <v>31550000</v>
      </c>
      <c r="S226" s="139">
        <f t="shared" si="313"/>
        <v>143820499</v>
      </c>
      <c r="T226" s="139">
        <f t="shared" si="313"/>
        <v>4060000</v>
      </c>
      <c r="U226" s="139">
        <f t="shared" si="313"/>
        <v>24874479</v>
      </c>
      <c r="V226" s="139">
        <f t="shared" si="313"/>
        <v>30501935</v>
      </c>
      <c r="W226" s="139">
        <f t="shared" si="313"/>
        <v>11338000</v>
      </c>
      <c r="X226" s="139">
        <f t="shared" si="313"/>
        <v>7805000</v>
      </c>
      <c r="Y226" s="139">
        <f t="shared" si="313"/>
        <v>12869000</v>
      </c>
      <c r="Z226" s="139">
        <f t="shared" si="313"/>
        <v>91448414</v>
      </c>
      <c r="AA226" s="139">
        <f t="shared" si="313"/>
        <v>5265000</v>
      </c>
      <c r="AB226" s="139">
        <f t="shared" si="313"/>
        <v>62724231</v>
      </c>
      <c r="AC226" s="139">
        <f t="shared" si="313"/>
        <v>47459700</v>
      </c>
      <c r="AD226" s="139">
        <f t="shared" si="313"/>
        <v>28552500</v>
      </c>
      <c r="AE226" s="139">
        <f t="shared" si="313"/>
        <v>19982000</v>
      </c>
      <c r="AF226" s="139">
        <f t="shared" si="313"/>
        <v>26529856</v>
      </c>
      <c r="AG226" s="139">
        <f t="shared" si="313"/>
        <v>190513287</v>
      </c>
      <c r="AH226" s="139">
        <f t="shared" si="313"/>
        <v>29535500</v>
      </c>
      <c r="AI226" s="139">
        <f t="shared" si="313"/>
        <v>42111500</v>
      </c>
      <c r="AJ226" s="139">
        <f>AJ16+AJ21+AJ27+AJ30+AJ35+AJ45+AJ54+AJ63+AJ68+AJ70+AJ80+AJ82+AJ114+AJ119+AJ123+AJ125+AJ127+AJ144+AJ147+AJ149+AJ155+AJ164+AJ170+AJ208+AJ210+AJ224</f>
        <v>57648170</v>
      </c>
      <c r="AK226" s="139">
        <f t="shared" si="313"/>
        <v>129295170</v>
      </c>
      <c r="AL226" s="139">
        <f t="shared" si="313"/>
        <v>7090000</v>
      </c>
      <c r="AM226" s="139">
        <f t="shared" si="313"/>
        <v>13055000</v>
      </c>
      <c r="AN226" s="139">
        <f>AN16+AN21+AN27+AN30+AN35+AN45+AN54+AN63+AN68+AN70+AN80+AN82+AN114+AN119+AN123+AN125+AN127+AN144+AN147+AN149+AN155+AN164+AN170+AN208+AN210+AN224</f>
        <v>23552500</v>
      </c>
      <c r="AO226" s="139">
        <f t="shared" si="313"/>
        <v>43697500</v>
      </c>
      <c r="AP226" s="139">
        <f t="shared" si="313"/>
        <v>0</v>
      </c>
      <c r="AQ226" s="139">
        <f t="shared" si="313"/>
        <v>4682000</v>
      </c>
      <c r="AR226" s="139">
        <f t="shared" si="313"/>
        <v>11835750</v>
      </c>
      <c r="AS226" s="139">
        <f t="shared" si="313"/>
        <v>1463000</v>
      </c>
      <c r="AT226" s="139">
        <f t="shared" si="313"/>
        <v>0</v>
      </c>
      <c r="AU226" s="139">
        <f t="shared" si="313"/>
        <v>0</v>
      </c>
      <c r="AV226" s="139">
        <f>AV16+AV21+AV27+AV30+AV35+AV45+AV54+AV63+AV68+AV70+AV80+AV82+AV114+AV119+AV123+AV125+AV127+AV144+AV147+AV149+AV155+AV164+AV170+AV208+AV210+AV224</f>
        <v>17980750</v>
      </c>
      <c r="AW226" s="139">
        <f t="shared" ref="AW226:BC226" si="314">AW16+AW21+AW27+AW30+AW35+AW45+AW54+AW63+AW68+AW70+AW80+AW82+AW114+AW119+AW123+AW125+AW127+AW144+AW147+AW149+AW155+AW164+AW170+AW208+AW210+AW224</f>
        <v>17920000</v>
      </c>
      <c r="AX226" s="139">
        <f t="shared" si="314"/>
        <v>160113762</v>
      </c>
      <c r="AY226" s="139">
        <f t="shared" si="314"/>
        <v>163618565</v>
      </c>
      <c r="AZ226" s="139">
        <f t="shared" si="314"/>
        <v>113028500</v>
      </c>
      <c r="BA226" s="139">
        <f t="shared" si="314"/>
        <v>108404500</v>
      </c>
      <c r="BB226" s="139">
        <f t="shared" si="314"/>
        <v>167555827</v>
      </c>
      <c r="BC226" s="139">
        <f t="shared" si="314"/>
        <v>730641154</v>
      </c>
    </row>
    <row r="227" spans="1:55" s="136" customFormat="1">
      <c r="A227" s="137"/>
      <c r="B227" s="138"/>
      <c r="C227" s="135" t="s">
        <v>479</v>
      </c>
      <c r="D227" s="137"/>
      <c r="E227" s="137"/>
      <c r="F227" s="137">
        <v>0</v>
      </c>
      <c r="G227" s="137">
        <v>0</v>
      </c>
      <c r="H227" s="137">
        <v>0</v>
      </c>
      <c r="I227" s="137">
        <v>0</v>
      </c>
      <c r="J227" s="137">
        <v>0</v>
      </c>
      <c r="K227" s="137">
        <v>5475198</v>
      </c>
      <c r="L227" s="137">
        <f>SUM(F227:K227)</f>
        <v>5475198</v>
      </c>
      <c r="M227" s="137">
        <v>0</v>
      </c>
      <c r="N227" s="137">
        <v>0</v>
      </c>
      <c r="O227" s="137">
        <v>0</v>
      </c>
      <c r="P227" s="137">
        <v>0</v>
      </c>
      <c r="Q227" s="137">
        <v>0</v>
      </c>
      <c r="R227" s="137">
        <v>702778</v>
      </c>
      <c r="S227" s="137">
        <f>SUM(M227:R227)</f>
        <v>702778</v>
      </c>
      <c r="T227" s="137">
        <v>0</v>
      </c>
      <c r="U227" s="137">
        <v>0</v>
      </c>
      <c r="V227" s="137">
        <v>0</v>
      </c>
      <c r="W227" s="137">
        <v>0</v>
      </c>
      <c r="X227" s="137">
        <v>0</v>
      </c>
      <c r="Y227" s="137">
        <v>593847</v>
      </c>
      <c r="Z227" s="137">
        <f>SUM(T227:Y227)</f>
        <v>593847</v>
      </c>
      <c r="AA227" s="137">
        <v>0</v>
      </c>
      <c r="AB227" s="137">
        <v>0</v>
      </c>
      <c r="AC227" s="137">
        <v>0</v>
      </c>
      <c r="AD227" s="137">
        <v>0</v>
      </c>
      <c r="AE227" s="137">
        <v>0</v>
      </c>
      <c r="AF227" s="137">
        <v>8231288</v>
      </c>
      <c r="AG227" s="137">
        <f>SUM(AA227:AF227)</f>
        <v>8231288</v>
      </c>
      <c r="AH227" s="137">
        <v>0</v>
      </c>
      <c r="AI227" s="137">
        <v>0</v>
      </c>
      <c r="AJ227" s="137">
        <v>13759935</v>
      </c>
      <c r="AK227" s="137">
        <f>SUM(AH227:AJ227)</f>
        <v>13759935</v>
      </c>
      <c r="AL227" s="137">
        <v>0</v>
      </c>
      <c r="AM227" s="137">
        <v>0</v>
      </c>
      <c r="AN227" s="137">
        <v>671559</v>
      </c>
      <c r="AO227" s="137">
        <f>SUM(AL227:AN227)</f>
        <v>671559</v>
      </c>
      <c r="AP227" s="137">
        <v>0</v>
      </c>
      <c r="AQ227" s="137">
        <v>0</v>
      </c>
      <c r="AR227" s="137">
        <v>0</v>
      </c>
      <c r="AS227" s="137">
        <v>0</v>
      </c>
      <c r="AT227" s="137">
        <v>0</v>
      </c>
      <c r="AU227" s="137">
        <v>0</v>
      </c>
      <c r="AV227" s="137">
        <f>SUM(AP227:AU227)</f>
        <v>0</v>
      </c>
      <c r="AW227" s="137">
        <f>F227+M227+T227+AA227+AP227</f>
        <v>0</v>
      </c>
      <c r="AX227" s="137">
        <f>G227+N227+U227+AB227+AQ227</f>
        <v>0</v>
      </c>
      <c r="AY227" s="137">
        <f>H227+O227+V227+AC227+AR227</f>
        <v>0</v>
      </c>
      <c r="AZ227" s="137">
        <f>I227+P227+W227+AD227+AH227+AL227+AS227</f>
        <v>0</v>
      </c>
      <c r="BA227" s="137">
        <f>J227+Q227+X227+AE227+AI227+AM227+AT227</f>
        <v>0</v>
      </c>
      <c r="BB227" s="137">
        <f>K227+R227+Y227+AF227+AJ227+AN227+AU227</f>
        <v>29434605</v>
      </c>
      <c r="BC227" s="137">
        <f>SUM(AW227:BB227)</f>
        <v>29434605</v>
      </c>
    </row>
    <row r="228" spans="1:55" s="16" customFormat="1">
      <c r="A228" s="132"/>
      <c r="B228" s="133"/>
      <c r="C228" s="134"/>
      <c r="D228" s="132"/>
      <c r="E228" s="132"/>
      <c r="F228" s="132">
        <f t="shared" ref="F228:J228" si="315">F226+F227</f>
        <v>5115000</v>
      </c>
      <c r="G228" s="132">
        <f t="shared" si="315"/>
        <v>31213052</v>
      </c>
      <c r="H228" s="132">
        <f t="shared" si="315"/>
        <v>33449181</v>
      </c>
      <c r="I228" s="132">
        <f t="shared" si="315"/>
        <v>16926000</v>
      </c>
      <c r="J228" s="132">
        <f t="shared" si="315"/>
        <v>12376000</v>
      </c>
      <c r="K228" s="132">
        <f>K226+K227</f>
        <v>20881499</v>
      </c>
      <c r="L228" s="132">
        <f>L226+L227</f>
        <v>119960732</v>
      </c>
      <c r="M228" s="132">
        <f t="shared" ref="M228:S228" si="316">M226+M227</f>
        <v>3480000</v>
      </c>
      <c r="N228" s="132">
        <f t="shared" si="316"/>
        <v>36620000</v>
      </c>
      <c r="O228" s="132">
        <f t="shared" si="316"/>
        <v>40371999</v>
      </c>
      <c r="P228" s="132">
        <f t="shared" si="316"/>
        <v>18123500</v>
      </c>
      <c r="Q228" s="132">
        <f t="shared" si="316"/>
        <v>13675000</v>
      </c>
      <c r="R228" s="132">
        <f t="shared" si="316"/>
        <v>32252778</v>
      </c>
      <c r="S228" s="132">
        <f t="shared" si="316"/>
        <v>144523277</v>
      </c>
      <c r="T228" s="132">
        <f t="shared" ref="T228" si="317">T226+T227</f>
        <v>4060000</v>
      </c>
      <c r="U228" s="132">
        <f t="shared" ref="U228" si="318">U226+U227</f>
        <v>24874479</v>
      </c>
      <c r="V228" s="132">
        <f t="shared" ref="V228" si="319">V226+V227</f>
        <v>30501935</v>
      </c>
      <c r="W228" s="132">
        <f t="shared" ref="W228" si="320">W226+W227</f>
        <v>11338000</v>
      </c>
      <c r="X228" s="132">
        <f t="shared" ref="X228" si="321">X226+X227</f>
        <v>7805000</v>
      </c>
      <c r="Y228" s="132">
        <f t="shared" ref="Y228" si="322">Y226+Y227</f>
        <v>13462847</v>
      </c>
      <c r="Z228" s="132">
        <f t="shared" ref="Z228" si="323">Z226+Z227</f>
        <v>92042261</v>
      </c>
      <c r="AA228" s="132">
        <f t="shared" ref="AA228" si="324">AA226+AA227</f>
        <v>5265000</v>
      </c>
      <c r="AB228" s="132">
        <f t="shared" ref="AB228" si="325">AB226+AB227</f>
        <v>62724231</v>
      </c>
      <c r="AC228" s="132">
        <f t="shared" ref="AC228" si="326">AC226+AC227</f>
        <v>47459700</v>
      </c>
      <c r="AD228" s="132">
        <f t="shared" ref="AD228" si="327">AD226+AD227</f>
        <v>28552500</v>
      </c>
      <c r="AE228" s="132">
        <f t="shared" ref="AE228" si="328">AE226+AE227</f>
        <v>19982000</v>
      </c>
      <c r="AF228" s="132">
        <f t="shared" ref="AF228" si="329">AF226+AF227</f>
        <v>34761144</v>
      </c>
      <c r="AG228" s="132">
        <f t="shared" ref="AG228" si="330">AG226+AG227</f>
        <v>198744575</v>
      </c>
      <c r="AH228" s="132">
        <f t="shared" ref="AH228" si="331">AH226+AH227</f>
        <v>29535500</v>
      </c>
      <c r="AI228" s="132">
        <f t="shared" ref="AI228" si="332">AI226+AI227</f>
        <v>42111500</v>
      </c>
      <c r="AJ228" s="132">
        <f t="shared" ref="AJ228" si="333">AJ226+AJ227</f>
        <v>71408105</v>
      </c>
      <c r="AK228" s="132">
        <f>AK226+AK227</f>
        <v>143055105</v>
      </c>
      <c r="AL228" s="132">
        <f t="shared" ref="AL228" si="334">AL226+AL227</f>
        <v>7090000</v>
      </c>
      <c r="AM228" s="132">
        <f t="shared" ref="AM228" si="335">AM226+AM227</f>
        <v>13055000</v>
      </c>
      <c r="AN228" s="132">
        <f t="shared" ref="AN228" si="336">AN226+AN227</f>
        <v>24224059</v>
      </c>
      <c r="AO228" s="132">
        <f t="shared" ref="AO228" si="337">AO226+AO227</f>
        <v>44369059</v>
      </c>
      <c r="AP228" s="132">
        <f t="shared" ref="AP228" si="338">AP226+AP227</f>
        <v>0</v>
      </c>
      <c r="AQ228" s="132">
        <f t="shared" ref="AQ228" si="339">AQ226+AQ227</f>
        <v>4682000</v>
      </c>
      <c r="AR228" s="132">
        <f t="shared" ref="AR228" si="340">AR226+AR227</f>
        <v>11835750</v>
      </c>
      <c r="AS228" s="132">
        <f t="shared" ref="AS228" si="341">AS226+AS227</f>
        <v>1463000</v>
      </c>
      <c r="AT228" s="132">
        <f t="shared" ref="AT228" si="342">AT226+AT227</f>
        <v>0</v>
      </c>
      <c r="AU228" s="132">
        <f t="shared" ref="AU228" si="343">AU226+AU227</f>
        <v>0</v>
      </c>
      <c r="AV228" s="132">
        <f t="shared" ref="AV228" si="344">AV226+AV227</f>
        <v>17980750</v>
      </c>
      <c r="AW228" s="132">
        <f t="shared" ref="AW228" si="345">AW226+AW227</f>
        <v>17920000</v>
      </c>
      <c r="AX228" s="132">
        <f t="shared" ref="AX228" si="346">AX226+AX227</f>
        <v>160113762</v>
      </c>
      <c r="AY228" s="132">
        <f t="shared" ref="AY228" si="347">AY226+AY227</f>
        <v>163618565</v>
      </c>
      <c r="AZ228" s="132">
        <f t="shared" ref="AZ228" si="348">AZ226+AZ227</f>
        <v>113028500</v>
      </c>
      <c r="BA228" s="132">
        <f t="shared" ref="BA228" si="349">BA226+BA227</f>
        <v>108404500</v>
      </c>
      <c r="BB228" s="132">
        <f t="shared" ref="BB228" si="350">BB226+BB227</f>
        <v>196990432</v>
      </c>
      <c r="BC228" s="132">
        <f>BC226+BC227</f>
        <v>760075759</v>
      </c>
    </row>
    <row r="229" spans="1:55">
      <c r="D229" s="205" t="s">
        <v>392</v>
      </c>
      <c r="E229" s="205"/>
      <c r="F229" s="3">
        <v>5115000</v>
      </c>
      <c r="G229" s="3">
        <v>31213052</v>
      </c>
      <c r="H229" s="31">
        <v>33449181</v>
      </c>
      <c r="I229" s="3">
        <v>16926000</v>
      </c>
      <c r="J229" s="3">
        <v>12376000</v>
      </c>
      <c r="K229" s="3">
        <v>20881499</v>
      </c>
      <c r="L229" s="3"/>
      <c r="M229" s="3">
        <v>3480000</v>
      </c>
      <c r="N229" s="3">
        <v>36620000</v>
      </c>
      <c r="O229" s="3">
        <v>40371999</v>
      </c>
      <c r="P229" s="3">
        <v>18123500</v>
      </c>
      <c r="Q229" s="3">
        <v>13675000</v>
      </c>
      <c r="R229" s="3">
        <v>32252778</v>
      </c>
      <c r="T229" s="3">
        <v>4060000</v>
      </c>
      <c r="U229" s="3">
        <v>24874479</v>
      </c>
      <c r="V229" s="3">
        <v>30501935</v>
      </c>
      <c r="W229" s="3">
        <v>11338000</v>
      </c>
      <c r="X229" s="3">
        <v>7805000</v>
      </c>
      <c r="Y229" s="3">
        <v>13462847</v>
      </c>
      <c r="AA229" s="3">
        <v>5265000</v>
      </c>
      <c r="AB229" s="3">
        <v>62724231</v>
      </c>
      <c r="AC229" s="3">
        <v>47459700</v>
      </c>
      <c r="AD229" s="3">
        <v>28552500</v>
      </c>
      <c r="AE229" s="3">
        <v>19982000</v>
      </c>
      <c r="AF229" s="3">
        <v>34761144</v>
      </c>
      <c r="AG229" s="3"/>
      <c r="AH229" s="3">
        <v>29535500</v>
      </c>
      <c r="AI229" s="3">
        <v>42111500</v>
      </c>
      <c r="AJ229" s="3">
        <v>71408105</v>
      </c>
      <c r="AK229" s="3"/>
      <c r="AL229" s="3">
        <v>7090000</v>
      </c>
      <c r="AM229" s="3">
        <v>13055000</v>
      </c>
      <c r="AN229" s="3">
        <v>24224059</v>
      </c>
      <c r="AP229" s="3">
        <v>0</v>
      </c>
      <c r="AQ229" s="3">
        <v>4682000</v>
      </c>
      <c r="AR229" s="3">
        <v>11835750</v>
      </c>
      <c r="AS229" s="3">
        <v>1463000</v>
      </c>
      <c r="AT229" s="14">
        <v>0</v>
      </c>
      <c r="AU229" s="14">
        <v>0</v>
      </c>
    </row>
    <row r="230" spans="1:55" ht="31.5">
      <c r="E230" s="74" t="s">
        <v>393</v>
      </c>
      <c r="F230" s="3">
        <f t="shared" ref="F230" si="351">F228-F229</f>
        <v>0</v>
      </c>
      <c r="G230" s="3">
        <f t="shared" ref="G230" si="352">G228-G229</f>
        <v>0</v>
      </c>
      <c r="H230" s="3">
        <f t="shared" ref="H230" si="353">H228-H229</f>
        <v>0</v>
      </c>
      <c r="I230" s="3">
        <f t="shared" ref="I230" si="354">I228-I229</f>
        <v>0</v>
      </c>
      <c r="J230" s="3">
        <f t="shared" ref="J230" si="355">J228-J229</f>
        <v>0</v>
      </c>
      <c r="K230" s="3">
        <f t="shared" ref="K230" si="356">K228-K229</f>
        <v>0</v>
      </c>
      <c r="L230" s="3"/>
      <c r="M230" s="3">
        <f t="shared" ref="M230" si="357">M228-M229</f>
        <v>0</v>
      </c>
      <c r="N230" s="3">
        <f t="shared" ref="N230" si="358">N228-N229</f>
        <v>0</v>
      </c>
      <c r="O230" s="3">
        <f t="shared" ref="O230" si="359">O228-O229</f>
        <v>0</v>
      </c>
      <c r="P230" s="3">
        <f t="shared" ref="P230" si="360">P228-P229</f>
        <v>0</v>
      </c>
      <c r="Q230" s="3">
        <f t="shared" ref="Q230" si="361">Q228-Q229</f>
        <v>0</v>
      </c>
      <c r="R230" s="3">
        <f t="shared" ref="R230" si="362">R228-R229</f>
        <v>0</v>
      </c>
      <c r="S230" s="3"/>
      <c r="T230" s="3">
        <f t="shared" ref="T230" si="363">T228-T229</f>
        <v>0</v>
      </c>
      <c r="U230" s="3">
        <f t="shared" ref="U230" si="364">U228-U229</f>
        <v>0</v>
      </c>
      <c r="V230" s="3">
        <f t="shared" ref="V230" si="365">V228-V229</f>
        <v>0</v>
      </c>
      <c r="W230" s="3">
        <f t="shared" ref="W230" si="366">W228-W229</f>
        <v>0</v>
      </c>
      <c r="X230" s="3">
        <f t="shared" ref="X230" si="367">X228-X229</f>
        <v>0</v>
      </c>
      <c r="Y230" s="3">
        <f t="shared" ref="Y230" si="368">Y228-Y229</f>
        <v>0</v>
      </c>
      <c r="Z230" s="3"/>
      <c r="AA230" s="3">
        <f t="shared" ref="AA230" si="369">AA228-AA229</f>
        <v>0</v>
      </c>
      <c r="AB230" s="3">
        <f t="shared" ref="AB230" si="370">AB228-AB229</f>
        <v>0</v>
      </c>
      <c r="AC230" s="3">
        <f t="shared" ref="AC230" si="371">AC228-AC229</f>
        <v>0</v>
      </c>
      <c r="AD230" s="3">
        <f t="shared" ref="AD230" si="372">AD228-AD229</f>
        <v>0</v>
      </c>
      <c r="AE230" s="3">
        <f t="shared" ref="AE230" si="373">AE228-AE229</f>
        <v>0</v>
      </c>
      <c r="AF230" s="3">
        <f t="shared" ref="AF230" si="374">AF228-AF229</f>
        <v>0</v>
      </c>
      <c r="AG230" s="3"/>
      <c r="AH230" s="3">
        <f t="shared" ref="AH230" si="375">AH228-AH229</f>
        <v>0</v>
      </c>
      <c r="AI230" s="3">
        <f t="shared" ref="AI230" si="376">AI228-AI229</f>
        <v>0</v>
      </c>
      <c r="AJ230" s="3">
        <f t="shared" ref="AJ230" si="377">AJ228-AJ229</f>
        <v>0</v>
      </c>
      <c r="AK230" s="3"/>
      <c r="AL230" s="3">
        <f t="shared" ref="AL230" si="378">AL228-AL229</f>
        <v>0</v>
      </c>
      <c r="AM230" s="3">
        <f t="shared" ref="AM230" si="379">AM228-AM229</f>
        <v>0</v>
      </c>
      <c r="AN230" s="3">
        <f t="shared" ref="AN230" si="380">AN228-AN229</f>
        <v>0</v>
      </c>
      <c r="AO230" s="3"/>
      <c r="AP230" s="3">
        <f t="shared" ref="AP230" si="381">AP228-AP229</f>
        <v>0</v>
      </c>
      <c r="AQ230" s="3">
        <f t="shared" ref="AQ230" si="382">AQ228-AQ229</f>
        <v>0</v>
      </c>
      <c r="AR230" s="3">
        <f t="shared" ref="AR230" si="383">AR228-AR229</f>
        <v>0</v>
      </c>
      <c r="AS230" s="3">
        <f t="shared" ref="AS230" si="384">AS228-AS229</f>
        <v>0</v>
      </c>
      <c r="AT230" s="3">
        <f t="shared" ref="AT230" si="385">AT228-AT229</f>
        <v>0</v>
      </c>
      <c r="AU230" s="3">
        <f t="shared" ref="AU230" si="386">AU228-AU229</f>
        <v>0</v>
      </c>
      <c r="AV230" s="3"/>
      <c r="AZ230" s="78"/>
      <c r="BA230" s="97"/>
      <c r="BB230" s="97"/>
      <c r="BC230" s="78"/>
    </row>
    <row r="231" spans="1:55" ht="31.5">
      <c r="A231" s="3"/>
      <c r="B231" s="3"/>
      <c r="C231" s="182" t="s">
        <v>436</v>
      </c>
      <c r="D231" s="182"/>
      <c r="E231" s="88" t="s">
        <v>461</v>
      </c>
      <c r="F231" s="88"/>
      <c r="H231" s="3"/>
      <c r="J231" s="88"/>
      <c r="K231" s="88" t="s">
        <v>461</v>
      </c>
      <c r="L231" s="3"/>
      <c r="Q231" s="88"/>
      <c r="R231" s="88" t="s">
        <v>461</v>
      </c>
      <c r="S231" s="3"/>
      <c r="X231" s="88"/>
      <c r="Y231" s="88" t="s">
        <v>461</v>
      </c>
      <c r="Z231" s="3"/>
      <c r="AE231" s="88"/>
      <c r="AF231" s="88" t="s">
        <v>461</v>
      </c>
      <c r="AG231" s="3"/>
      <c r="AI231" s="88"/>
      <c r="AJ231" s="88" t="s">
        <v>461</v>
      </c>
      <c r="AK231" s="88"/>
      <c r="AM231" s="88"/>
      <c r="AN231" s="88" t="s">
        <v>461</v>
      </c>
      <c r="AO231" s="78"/>
      <c r="AT231" s="88"/>
      <c r="AU231" s="88" t="s">
        <v>461</v>
      </c>
      <c r="AV231" s="3"/>
      <c r="BA231" s="88"/>
      <c r="BB231" s="88" t="s">
        <v>461</v>
      </c>
      <c r="BC231" s="88" t="s">
        <v>461</v>
      </c>
    </row>
    <row r="232" spans="1:55" ht="283.5">
      <c r="A232" s="3"/>
      <c r="B232" s="3"/>
      <c r="C232" s="71" t="s">
        <v>390</v>
      </c>
      <c r="G232" s="80" t="s">
        <v>480</v>
      </c>
      <c r="H232" s="79" t="s">
        <v>398</v>
      </c>
      <c r="J232" s="103"/>
      <c r="K232" s="120" t="s">
        <v>462</v>
      </c>
      <c r="O232" s="81" t="s">
        <v>437</v>
      </c>
      <c r="Q232" s="79" t="s">
        <v>435</v>
      </c>
      <c r="R232" s="120" t="s">
        <v>466</v>
      </c>
      <c r="S232" s="75"/>
      <c r="T232" s="75"/>
      <c r="U232" s="75"/>
      <c r="V232" s="79" t="s">
        <v>398</v>
      </c>
      <c r="X232" s="75"/>
      <c r="Y232" s="120" t="s">
        <v>467</v>
      </c>
      <c r="Z232" s="75"/>
      <c r="AB232" s="81" t="s">
        <v>397</v>
      </c>
      <c r="AF232" s="120" t="s">
        <v>463</v>
      </c>
      <c r="AJ232" s="120" t="s">
        <v>464</v>
      </c>
      <c r="AN232" s="120" t="s">
        <v>468</v>
      </c>
      <c r="AQ232" s="193"/>
      <c r="AR232" s="193"/>
      <c r="BC232" s="3"/>
    </row>
    <row r="233" spans="1:55">
      <c r="A233" s="3"/>
      <c r="B233" s="3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BC233" s="3"/>
    </row>
    <row r="235" spans="1:55">
      <c r="A235" s="3"/>
      <c r="B235" s="3"/>
      <c r="I235" s="14"/>
      <c r="BC235" s="3"/>
    </row>
  </sheetData>
  <mergeCells count="40">
    <mergeCell ref="AW2:BC2"/>
    <mergeCell ref="A3:A4"/>
    <mergeCell ref="B3:B4"/>
    <mergeCell ref="C3:C4"/>
    <mergeCell ref="D3:D4"/>
    <mergeCell ref="E3:E4"/>
    <mergeCell ref="F3:L3"/>
    <mergeCell ref="AW3:BC3"/>
    <mergeCell ref="AP3:AV3"/>
    <mergeCell ref="A36:A44"/>
    <mergeCell ref="A46:A53"/>
    <mergeCell ref="A55:A62"/>
    <mergeCell ref="A1:AS1"/>
    <mergeCell ref="A2:E2"/>
    <mergeCell ref="F2:AV2"/>
    <mergeCell ref="M3:S3"/>
    <mergeCell ref="T3:Z3"/>
    <mergeCell ref="AA3:AG3"/>
    <mergeCell ref="AH3:AK3"/>
    <mergeCell ref="A5:A15"/>
    <mergeCell ref="A17:A20"/>
    <mergeCell ref="A22:A26"/>
    <mergeCell ref="A28:A29"/>
    <mergeCell ref="AL3:AO3"/>
    <mergeCell ref="A31:A34"/>
    <mergeCell ref="A64:A67"/>
    <mergeCell ref="A71:A79"/>
    <mergeCell ref="AQ232:AR232"/>
    <mergeCell ref="A115:A118"/>
    <mergeCell ref="A120:A122"/>
    <mergeCell ref="A128:A143"/>
    <mergeCell ref="A145:A146"/>
    <mergeCell ref="A150:A154"/>
    <mergeCell ref="A156:A163"/>
    <mergeCell ref="A165:A169"/>
    <mergeCell ref="A171:A207"/>
    <mergeCell ref="A211:A223"/>
    <mergeCell ref="D229:E229"/>
    <mergeCell ref="C231:D231"/>
    <mergeCell ref="A83:A113"/>
  </mergeCells>
  <conditionalFormatting sqref="C30">
    <cfRule type="duplicateValues" dxfId="70" priority="10"/>
  </conditionalFormatting>
  <conditionalFormatting sqref="C81">
    <cfRule type="duplicateValues" dxfId="69" priority="9"/>
  </conditionalFormatting>
  <conditionalFormatting sqref="C232:E1048576 D226:E230 C198:C205 C130:C131 C5:C12 C82:C83 C174:C196 C143:C154 C156:C158 C43:C80 C160:C172 C31:C39 C133:C137 C207:C230 D3:E4 C3 C14:C28 C86:C121 C123:C128">
    <cfRule type="duplicateValues" dxfId="68" priority="8"/>
  </conditionalFormatting>
  <conditionalFormatting sqref="C232:E1048576 C226:E230">
    <cfRule type="duplicateValues" dxfId="67" priority="7"/>
  </conditionalFormatting>
  <conditionalFormatting sqref="A3:B3">
    <cfRule type="duplicateValues" dxfId="66" priority="6"/>
  </conditionalFormatting>
  <conditionalFormatting sqref="C30">
    <cfRule type="duplicateValues" dxfId="65" priority="5"/>
  </conditionalFormatting>
  <conditionalFormatting sqref="C81">
    <cfRule type="duplicateValues" dxfId="64" priority="4"/>
  </conditionalFormatting>
  <conditionalFormatting sqref="D226:E230">
    <cfRule type="duplicateValues" dxfId="63" priority="3"/>
  </conditionalFormatting>
  <conditionalFormatting sqref="C226:E230">
    <cfRule type="duplicateValues" dxfId="62" priority="2"/>
  </conditionalFormatting>
  <conditionalFormatting sqref="A3:B3">
    <cfRule type="duplicateValues" dxfId="6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237"/>
  <sheetViews>
    <sheetView workbookViewId="0">
      <pane xSplit="5" ySplit="4" topLeftCell="X126" activePane="bottomRight" state="frozen"/>
      <selection activeCell="C1" sqref="C1"/>
      <selection pane="topRight" activeCell="F1" sqref="F1"/>
      <selection pane="bottomLeft" activeCell="C5" sqref="C5"/>
      <selection pane="bottomRight" activeCell="AA141" sqref="AA141"/>
    </sheetView>
  </sheetViews>
  <sheetFormatPr defaultRowHeight="15.75"/>
  <cols>
    <col min="1" max="1" width="21.140625" style="74" customWidth="1"/>
    <col min="2" max="2" width="7.28515625" style="74" customWidth="1"/>
    <col min="3" max="3" width="42.28515625" style="17" customWidth="1"/>
    <col min="4" max="4" width="16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2" width="14.7109375" style="14" customWidth="1"/>
    <col min="13" max="13" width="15.140625" style="14" customWidth="1"/>
    <col min="14" max="16" width="13.140625" style="3" customWidth="1"/>
    <col min="17" max="17" width="15" style="3" customWidth="1"/>
    <col min="18" max="20" width="16.28515625" style="14" customWidth="1"/>
    <col min="21" max="21" width="13.42578125" style="14" customWidth="1"/>
    <col min="22" max="22" width="13" style="3" customWidth="1"/>
    <col min="23" max="24" width="10.7109375" style="3" customWidth="1"/>
    <col min="25" max="25" width="14.5703125" style="3" customWidth="1"/>
    <col min="26" max="28" width="15.7109375" style="14" customWidth="1"/>
    <col min="29" max="29" width="13.5703125" style="14" customWidth="1"/>
    <col min="30" max="30" width="10.7109375" style="3" customWidth="1"/>
    <col min="31" max="31" width="11" style="3" customWidth="1"/>
    <col min="32" max="32" width="10.7109375" style="3" customWidth="1"/>
    <col min="33" max="33" width="15.140625" style="3" customWidth="1"/>
    <col min="34" max="34" width="10.140625" style="14" customWidth="1"/>
    <col min="35" max="36" width="11.140625" style="14" customWidth="1"/>
    <col min="37" max="37" width="11.28515625" style="14" customWidth="1"/>
    <col min="38" max="38" width="16.28515625" style="3" customWidth="1"/>
    <col min="39" max="39" width="15.140625" style="14" customWidth="1"/>
    <col min="40" max="41" width="14.85546875" style="14" customWidth="1"/>
    <col min="42" max="42" width="15.85546875" style="14" customWidth="1"/>
    <col min="43" max="43" width="13.140625" style="3" customWidth="1"/>
    <col min="44" max="47" width="15" style="14" customWidth="1"/>
    <col min="48" max="50" width="10.7109375" style="3" customWidth="1"/>
    <col min="51" max="51" width="12.7109375" style="3" customWidth="1"/>
    <col min="52" max="54" width="15" style="14" customWidth="1"/>
    <col min="55" max="55" width="12.5703125" style="14" customWidth="1"/>
    <col min="56" max="56" width="10.7109375" style="3" customWidth="1"/>
    <col min="57" max="58" width="14.140625" style="3" customWidth="1"/>
    <col min="59" max="59" width="15.85546875" style="3" customWidth="1"/>
    <col min="60" max="62" width="15.85546875" style="96" customWidth="1"/>
    <col min="63" max="63" width="15" style="14" customWidth="1"/>
    <col min="64" max="65" width="9.140625" style="3" customWidth="1"/>
    <col min="66" max="16384" width="9.140625" style="3"/>
  </cols>
  <sheetData>
    <row r="1" spans="1:63" s="6" customFormat="1" ht="23.25">
      <c r="A1" s="181" t="s">
        <v>497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</row>
    <row r="2" spans="1:63" s="6" customFormat="1" ht="23.25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200"/>
      <c r="BD2" s="201" t="s">
        <v>65</v>
      </c>
      <c r="BE2" s="194"/>
      <c r="BF2" s="194"/>
      <c r="BG2" s="194"/>
      <c r="BH2" s="194"/>
      <c r="BI2" s="194"/>
      <c r="BJ2" s="194"/>
      <c r="BK2" s="200"/>
    </row>
    <row r="3" spans="1:63" s="7" customFormat="1" ht="18.75">
      <c r="A3" s="185" t="s">
        <v>53</v>
      </c>
      <c r="B3" s="185" t="s">
        <v>47</v>
      </c>
      <c r="C3" s="185" t="s">
        <v>13</v>
      </c>
      <c r="D3" s="185" t="s">
        <v>46</v>
      </c>
      <c r="E3" s="185" t="s">
        <v>16</v>
      </c>
      <c r="F3" s="195" t="s">
        <v>388</v>
      </c>
      <c r="G3" s="198"/>
      <c r="H3" s="198"/>
      <c r="I3" s="198"/>
      <c r="J3" s="198"/>
      <c r="K3" s="198"/>
      <c r="L3" s="198"/>
      <c r="M3" s="199"/>
      <c r="N3" s="195" t="s">
        <v>54</v>
      </c>
      <c r="O3" s="198"/>
      <c r="P3" s="198"/>
      <c r="Q3" s="198"/>
      <c r="R3" s="198"/>
      <c r="S3" s="198"/>
      <c r="T3" s="198"/>
      <c r="U3" s="199"/>
      <c r="V3" s="195" t="s">
        <v>55</v>
      </c>
      <c r="W3" s="198"/>
      <c r="X3" s="198"/>
      <c r="Y3" s="198"/>
      <c r="Z3" s="198"/>
      <c r="AA3" s="198"/>
      <c r="AB3" s="198"/>
      <c r="AC3" s="199"/>
      <c r="AD3" s="195" t="s">
        <v>56</v>
      </c>
      <c r="AE3" s="198"/>
      <c r="AF3" s="198"/>
      <c r="AG3" s="198"/>
      <c r="AH3" s="198"/>
      <c r="AI3" s="198"/>
      <c r="AJ3" s="198"/>
      <c r="AK3" s="199"/>
      <c r="AL3" s="195" t="s">
        <v>429</v>
      </c>
      <c r="AM3" s="198"/>
      <c r="AN3" s="198"/>
      <c r="AO3" s="198"/>
      <c r="AP3" s="199"/>
      <c r="AQ3" s="195" t="s">
        <v>391</v>
      </c>
      <c r="AR3" s="198"/>
      <c r="AS3" s="198"/>
      <c r="AT3" s="198"/>
      <c r="AU3" s="199"/>
      <c r="AV3" s="195" t="s">
        <v>389</v>
      </c>
      <c r="AW3" s="198"/>
      <c r="AX3" s="198"/>
      <c r="AY3" s="198"/>
      <c r="AZ3" s="198"/>
      <c r="BA3" s="198"/>
      <c r="BB3" s="198"/>
      <c r="BC3" s="199"/>
      <c r="BD3" s="202" t="s">
        <v>57</v>
      </c>
      <c r="BE3" s="203"/>
      <c r="BF3" s="203"/>
      <c r="BG3" s="203"/>
      <c r="BH3" s="203"/>
      <c r="BI3" s="203"/>
      <c r="BJ3" s="203"/>
      <c r="BK3" s="204"/>
    </row>
    <row r="4" spans="1:63" s="7" customFormat="1">
      <c r="A4" s="187"/>
      <c r="B4" s="187"/>
      <c r="C4" s="187"/>
      <c r="D4" s="187"/>
      <c r="E4" s="187"/>
      <c r="F4" s="123" t="s">
        <v>48</v>
      </c>
      <c r="G4" s="123" t="s">
        <v>49</v>
      </c>
      <c r="H4" s="30" t="s">
        <v>50</v>
      </c>
      <c r="I4" s="123" t="s">
        <v>64</v>
      </c>
      <c r="J4" s="123" t="s">
        <v>430</v>
      </c>
      <c r="K4" s="92" t="s">
        <v>456</v>
      </c>
      <c r="L4" s="92" t="s">
        <v>469</v>
      </c>
      <c r="M4" s="124" t="s">
        <v>51</v>
      </c>
      <c r="N4" s="123" t="s">
        <v>48</v>
      </c>
      <c r="O4" s="123" t="s">
        <v>49</v>
      </c>
      <c r="P4" s="123" t="s">
        <v>50</v>
      </c>
      <c r="Q4" s="125" t="s">
        <v>64</v>
      </c>
      <c r="R4" s="123" t="s">
        <v>430</v>
      </c>
      <c r="S4" s="124" t="s">
        <v>456</v>
      </c>
      <c r="T4" s="124" t="s">
        <v>469</v>
      </c>
      <c r="U4" s="124" t="s">
        <v>51</v>
      </c>
      <c r="V4" s="123" t="s">
        <v>48</v>
      </c>
      <c r="W4" s="123" t="s">
        <v>49</v>
      </c>
      <c r="X4" s="123" t="s">
        <v>50</v>
      </c>
      <c r="Y4" s="125" t="s">
        <v>64</v>
      </c>
      <c r="Z4" s="92" t="s">
        <v>430</v>
      </c>
      <c r="AA4" s="92" t="s">
        <v>456</v>
      </c>
      <c r="AB4" s="92" t="s">
        <v>469</v>
      </c>
      <c r="AC4" s="124" t="s">
        <v>51</v>
      </c>
      <c r="AD4" s="123" t="s">
        <v>48</v>
      </c>
      <c r="AE4" s="123" t="s">
        <v>49</v>
      </c>
      <c r="AF4" s="123" t="s">
        <v>50</v>
      </c>
      <c r="AG4" s="125" t="s">
        <v>400</v>
      </c>
      <c r="AH4" s="92" t="s">
        <v>430</v>
      </c>
      <c r="AI4" s="92" t="s">
        <v>456</v>
      </c>
      <c r="AJ4" s="92" t="s">
        <v>469</v>
      </c>
      <c r="AK4" s="124" t="s">
        <v>51</v>
      </c>
      <c r="AL4" s="123" t="s">
        <v>64</v>
      </c>
      <c r="AM4" s="123" t="s">
        <v>430</v>
      </c>
      <c r="AN4" s="123" t="s">
        <v>456</v>
      </c>
      <c r="AO4" s="123" t="s">
        <v>469</v>
      </c>
      <c r="AP4" s="123" t="s">
        <v>51</v>
      </c>
      <c r="AQ4" s="123" t="s">
        <v>64</v>
      </c>
      <c r="AR4" s="123" t="s">
        <v>430</v>
      </c>
      <c r="AS4" s="123" t="s">
        <v>456</v>
      </c>
      <c r="AT4" s="123" t="s">
        <v>469</v>
      </c>
      <c r="AU4" s="123" t="s">
        <v>51</v>
      </c>
      <c r="AV4" s="123" t="s">
        <v>48</v>
      </c>
      <c r="AW4" s="123" t="s">
        <v>49</v>
      </c>
      <c r="AX4" s="123" t="s">
        <v>50</v>
      </c>
      <c r="AY4" s="123" t="s">
        <v>64</v>
      </c>
      <c r="AZ4" s="92" t="s">
        <v>430</v>
      </c>
      <c r="BA4" s="92" t="s">
        <v>456</v>
      </c>
      <c r="BB4" s="92" t="s">
        <v>469</v>
      </c>
      <c r="BC4" s="124" t="s">
        <v>51</v>
      </c>
      <c r="BD4" s="123" t="s">
        <v>48</v>
      </c>
      <c r="BE4" s="123" t="s">
        <v>49</v>
      </c>
      <c r="BF4" s="123" t="s">
        <v>50</v>
      </c>
      <c r="BG4" s="126" t="s">
        <v>64</v>
      </c>
      <c r="BH4" s="93" t="s">
        <v>430</v>
      </c>
      <c r="BI4" s="93" t="s">
        <v>456</v>
      </c>
      <c r="BJ4" s="93" t="s">
        <v>469</v>
      </c>
      <c r="BK4" s="123" t="s">
        <v>407</v>
      </c>
    </row>
    <row r="5" spans="1:63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4"/>
      <c r="K5" s="4"/>
      <c r="L5" s="4"/>
      <c r="M5" s="9">
        <f>SUM(F5:L5)</f>
        <v>1085500</v>
      </c>
      <c r="N5" s="4"/>
      <c r="O5" s="4"/>
      <c r="P5" s="4"/>
      <c r="Q5" s="4"/>
      <c r="R5" s="4"/>
      <c r="S5" s="4"/>
      <c r="T5" s="4"/>
      <c r="U5" s="9">
        <f>SUM(N5:T5)</f>
        <v>0</v>
      </c>
      <c r="V5" s="4"/>
      <c r="W5" s="4"/>
      <c r="X5" s="4"/>
      <c r="Y5" s="4"/>
      <c r="Z5" s="4"/>
      <c r="AA5" s="4"/>
      <c r="AB5" s="4"/>
      <c r="AC5" s="9">
        <f>SUM(V5:AB5)</f>
        <v>0</v>
      </c>
      <c r="AD5" s="4"/>
      <c r="AE5" s="4">
        <v>383150</v>
      </c>
      <c r="AF5" s="10">
        <f>805550+120000</f>
        <v>925550</v>
      </c>
      <c r="AG5" s="27">
        <v>30000</v>
      </c>
      <c r="AH5" s="20"/>
      <c r="AI5" s="20"/>
      <c r="AJ5" s="20"/>
      <c r="AK5" s="21">
        <f>SUM(AD5:AJ5)</f>
        <v>1338700</v>
      </c>
      <c r="AL5" s="27">
        <v>1050000</v>
      </c>
      <c r="AM5" s="20">
        <f>105000+210000+315000+315000+210000</f>
        <v>1155000</v>
      </c>
      <c r="AN5" s="20">
        <f>1309000+312000+156000</f>
        <v>1777000</v>
      </c>
      <c r="AO5" s="20">
        <v>1707000</v>
      </c>
      <c r="AP5" s="21">
        <f>SUM(AL5:AO5)</f>
        <v>5689000</v>
      </c>
      <c r="AQ5" s="10"/>
      <c r="AR5" s="20"/>
      <c r="AS5" s="20"/>
      <c r="AT5" s="20"/>
      <c r="AU5" s="21">
        <f>SUM(AQ5:AT5)</f>
        <v>0</v>
      </c>
      <c r="AV5" s="10"/>
      <c r="AW5" s="10"/>
      <c r="AX5" s="10"/>
      <c r="AY5" s="10"/>
      <c r="AZ5" s="20"/>
      <c r="BA5" s="20"/>
      <c r="BB5" s="20"/>
      <c r="BC5" s="21">
        <f>SUM(AV5:BB5)</f>
        <v>0</v>
      </c>
      <c r="BD5" s="4">
        <f t="shared" ref="BD5:BD15" si="0">F5+N5+V5+AD5+AV5</f>
        <v>0</v>
      </c>
      <c r="BE5" s="4">
        <f t="shared" ref="BE5:BE15" si="1">G5+O5+W5+AE5+AW5</f>
        <v>831650</v>
      </c>
      <c r="BF5" s="4">
        <f t="shared" ref="BF5:BF15" si="2">H5+P5+X5+AF5+AX5</f>
        <v>1522550</v>
      </c>
      <c r="BG5" s="4">
        <f t="shared" ref="BG5:BG15" si="3">I5+Q5+Y5+AG5+AL5+AQ5+AY5</f>
        <v>1120000</v>
      </c>
      <c r="BH5" s="94">
        <f t="shared" ref="BH5:BH15" si="4">J5+R5+Z5+AH5+AM5+AR5+AZ5</f>
        <v>1155000</v>
      </c>
      <c r="BI5" s="94">
        <f t="shared" ref="BI5:BI15" si="5">K5+S5+AA5+AI5+AN5+AS5+BA5</f>
        <v>1777000</v>
      </c>
      <c r="BJ5" s="94">
        <f t="shared" ref="BJ5:BJ15" si="6">L5+T5+AB5+AJ5+AO5+AT5+BB5</f>
        <v>1707000</v>
      </c>
      <c r="BK5" s="9">
        <f>SUM(BD5:BJ5)</f>
        <v>8113200</v>
      </c>
    </row>
    <row r="6" spans="1:63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4"/>
      <c r="K6" s="4"/>
      <c r="L6" s="4"/>
      <c r="M6" s="9">
        <f t="shared" ref="M6:M15" si="7">SUM(F6:L6)</f>
        <v>1596065</v>
      </c>
      <c r="N6" s="4"/>
      <c r="O6" s="4"/>
      <c r="P6" s="4"/>
      <c r="Q6" s="4"/>
      <c r="R6" s="4"/>
      <c r="S6" s="4"/>
      <c r="T6" s="4"/>
      <c r="U6" s="9">
        <f t="shared" ref="U6:U15" si="8">SUM(N6:T6)</f>
        <v>0</v>
      </c>
      <c r="V6" s="4"/>
      <c r="W6" s="4"/>
      <c r="X6" s="4"/>
      <c r="Y6" s="4"/>
      <c r="Z6" s="4"/>
      <c r="AA6" s="4"/>
      <c r="AB6" s="4"/>
      <c r="AC6" s="9">
        <f t="shared" ref="AC6:AC15" si="9">SUM(V6:AB6)</f>
        <v>0</v>
      </c>
      <c r="AD6" s="4">
        <v>195000</v>
      </c>
      <c r="AE6" s="10">
        <v>1237100</v>
      </c>
      <c r="AF6" s="10">
        <v>145500</v>
      </c>
      <c r="AG6" s="27">
        <v>330000</v>
      </c>
      <c r="AH6" s="20"/>
      <c r="AI6" s="20"/>
      <c r="AJ6" s="20"/>
      <c r="AK6" s="21">
        <f t="shared" ref="AK6:AK15" si="10">SUM(AD6:AJ6)</f>
        <v>1907600</v>
      </c>
      <c r="AL6" s="10">
        <v>1043000</v>
      </c>
      <c r="AM6" s="20">
        <f>105000+210000+315000+315000+210000</f>
        <v>1155000</v>
      </c>
      <c r="AN6" s="20">
        <f>1294254+299658+148627</f>
        <v>1742539</v>
      </c>
      <c r="AO6" s="20">
        <v>1843279</v>
      </c>
      <c r="AP6" s="21">
        <f t="shared" ref="AP6:AP15" si="11">SUM(AL6:AO6)</f>
        <v>5783818</v>
      </c>
      <c r="AQ6" s="10"/>
      <c r="AR6" s="20"/>
      <c r="AS6" s="20"/>
      <c r="AT6" s="20"/>
      <c r="AU6" s="21">
        <f t="shared" ref="AU6:AU15" si="12">SUM(AQ6:AT6)</f>
        <v>0</v>
      </c>
      <c r="AV6" s="10"/>
      <c r="AW6" s="10"/>
      <c r="AX6" s="10"/>
      <c r="AY6" s="10"/>
      <c r="AZ6" s="20"/>
      <c r="BA6" s="20"/>
      <c r="BB6" s="20"/>
      <c r="BC6" s="21">
        <f t="shared" ref="BC6:BC15" si="13">SUM(AV6:BB6)</f>
        <v>0</v>
      </c>
      <c r="BD6" s="4">
        <f t="shared" si="0"/>
        <v>350000</v>
      </c>
      <c r="BE6" s="4">
        <f t="shared" si="1"/>
        <v>2218165</v>
      </c>
      <c r="BF6" s="4">
        <f t="shared" si="2"/>
        <v>365500</v>
      </c>
      <c r="BG6" s="4">
        <f t="shared" si="3"/>
        <v>1613000</v>
      </c>
      <c r="BH6" s="94">
        <f t="shared" si="4"/>
        <v>1155000</v>
      </c>
      <c r="BI6" s="94">
        <f t="shared" si="5"/>
        <v>1742539</v>
      </c>
      <c r="BJ6" s="94">
        <f t="shared" si="6"/>
        <v>1843279</v>
      </c>
      <c r="BK6" s="9">
        <f t="shared" ref="BK6:BK15" si="14">SUM(BD6:BJ6)</f>
        <v>9287483</v>
      </c>
    </row>
    <row r="7" spans="1:63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4"/>
      <c r="K7" s="4"/>
      <c r="L7" s="4"/>
      <c r="M7" s="9">
        <f t="shared" si="7"/>
        <v>1181345</v>
      </c>
      <c r="N7" s="4"/>
      <c r="O7" s="4"/>
      <c r="P7" s="4"/>
      <c r="Q7" s="4"/>
      <c r="R7" s="4"/>
      <c r="S7" s="4"/>
      <c r="T7" s="4"/>
      <c r="U7" s="9">
        <f t="shared" si="8"/>
        <v>0</v>
      </c>
      <c r="V7" s="4"/>
      <c r="W7" s="4"/>
      <c r="X7" s="4"/>
      <c r="Y7" s="4"/>
      <c r="Z7" s="4"/>
      <c r="AA7" s="4"/>
      <c r="AB7" s="4"/>
      <c r="AC7" s="9">
        <f t="shared" si="9"/>
        <v>0</v>
      </c>
      <c r="AD7" s="4">
        <v>195000</v>
      </c>
      <c r="AE7" s="10">
        <v>1233000</v>
      </c>
      <c r="AF7" s="10">
        <f>669300+90000</f>
        <v>759300</v>
      </c>
      <c r="AG7" s="27">
        <v>120000</v>
      </c>
      <c r="AH7" s="20"/>
      <c r="AI7" s="20"/>
      <c r="AJ7" s="20"/>
      <c r="AK7" s="21">
        <f t="shared" si="10"/>
        <v>2307300</v>
      </c>
      <c r="AL7" s="10">
        <v>1113000</v>
      </c>
      <c r="AM7" s="20">
        <f>101500+304500+609000+203000</f>
        <v>1218000</v>
      </c>
      <c r="AN7" s="20">
        <f>1362660+293840+148490</f>
        <v>1804990</v>
      </c>
      <c r="AO7" s="20">
        <v>1764276</v>
      </c>
      <c r="AP7" s="21">
        <f t="shared" si="11"/>
        <v>5900266</v>
      </c>
      <c r="AQ7" s="10"/>
      <c r="AR7" s="20"/>
      <c r="AS7" s="20"/>
      <c r="AT7" s="20"/>
      <c r="AU7" s="21">
        <f t="shared" si="12"/>
        <v>0</v>
      </c>
      <c r="AV7" s="10"/>
      <c r="AW7" s="10"/>
      <c r="AX7" s="10"/>
      <c r="AY7" s="10"/>
      <c r="AZ7" s="20"/>
      <c r="BA7" s="20"/>
      <c r="BB7" s="20"/>
      <c r="BC7" s="21">
        <f t="shared" si="13"/>
        <v>0</v>
      </c>
      <c r="BD7" s="4">
        <f t="shared" si="0"/>
        <v>350000</v>
      </c>
      <c r="BE7" s="4">
        <f t="shared" si="1"/>
        <v>1549345</v>
      </c>
      <c r="BF7" s="4">
        <f t="shared" si="2"/>
        <v>1089300</v>
      </c>
      <c r="BG7" s="4">
        <f t="shared" si="3"/>
        <v>1613000</v>
      </c>
      <c r="BH7" s="94">
        <f t="shared" si="4"/>
        <v>1218000</v>
      </c>
      <c r="BI7" s="94">
        <f t="shared" si="5"/>
        <v>1804990</v>
      </c>
      <c r="BJ7" s="94">
        <f t="shared" si="6"/>
        <v>1764276</v>
      </c>
      <c r="BK7" s="9">
        <f t="shared" si="14"/>
        <v>9388911</v>
      </c>
    </row>
    <row r="8" spans="1:63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4"/>
      <c r="K8" s="4"/>
      <c r="L8" s="4"/>
      <c r="M8" s="9">
        <f t="shared" si="7"/>
        <v>588500</v>
      </c>
      <c r="N8" s="4"/>
      <c r="O8" s="4"/>
      <c r="P8" s="4"/>
      <c r="Q8" s="4"/>
      <c r="R8" s="4"/>
      <c r="S8" s="4"/>
      <c r="T8" s="4"/>
      <c r="U8" s="9">
        <f t="shared" si="8"/>
        <v>0</v>
      </c>
      <c r="V8" s="4"/>
      <c r="W8" s="4">
        <v>290000</v>
      </c>
      <c r="X8" s="4">
        <v>2759000</v>
      </c>
      <c r="Y8" s="11">
        <v>300000</v>
      </c>
      <c r="Z8" s="11"/>
      <c r="AA8" s="11"/>
      <c r="AB8" s="11"/>
      <c r="AC8" s="9">
        <f t="shared" si="9"/>
        <v>3349000</v>
      </c>
      <c r="AD8" s="4"/>
      <c r="AE8" s="4">
        <v>195000</v>
      </c>
      <c r="AF8" s="10">
        <f>620800+150000</f>
        <v>770800</v>
      </c>
      <c r="AG8" s="27">
        <v>30000</v>
      </c>
      <c r="AH8" s="20"/>
      <c r="AI8" s="20"/>
      <c r="AJ8" s="20"/>
      <c r="AK8" s="21">
        <f t="shared" si="10"/>
        <v>995800</v>
      </c>
      <c r="AL8" s="10">
        <v>1155000</v>
      </c>
      <c r="AM8" s="20">
        <f>105000+315000+315000+315000+210000</f>
        <v>1260000</v>
      </c>
      <c r="AN8" s="20">
        <f>1290400+132960+144000+144000</f>
        <v>1711360</v>
      </c>
      <c r="AO8" s="20">
        <v>1776000</v>
      </c>
      <c r="AP8" s="21">
        <f t="shared" si="11"/>
        <v>5902360</v>
      </c>
      <c r="AQ8" s="10"/>
      <c r="AR8" s="20"/>
      <c r="AS8" s="20"/>
      <c r="AT8" s="20"/>
      <c r="AU8" s="21">
        <f t="shared" si="12"/>
        <v>0</v>
      </c>
      <c r="AV8" s="10"/>
      <c r="AW8" s="10"/>
      <c r="AX8" s="10"/>
      <c r="AY8" s="10"/>
      <c r="AZ8" s="20"/>
      <c r="BA8" s="20"/>
      <c r="BB8" s="20"/>
      <c r="BC8" s="21">
        <f t="shared" si="13"/>
        <v>0</v>
      </c>
      <c r="BD8" s="4">
        <f t="shared" si="0"/>
        <v>0</v>
      </c>
      <c r="BE8" s="4">
        <f t="shared" si="1"/>
        <v>485000</v>
      </c>
      <c r="BF8" s="4">
        <f t="shared" si="2"/>
        <v>3998300</v>
      </c>
      <c r="BG8" s="4">
        <f t="shared" si="3"/>
        <v>1605000</v>
      </c>
      <c r="BH8" s="94">
        <f t="shared" si="4"/>
        <v>1260000</v>
      </c>
      <c r="BI8" s="94">
        <f t="shared" si="5"/>
        <v>1711360</v>
      </c>
      <c r="BJ8" s="94">
        <f t="shared" si="6"/>
        <v>1776000</v>
      </c>
      <c r="BK8" s="9">
        <f t="shared" si="14"/>
        <v>10835660</v>
      </c>
    </row>
    <row r="9" spans="1:63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4"/>
      <c r="K9" s="4"/>
      <c r="L9" s="4"/>
      <c r="M9" s="9">
        <f t="shared" si="7"/>
        <v>0</v>
      </c>
      <c r="N9" s="76">
        <v>290000</v>
      </c>
      <c r="O9" s="76">
        <v>1260000</v>
      </c>
      <c r="P9" s="76">
        <v>920000</v>
      </c>
      <c r="Q9" s="76">
        <v>300000</v>
      </c>
      <c r="R9" s="4"/>
      <c r="S9" s="4"/>
      <c r="T9" s="4"/>
      <c r="U9" s="9">
        <f t="shared" si="8"/>
        <v>2770000</v>
      </c>
      <c r="V9" s="4"/>
      <c r="W9" s="4">
        <v>1263000</v>
      </c>
      <c r="X9" s="4">
        <v>840000</v>
      </c>
      <c r="Y9" s="11">
        <v>300000</v>
      </c>
      <c r="Z9" s="11"/>
      <c r="AA9" s="11"/>
      <c r="AB9" s="11"/>
      <c r="AC9" s="9">
        <f t="shared" si="9"/>
        <v>2403000</v>
      </c>
      <c r="AD9" s="4"/>
      <c r="AE9" s="10">
        <v>1169850</v>
      </c>
      <c r="AF9" s="10">
        <v>1051200</v>
      </c>
      <c r="AG9" s="27">
        <v>30000</v>
      </c>
      <c r="AH9" s="20"/>
      <c r="AI9" s="20"/>
      <c r="AJ9" s="20"/>
      <c r="AK9" s="21">
        <f t="shared" si="10"/>
        <v>2251050</v>
      </c>
      <c r="AL9" s="10">
        <v>0</v>
      </c>
      <c r="AM9" s="20"/>
      <c r="AN9" s="20"/>
      <c r="AO9" s="20"/>
      <c r="AP9" s="21">
        <f t="shared" si="11"/>
        <v>0</v>
      </c>
      <c r="AQ9" s="10"/>
      <c r="AR9" s="20">
        <f>1400000+300000+200000</f>
        <v>1900000</v>
      </c>
      <c r="AS9" s="20">
        <f>1621500+510000</f>
        <v>2131500</v>
      </c>
      <c r="AT9" s="20">
        <f>170000+340000+680000+170000</f>
        <v>1360000</v>
      </c>
      <c r="AU9" s="21">
        <f t="shared" si="12"/>
        <v>5391500</v>
      </c>
      <c r="AV9" s="10"/>
      <c r="AW9" s="10"/>
      <c r="AX9" s="10"/>
      <c r="AY9" s="10"/>
      <c r="AZ9" s="20"/>
      <c r="BA9" s="20"/>
      <c r="BB9" s="20"/>
      <c r="BC9" s="21">
        <f t="shared" si="13"/>
        <v>0</v>
      </c>
      <c r="BD9" s="4">
        <f t="shared" si="0"/>
        <v>290000</v>
      </c>
      <c r="BE9" s="4">
        <f t="shared" si="1"/>
        <v>3692850</v>
      </c>
      <c r="BF9" s="4">
        <f t="shared" si="2"/>
        <v>2811200</v>
      </c>
      <c r="BG9" s="4">
        <f t="shared" si="3"/>
        <v>630000</v>
      </c>
      <c r="BH9" s="94">
        <f t="shared" si="4"/>
        <v>1900000</v>
      </c>
      <c r="BI9" s="94">
        <f t="shared" si="5"/>
        <v>2131500</v>
      </c>
      <c r="BJ9" s="94">
        <f t="shared" si="6"/>
        <v>1360000</v>
      </c>
      <c r="BK9" s="9">
        <f t="shared" si="14"/>
        <v>12815550</v>
      </c>
    </row>
    <row r="10" spans="1:63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4"/>
      <c r="K10" s="4"/>
      <c r="L10" s="4"/>
      <c r="M10" s="9">
        <f t="shared" si="7"/>
        <v>0</v>
      </c>
      <c r="N10" s="4"/>
      <c r="O10" s="4"/>
      <c r="P10" s="4"/>
      <c r="Q10" s="4"/>
      <c r="R10" s="4"/>
      <c r="S10" s="4"/>
      <c r="T10" s="4"/>
      <c r="U10" s="9">
        <f t="shared" si="8"/>
        <v>0</v>
      </c>
      <c r="V10" s="4"/>
      <c r="W10" s="4"/>
      <c r="X10" s="4"/>
      <c r="Y10" s="4"/>
      <c r="Z10" s="4"/>
      <c r="AA10" s="4"/>
      <c r="AB10" s="4"/>
      <c r="AC10" s="9">
        <f t="shared" si="9"/>
        <v>0</v>
      </c>
      <c r="AD10" s="4"/>
      <c r="AE10" s="10">
        <v>195000</v>
      </c>
      <c r="AF10" s="10">
        <f>494700+150000</f>
        <v>644700</v>
      </c>
      <c r="AG10" s="27">
        <v>625000</v>
      </c>
      <c r="AH10" s="20">
        <f>119000+178500+178500+178500+119000</f>
        <v>773500</v>
      </c>
      <c r="AI10" s="20">
        <f>648550+130900+65450</f>
        <v>844900</v>
      </c>
      <c r="AJ10" s="20">
        <v>454300</v>
      </c>
      <c r="AK10" s="21">
        <f t="shared" si="10"/>
        <v>3537400</v>
      </c>
      <c r="AL10" s="10">
        <v>0</v>
      </c>
      <c r="AM10" s="20"/>
      <c r="AN10" s="20"/>
      <c r="AO10" s="20"/>
      <c r="AP10" s="21">
        <f t="shared" si="11"/>
        <v>0</v>
      </c>
      <c r="AQ10" s="10"/>
      <c r="AR10" s="20"/>
      <c r="AS10" s="20"/>
      <c r="AT10" s="20"/>
      <c r="AU10" s="21">
        <f t="shared" si="12"/>
        <v>0</v>
      </c>
      <c r="AV10" s="10"/>
      <c r="AW10" s="10"/>
      <c r="AX10" s="10"/>
      <c r="AY10" s="10"/>
      <c r="AZ10" s="20"/>
      <c r="BA10" s="20"/>
      <c r="BB10" s="20"/>
      <c r="BC10" s="21">
        <f t="shared" si="13"/>
        <v>0</v>
      </c>
      <c r="BD10" s="4">
        <f t="shared" si="0"/>
        <v>0</v>
      </c>
      <c r="BE10" s="4">
        <f t="shared" si="1"/>
        <v>195000</v>
      </c>
      <c r="BF10" s="4">
        <f t="shared" si="2"/>
        <v>644700</v>
      </c>
      <c r="BG10" s="4">
        <f t="shared" si="3"/>
        <v>625000</v>
      </c>
      <c r="BH10" s="94">
        <f t="shared" si="4"/>
        <v>773500</v>
      </c>
      <c r="BI10" s="94">
        <f t="shared" si="5"/>
        <v>844900</v>
      </c>
      <c r="BJ10" s="94">
        <f t="shared" si="6"/>
        <v>454300</v>
      </c>
      <c r="BK10" s="9">
        <f t="shared" si="14"/>
        <v>3537400</v>
      </c>
    </row>
    <row r="11" spans="1:63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4"/>
      <c r="K11" s="4"/>
      <c r="L11" s="4"/>
      <c r="M11" s="9">
        <f t="shared" si="7"/>
        <v>1613552</v>
      </c>
      <c r="N11" s="4"/>
      <c r="O11" s="4"/>
      <c r="P11" s="4"/>
      <c r="Q11" s="4"/>
      <c r="R11" s="4"/>
      <c r="S11" s="4"/>
      <c r="T11" s="4"/>
      <c r="U11" s="9">
        <f t="shared" si="8"/>
        <v>0</v>
      </c>
      <c r="V11" s="4"/>
      <c r="W11" s="4"/>
      <c r="X11" s="4"/>
      <c r="Y11" s="4"/>
      <c r="Z11" s="4"/>
      <c r="AA11" s="4"/>
      <c r="AB11" s="4"/>
      <c r="AC11" s="9">
        <f t="shared" si="9"/>
        <v>0</v>
      </c>
      <c r="AD11" s="4"/>
      <c r="AE11" s="10">
        <v>1451150</v>
      </c>
      <c r="AF11" s="10">
        <v>523800</v>
      </c>
      <c r="AG11" s="27"/>
      <c r="AH11" s="20"/>
      <c r="AI11" s="20"/>
      <c r="AJ11" s="20"/>
      <c r="AK11" s="21">
        <f t="shared" si="10"/>
        <v>1974950</v>
      </c>
      <c r="AL11" s="10">
        <v>840000</v>
      </c>
      <c r="AM11" s="20">
        <f>105000+285000+315000+15000+315000+210000</f>
        <v>1245000</v>
      </c>
      <c r="AN11" s="20">
        <f>609000+890570+129000</f>
        <v>1628570</v>
      </c>
      <c r="AO11" s="20">
        <v>1519000</v>
      </c>
      <c r="AP11" s="21">
        <f t="shared" si="11"/>
        <v>5232570</v>
      </c>
      <c r="AQ11" s="10"/>
      <c r="AR11" s="20"/>
      <c r="AS11" s="20"/>
      <c r="AT11" s="20"/>
      <c r="AU11" s="21">
        <f t="shared" si="12"/>
        <v>0</v>
      </c>
      <c r="AV11" s="10"/>
      <c r="AW11" s="10"/>
      <c r="AX11" s="10"/>
      <c r="AY11" s="10"/>
      <c r="AZ11" s="20"/>
      <c r="BA11" s="20"/>
      <c r="BB11" s="20"/>
      <c r="BC11" s="21">
        <f t="shared" si="13"/>
        <v>0</v>
      </c>
      <c r="BD11" s="4">
        <f t="shared" si="0"/>
        <v>155000</v>
      </c>
      <c r="BE11" s="4">
        <f t="shared" si="1"/>
        <v>2689702</v>
      </c>
      <c r="BF11" s="4">
        <f t="shared" si="2"/>
        <v>743800</v>
      </c>
      <c r="BG11" s="4">
        <f t="shared" si="3"/>
        <v>840000</v>
      </c>
      <c r="BH11" s="94">
        <f t="shared" si="4"/>
        <v>1245000</v>
      </c>
      <c r="BI11" s="94">
        <f t="shared" si="5"/>
        <v>1628570</v>
      </c>
      <c r="BJ11" s="94">
        <f t="shared" si="6"/>
        <v>1519000</v>
      </c>
      <c r="BK11" s="9">
        <f t="shared" si="14"/>
        <v>8821072</v>
      </c>
    </row>
    <row r="12" spans="1:63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4"/>
      <c r="K12" s="4"/>
      <c r="L12" s="4"/>
      <c r="M12" s="9">
        <f t="shared" si="7"/>
        <v>0</v>
      </c>
      <c r="N12" s="4"/>
      <c r="O12" s="4"/>
      <c r="P12" s="4"/>
      <c r="Q12" s="4"/>
      <c r="R12" s="4"/>
      <c r="S12" s="4"/>
      <c r="T12" s="4"/>
      <c r="U12" s="9">
        <f t="shared" si="8"/>
        <v>0</v>
      </c>
      <c r="V12" s="4"/>
      <c r="W12" s="4"/>
      <c r="X12" s="4"/>
      <c r="Y12" s="4"/>
      <c r="Z12" s="4"/>
      <c r="AA12" s="4"/>
      <c r="AB12" s="4"/>
      <c r="AC12" s="9">
        <f t="shared" si="9"/>
        <v>0</v>
      </c>
      <c r="AD12" s="4"/>
      <c r="AE12" s="4">
        <v>195000</v>
      </c>
      <c r="AF12" s="10">
        <f>1004850+120000</f>
        <v>1124850</v>
      </c>
      <c r="AG12" s="27">
        <v>660000</v>
      </c>
      <c r="AH12" s="20">
        <f>140000+140000+210000+210000+140000</f>
        <v>840000</v>
      </c>
      <c r="AI12" s="20">
        <f>921315+251452+126792</f>
        <v>1299559</v>
      </c>
      <c r="AJ12" s="20">
        <v>1585478</v>
      </c>
      <c r="AK12" s="21">
        <f t="shared" si="10"/>
        <v>5704887</v>
      </c>
      <c r="AL12" s="10">
        <v>0</v>
      </c>
      <c r="AM12" s="20"/>
      <c r="AN12" s="20"/>
      <c r="AO12" s="20"/>
      <c r="AP12" s="21">
        <f t="shared" si="11"/>
        <v>0</v>
      </c>
      <c r="AQ12" s="10"/>
      <c r="AR12" s="20"/>
      <c r="AS12" s="20"/>
      <c r="AT12" s="20"/>
      <c r="AU12" s="21">
        <f t="shared" si="12"/>
        <v>0</v>
      </c>
      <c r="AV12" s="10"/>
      <c r="AW12" s="10"/>
      <c r="AX12" s="10"/>
      <c r="AY12" s="10"/>
      <c r="AZ12" s="20"/>
      <c r="BA12" s="20"/>
      <c r="BB12" s="20"/>
      <c r="BC12" s="21">
        <f t="shared" si="13"/>
        <v>0</v>
      </c>
      <c r="BD12" s="4">
        <f t="shared" si="0"/>
        <v>0</v>
      </c>
      <c r="BE12" s="4">
        <f t="shared" si="1"/>
        <v>195000</v>
      </c>
      <c r="BF12" s="4">
        <f t="shared" si="2"/>
        <v>1124850</v>
      </c>
      <c r="BG12" s="4">
        <f t="shared" si="3"/>
        <v>660000</v>
      </c>
      <c r="BH12" s="94">
        <f t="shared" si="4"/>
        <v>840000</v>
      </c>
      <c r="BI12" s="94">
        <f t="shared" si="5"/>
        <v>1299559</v>
      </c>
      <c r="BJ12" s="94">
        <f t="shared" si="6"/>
        <v>1585478</v>
      </c>
      <c r="BK12" s="9">
        <f t="shared" si="14"/>
        <v>5704887</v>
      </c>
    </row>
    <row r="13" spans="1:63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4"/>
      <c r="K13" s="4"/>
      <c r="L13" s="4"/>
      <c r="M13" s="9">
        <f t="shared" si="7"/>
        <v>0</v>
      </c>
      <c r="N13" s="76"/>
      <c r="O13" s="76"/>
      <c r="P13" s="76">
        <v>290000</v>
      </c>
      <c r="Q13" s="76">
        <v>775000</v>
      </c>
      <c r="R13" s="4">
        <f>150000+675000+225000+150000</f>
        <v>1200000</v>
      </c>
      <c r="S13" s="4">
        <f>1425000+450000</f>
        <v>1875000</v>
      </c>
      <c r="T13" s="4">
        <f>600000+300000+150000+150000+150000+300000+150000</f>
        <v>1800000</v>
      </c>
      <c r="U13" s="9">
        <f t="shared" si="8"/>
        <v>5940000</v>
      </c>
      <c r="V13" s="4"/>
      <c r="W13" s="4"/>
      <c r="X13" s="4"/>
      <c r="Y13" s="4"/>
      <c r="Z13" s="4"/>
      <c r="AA13" s="4"/>
      <c r="AB13" s="4"/>
      <c r="AC13" s="9">
        <f t="shared" si="9"/>
        <v>0</v>
      </c>
      <c r="AD13" s="4"/>
      <c r="AE13" s="10"/>
      <c r="AF13" s="10"/>
      <c r="AG13" s="10"/>
      <c r="AH13" s="20"/>
      <c r="AI13" s="20"/>
      <c r="AJ13" s="20"/>
      <c r="AK13" s="21">
        <f t="shared" si="10"/>
        <v>0</v>
      </c>
      <c r="AL13" s="10">
        <v>0</v>
      </c>
      <c r="AM13" s="20"/>
      <c r="AN13" s="20"/>
      <c r="AO13" s="20"/>
      <c r="AP13" s="21">
        <f t="shared" si="11"/>
        <v>0</v>
      </c>
      <c r="AQ13" s="10"/>
      <c r="AR13" s="20"/>
      <c r="AS13" s="20"/>
      <c r="AT13" s="20"/>
      <c r="AU13" s="21">
        <f t="shared" si="12"/>
        <v>0</v>
      </c>
      <c r="AV13" s="10"/>
      <c r="AW13" s="10"/>
      <c r="AX13" s="10"/>
      <c r="AY13" s="10"/>
      <c r="AZ13" s="20"/>
      <c r="BA13" s="20"/>
      <c r="BB13" s="20"/>
      <c r="BC13" s="21">
        <f t="shared" si="13"/>
        <v>0</v>
      </c>
      <c r="BD13" s="4">
        <f t="shared" si="0"/>
        <v>0</v>
      </c>
      <c r="BE13" s="4">
        <f t="shared" si="1"/>
        <v>0</v>
      </c>
      <c r="BF13" s="4">
        <f t="shared" si="2"/>
        <v>290000</v>
      </c>
      <c r="BG13" s="4">
        <f t="shared" si="3"/>
        <v>775000</v>
      </c>
      <c r="BH13" s="94">
        <f t="shared" si="4"/>
        <v>1200000</v>
      </c>
      <c r="BI13" s="94">
        <f t="shared" si="5"/>
        <v>1875000</v>
      </c>
      <c r="BJ13" s="94">
        <f t="shared" si="6"/>
        <v>1800000</v>
      </c>
      <c r="BK13" s="9">
        <f t="shared" si="14"/>
        <v>5940000</v>
      </c>
    </row>
    <row r="14" spans="1:63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4"/>
      <c r="K14" s="4"/>
      <c r="L14" s="4"/>
      <c r="M14" s="9">
        <f t="shared" si="7"/>
        <v>327667</v>
      </c>
      <c r="N14" s="4"/>
      <c r="O14" s="4"/>
      <c r="P14" s="4"/>
      <c r="Q14" s="4"/>
      <c r="R14" s="4"/>
      <c r="S14" s="4"/>
      <c r="T14" s="4"/>
      <c r="U14" s="9">
        <f t="shared" si="8"/>
        <v>0</v>
      </c>
      <c r="V14" s="4"/>
      <c r="W14" s="4"/>
      <c r="X14" s="4"/>
      <c r="Y14" s="4"/>
      <c r="Z14" s="4"/>
      <c r="AA14" s="4"/>
      <c r="AB14" s="4"/>
      <c r="AC14" s="9">
        <f t="shared" si="9"/>
        <v>0</v>
      </c>
      <c r="AD14" s="4"/>
      <c r="AE14" s="10">
        <v>641000</v>
      </c>
      <c r="AF14" s="10">
        <f>787850+210000</f>
        <v>997850</v>
      </c>
      <c r="AG14" s="10">
        <v>60000</v>
      </c>
      <c r="AH14" s="20"/>
      <c r="AI14" s="20"/>
      <c r="AJ14" s="20"/>
      <c r="AK14" s="21">
        <f t="shared" si="10"/>
        <v>1698850</v>
      </c>
      <c r="AL14" s="10">
        <v>1155000</v>
      </c>
      <c r="AM14" s="20">
        <f>105000+315000+315000+315000+210000</f>
        <v>1260000</v>
      </c>
      <c r="AN14" s="20">
        <f>1421340+306320+156000</f>
        <v>1883660</v>
      </c>
      <c r="AO14" s="20">
        <v>1808890</v>
      </c>
      <c r="AP14" s="21">
        <f t="shared" si="11"/>
        <v>6107550</v>
      </c>
      <c r="AQ14" s="10"/>
      <c r="AR14" s="20"/>
      <c r="AS14" s="20"/>
      <c r="AT14" s="20"/>
      <c r="AU14" s="21">
        <f t="shared" si="12"/>
        <v>0</v>
      </c>
      <c r="AV14" s="10"/>
      <c r="AW14" s="10"/>
      <c r="AX14" s="10"/>
      <c r="AY14" s="10"/>
      <c r="AZ14" s="20"/>
      <c r="BA14" s="20"/>
      <c r="BB14" s="20"/>
      <c r="BC14" s="21">
        <f t="shared" si="13"/>
        <v>0</v>
      </c>
      <c r="BD14" s="4">
        <f t="shared" si="0"/>
        <v>0</v>
      </c>
      <c r="BE14" s="4">
        <f t="shared" si="1"/>
        <v>641000</v>
      </c>
      <c r="BF14" s="4">
        <f t="shared" si="2"/>
        <v>1185517</v>
      </c>
      <c r="BG14" s="4">
        <f t="shared" si="3"/>
        <v>1355000</v>
      </c>
      <c r="BH14" s="94">
        <f t="shared" si="4"/>
        <v>1260000</v>
      </c>
      <c r="BI14" s="94">
        <f t="shared" si="5"/>
        <v>1883660</v>
      </c>
      <c r="BJ14" s="94">
        <f t="shared" si="6"/>
        <v>1808890</v>
      </c>
      <c r="BK14" s="9">
        <f t="shared" si="14"/>
        <v>8134067</v>
      </c>
    </row>
    <row r="15" spans="1:63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4"/>
      <c r="K15" s="4"/>
      <c r="L15" s="4"/>
      <c r="M15" s="9">
        <f t="shared" si="7"/>
        <v>465500</v>
      </c>
      <c r="N15" s="76"/>
      <c r="O15" s="76">
        <v>290000</v>
      </c>
      <c r="P15" s="76">
        <v>970000</v>
      </c>
      <c r="Q15" s="76">
        <v>925000</v>
      </c>
      <c r="R15" s="4">
        <f>225000+150000+75000+225000+225000+150000</f>
        <v>1050000</v>
      </c>
      <c r="S15" s="4">
        <v>1950000</v>
      </c>
      <c r="T15" s="4">
        <f>450000+450000+150000+190000+340000+200000+200000</f>
        <v>1980000</v>
      </c>
      <c r="U15" s="9">
        <f t="shared" si="8"/>
        <v>7165000</v>
      </c>
      <c r="V15" s="4"/>
      <c r="W15" s="4"/>
      <c r="X15" s="4"/>
      <c r="Y15" s="4"/>
      <c r="Z15" s="4"/>
      <c r="AA15" s="4"/>
      <c r="AB15" s="4"/>
      <c r="AC15" s="9">
        <f t="shared" si="9"/>
        <v>0</v>
      </c>
      <c r="AD15" s="4"/>
      <c r="AE15" s="4"/>
      <c r="AF15" s="4"/>
      <c r="AG15" s="4"/>
      <c r="AH15" s="20"/>
      <c r="AI15" s="20"/>
      <c r="AJ15" s="20"/>
      <c r="AK15" s="21">
        <f t="shared" si="10"/>
        <v>0</v>
      </c>
      <c r="AL15" s="10">
        <v>0</v>
      </c>
      <c r="AM15" s="20"/>
      <c r="AN15" s="20"/>
      <c r="AO15" s="20"/>
      <c r="AP15" s="21">
        <f t="shared" si="11"/>
        <v>0</v>
      </c>
      <c r="AQ15" s="10"/>
      <c r="AR15" s="20"/>
      <c r="AS15" s="20"/>
      <c r="AT15" s="20"/>
      <c r="AU15" s="21">
        <f t="shared" si="12"/>
        <v>0</v>
      </c>
      <c r="AV15" s="10"/>
      <c r="AW15" s="10"/>
      <c r="AX15" s="10"/>
      <c r="AY15" s="10"/>
      <c r="AZ15" s="20"/>
      <c r="BA15" s="20"/>
      <c r="BB15" s="20"/>
      <c r="BC15" s="21">
        <f t="shared" si="13"/>
        <v>0</v>
      </c>
      <c r="BD15" s="4">
        <f t="shared" si="0"/>
        <v>0</v>
      </c>
      <c r="BE15" s="4">
        <f t="shared" si="1"/>
        <v>290000</v>
      </c>
      <c r="BF15" s="4">
        <f t="shared" si="2"/>
        <v>1335500</v>
      </c>
      <c r="BG15" s="4">
        <f t="shared" si="3"/>
        <v>1025000</v>
      </c>
      <c r="BH15" s="94">
        <f t="shared" si="4"/>
        <v>1050000</v>
      </c>
      <c r="BI15" s="94">
        <f t="shared" si="5"/>
        <v>1950000</v>
      </c>
      <c r="BJ15" s="94">
        <f t="shared" si="6"/>
        <v>1980000</v>
      </c>
      <c r="BK15" s="9">
        <f t="shared" si="14"/>
        <v>7630500</v>
      </c>
    </row>
    <row r="16" spans="1:63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BK16" si="15">SUM(G5:G15)</f>
        <v>2984462</v>
      </c>
      <c r="H16" s="37">
        <f t="shared" si="15"/>
        <v>2388667</v>
      </c>
      <c r="I16" s="37">
        <f t="shared" si="15"/>
        <v>1020000</v>
      </c>
      <c r="J16" s="37">
        <f t="shared" si="15"/>
        <v>0</v>
      </c>
      <c r="K16" s="37">
        <f t="shared" si="15"/>
        <v>0</v>
      </c>
      <c r="L16" s="37">
        <f t="shared" ref="L16" si="16">SUM(L5:L15)</f>
        <v>0</v>
      </c>
      <c r="M16" s="37">
        <f>SUM(M5:M15)</f>
        <v>6858129</v>
      </c>
      <c r="N16" s="37">
        <f t="shared" si="15"/>
        <v>290000</v>
      </c>
      <c r="O16" s="37">
        <f t="shared" si="15"/>
        <v>1550000</v>
      </c>
      <c r="P16" s="37">
        <f t="shared" si="15"/>
        <v>2180000</v>
      </c>
      <c r="Q16" s="37">
        <f t="shared" si="15"/>
        <v>2000000</v>
      </c>
      <c r="R16" s="37">
        <f t="shared" si="15"/>
        <v>2250000</v>
      </c>
      <c r="S16" s="37">
        <f t="shared" si="15"/>
        <v>3825000</v>
      </c>
      <c r="T16" s="37">
        <f t="shared" ref="T16" si="17">SUM(T5:T15)</f>
        <v>3780000</v>
      </c>
      <c r="U16" s="37">
        <f t="shared" si="15"/>
        <v>15875000</v>
      </c>
      <c r="V16" s="37">
        <f t="shared" si="15"/>
        <v>0</v>
      </c>
      <c r="W16" s="37">
        <f t="shared" si="15"/>
        <v>1553000</v>
      </c>
      <c r="X16" s="37">
        <f t="shared" si="15"/>
        <v>3599000</v>
      </c>
      <c r="Y16" s="37">
        <f t="shared" si="15"/>
        <v>600000</v>
      </c>
      <c r="Z16" s="37">
        <f t="shared" si="15"/>
        <v>0</v>
      </c>
      <c r="AA16" s="37">
        <f t="shared" si="15"/>
        <v>0</v>
      </c>
      <c r="AB16" s="37">
        <f t="shared" ref="AB16" si="18">SUM(AB5:AB15)</f>
        <v>0</v>
      </c>
      <c r="AC16" s="37">
        <f t="shared" si="15"/>
        <v>5752000</v>
      </c>
      <c r="AD16" s="37">
        <f t="shared" si="15"/>
        <v>390000</v>
      </c>
      <c r="AE16" s="37">
        <f t="shared" si="15"/>
        <v>6700250</v>
      </c>
      <c r="AF16" s="37">
        <f t="shared" si="15"/>
        <v>6943550</v>
      </c>
      <c r="AG16" s="37">
        <f t="shared" si="15"/>
        <v>1885000</v>
      </c>
      <c r="AH16" s="37">
        <f t="shared" si="15"/>
        <v>1613500</v>
      </c>
      <c r="AI16" s="37">
        <f t="shared" si="15"/>
        <v>2144459</v>
      </c>
      <c r="AJ16" s="37">
        <f t="shared" ref="AJ16" si="19">SUM(AJ5:AJ15)</f>
        <v>2039778</v>
      </c>
      <c r="AK16" s="37">
        <f t="shared" si="15"/>
        <v>21716537</v>
      </c>
      <c r="AL16" s="37">
        <f t="shared" si="15"/>
        <v>6356000</v>
      </c>
      <c r="AM16" s="37">
        <f t="shared" si="15"/>
        <v>7293000</v>
      </c>
      <c r="AN16" s="37">
        <f>SUM(AN5:AN15)</f>
        <v>10548119</v>
      </c>
      <c r="AO16" s="37">
        <f>SUM(AO5:AO15)</f>
        <v>10418445</v>
      </c>
      <c r="AP16" s="37">
        <f>SUM(AP5:AP15)</f>
        <v>34615564</v>
      </c>
      <c r="AQ16" s="37">
        <f t="shared" si="15"/>
        <v>0</v>
      </c>
      <c r="AR16" s="37">
        <f t="shared" si="15"/>
        <v>1900000</v>
      </c>
      <c r="AS16" s="37">
        <f t="shared" si="15"/>
        <v>2131500</v>
      </c>
      <c r="AT16" s="37">
        <f t="shared" ref="AT16" si="20">SUM(AT5:AT15)</f>
        <v>1360000</v>
      </c>
      <c r="AU16" s="37">
        <f t="shared" si="15"/>
        <v>5391500</v>
      </c>
      <c r="AV16" s="37">
        <f t="shared" si="15"/>
        <v>0</v>
      </c>
      <c r="AW16" s="37">
        <f t="shared" si="15"/>
        <v>0</v>
      </c>
      <c r="AX16" s="37">
        <f t="shared" si="15"/>
        <v>0</v>
      </c>
      <c r="AY16" s="37">
        <f t="shared" si="15"/>
        <v>0</v>
      </c>
      <c r="AZ16" s="37">
        <f t="shared" si="15"/>
        <v>0</v>
      </c>
      <c r="BA16" s="37">
        <f t="shared" si="15"/>
        <v>0</v>
      </c>
      <c r="BB16" s="37">
        <f t="shared" ref="BB16" si="21">SUM(BB5:BB15)</f>
        <v>0</v>
      </c>
      <c r="BC16" s="37">
        <f t="shared" si="15"/>
        <v>0</v>
      </c>
      <c r="BD16" s="37">
        <f t="shared" si="15"/>
        <v>1145000</v>
      </c>
      <c r="BE16" s="37">
        <f t="shared" si="15"/>
        <v>12787712</v>
      </c>
      <c r="BF16" s="37">
        <f t="shared" si="15"/>
        <v>15111217</v>
      </c>
      <c r="BG16" s="37">
        <f t="shared" si="15"/>
        <v>11861000</v>
      </c>
      <c r="BH16" s="37">
        <f t="shared" si="15"/>
        <v>13056500</v>
      </c>
      <c r="BI16" s="144">
        <f>SUM(BI5:BI15)</f>
        <v>18649078</v>
      </c>
      <c r="BJ16" s="37">
        <f t="shared" ref="BJ16" si="22">SUM(BJ5:BJ15)</f>
        <v>17598223</v>
      </c>
      <c r="BK16" s="37">
        <f t="shared" si="15"/>
        <v>90208730</v>
      </c>
    </row>
    <row r="17" spans="1:63">
      <c r="A17" s="185" t="s">
        <v>35</v>
      </c>
      <c r="B17" s="8">
        <v>1</v>
      </c>
      <c r="C17" s="1" t="s">
        <v>457</v>
      </c>
      <c r="D17" s="4" t="s">
        <v>458</v>
      </c>
      <c r="E17" s="4" t="s">
        <v>35</v>
      </c>
      <c r="F17" s="4"/>
      <c r="G17" s="4"/>
      <c r="H17" s="4"/>
      <c r="I17" s="4"/>
      <c r="J17" s="4"/>
      <c r="K17" s="4"/>
      <c r="L17" s="4"/>
      <c r="M17" s="9">
        <f t="shared" ref="M17:M20" si="23">SUM(F17:L17)</f>
        <v>0</v>
      </c>
      <c r="N17" s="4"/>
      <c r="O17" s="4"/>
      <c r="P17" s="4"/>
      <c r="Q17" s="4"/>
      <c r="R17" s="4"/>
      <c r="S17" s="4"/>
      <c r="T17" s="4"/>
      <c r="U17" s="9">
        <f t="shared" ref="U17:U20" si="24">SUM(N17:T17)</f>
        <v>0</v>
      </c>
      <c r="V17" s="4"/>
      <c r="W17" s="4"/>
      <c r="X17" s="4"/>
      <c r="Y17" s="4"/>
      <c r="Z17" s="4"/>
      <c r="AA17" s="4">
        <v>190000</v>
      </c>
      <c r="AB17" s="4"/>
      <c r="AC17" s="9">
        <f t="shared" ref="AC17:AC20" si="25">SUM(V17:AB17)</f>
        <v>190000</v>
      </c>
      <c r="AD17" s="4"/>
      <c r="AE17" s="4"/>
      <c r="AF17" s="4"/>
      <c r="AG17" s="4"/>
      <c r="AH17" s="20"/>
      <c r="AI17" s="20"/>
      <c r="AJ17" s="20"/>
      <c r="AK17" s="21">
        <f t="shared" ref="AK17:AK20" si="26">SUM(AD17:AJ17)</f>
        <v>0</v>
      </c>
      <c r="AL17" s="10"/>
      <c r="AM17" s="20"/>
      <c r="AN17" s="20"/>
      <c r="AO17" s="20"/>
      <c r="AP17" s="21">
        <f t="shared" ref="AP17:AP20" si="27">SUM(AL17:AO17)</f>
        <v>0</v>
      </c>
      <c r="AQ17" s="10"/>
      <c r="AR17" s="20"/>
      <c r="AS17" s="20"/>
      <c r="AT17" s="20"/>
      <c r="AU17" s="21">
        <f t="shared" ref="AU17:AU20" si="28">SUM(AQ17:AT17)</f>
        <v>0</v>
      </c>
      <c r="AV17" s="10"/>
      <c r="AW17" s="10"/>
      <c r="AX17" s="10"/>
      <c r="AY17" s="10"/>
      <c r="AZ17" s="20"/>
      <c r="BA17" s="20"/>
      <c r="BB17" s="20"/>
      <c r="BC17" s="21">
        <f t="shared" ref="BC17:BC20" si="29">SUM(AV17:BB17)</f>
        <v>0</v>
      </c>
      <c r="BD17" s="4">
        <f t="shared" ref="BD17:BF20" si="30">F17+N17+V17+AD17+AV17</f>
        <v>0</v>
      </c>
      <c r="BE17" s="4">
        <f t="shared" si="30"/>
        <v>0</v>
      </c>
      <c r="BF17" s="4">
        <f t="shared" si="30"/>
        <v>0</v>
      </c>
      <c r="BG17" s="4">
        <f t="shared" ref="BG17:BJ20" si="31">I17+Q17+Y17+AG17+AL17+AQ17+AY17</f>
        <v>0</v>
      </c>
      <c r="BH17" s="94">
        <f t="shared" si="31"/>
        <v>0</v>
      </c>
      <c r="BI17" s="94">
        <f t="shared" si="31"/>
        <v>190000</v>
      </c>
      <c r="BJ17" s="94">
        <f t="shared" si="31"/>
        <v>0</v>
      </c>
      <c r="BK17" s="9">
        <f t="shared" ref="BK17:BK20" si="32">SUM(BD17:BJ17)</f>
        <v>190000</v>
      </c>
    </row>
    <row r="18" spans="1:63">
      <c r="A18" s="186"/>
      <c r="B18" s="8">
        <v>1</v>
      </c>
      <c r="C18" s="1" t="s">
        <v>84</v>
      </c>
      <c r="D18" s="4" t="s">
        <v>85</v>
      </c>
      <c r="E18" s="4" t="s">
        <v>35</v>
      </c>
      <c r="F18" s="4"/>
      <c r="G18" s="4"/>
      <c r="H18" s="4">
        <v>155000</v>
      </c>
      <c r="I18" s="4">
        <v>533000</v>
      </c>
      <c r="J18" s="4">
        <f>140000+105000+105000+70000</f>
        <v>420000</v>
      </c>
      <c r="K18" s="4">
        <f>454100+96000+47000</f>
        <v>597100</v>
      </c>
      <c r="L18" s="4">
        <v>547500</v>
      </c>
      <c r="M18" s="9">
        <f t="shared" si="23"/>
        <v>2252600</v>
      </c>
      <c r="N18" s="4"/>
      <c r="O18" s="4"/>
      <c r="P18" s="4"/>
      <c r="Q18" s="4"/>
      <c r="R18" s="4"/>
      <c r="S18" s="4"/>
      <c r="T18" s="4"/>
      <c r="U18" s="9">
        <f t="shared" si="24"/>
        <v>0</v>
      </c>
      <c r="V18" s="4"/>
      <c r="W18" s="4"/>
      <c r="X18" s="4"/>
      <c r="Y18" s="4"/>
      <c r="Z18" s="4"/>
      <c r="AA18" s="4"/>
      <c r="AB18" s="4"/>
      <c r="AC18" s="9">
        <f t="shared" si="25"/>
        <v>0</v>
      </c>
      <c r="AD18" s="4"/>
      <c r="AE18" s="4"/>
      <c r="AF18" s="4"/>
      <c r="AG18" s="4"/>
      <c r="AH18" s="20"/>
      <c r="AI18" s="20"/>
      <c r="AJ18" s="20"/>
      <c r="AK18" s="21">
        <f t="shared" si="26"/>
        <v>0</v>
      </c>
      <c r="AL18" s="10"/>
      <c r="AM18" s="20"/>
      <c r="AN18" s="20"/>
      <c r="AO18" s="20"/>
      <c r="AP18" s="21">
        <f t="shared" si="27"/>
        <v>0</v>
      </c>
      <c r="AQ18" s="10"/>
      <c r="AR18" s="20"/>
      <c r="AS18" s="20"/>
      <c r="AT18" s="20"/>
      <c r="AU18" s="21">
        <f t="shared" si="28"/>
        <v>0</v>
      </c>
      <c r="AV18" s="10"/>
      <c r="AW18" s="10"/>
      <c r="AX18" s="10"/>
      <c r="AY18" s="10"/>
      <c r="AZ18" s="20"/>
      <c r="BA18" s="20"/>
      <c r="BB18" s="20"/>
      <c r="BC18" s="21">
        <f t="shared" si="29"/>
        <v>0</v>
      </c>
      <c r="BD18" s="4">
        <f t="shared" si="30"/>
        <v>0</v>
      </c>
      <c r="BE18" s="4">
        <f t="shared" si="30"/>
        <v>0</v>
      </c>
      <c r="BF18" s="4">
        <f t="shared" si="30"/>
        <v>155000</v>
      </c>
      <c r="BG18" s="4">
        <f t="shared" si="31"/>
        <v>533000</v>
      </c>
      <c r="BH18" s="94">
        <f t="shared" si="31"/>
        <v>420000</v>
      </c>
      <c r="BI18" s="94">
        <f t="shared" si="31"/>
        <v>597100</v>
      </c>
      <c r="BJ18" s="94">
        <f t="shared" si="31"/>
        <v>547500</v>
      </c>
      <c r="BK18" s="9">
        <f t="shared" si="32"/>
        <v>2252600</v>
      </c>
    </row>
    <row r="19" spans="1:63">
      <c r="A19" s="186"/>
      <c r="B19" s="8">
        <v>2</v>
      </c>
      <c r="C19" s="100" t="s">
        <v>446</v>
      </c>
      <c r="D19" s="101" t="s">
        <v>447</v>
      </c>
      <c r="E19" s="101" t="s">
        <v>35</v>
      </c>
      <c r="F19" s="4"/>
      <c r="G19" s="4"/>
      <c r="H19" s="4"/>
      <c r="I19" s="4"/>
      <c r="J19" s="4">
        <v>155000</v>
      </c>
      <c r="K19" s="4">
        <v>309000</v>
      </c>
      <c r="L19" s="4">
        <v>646800</v>
      </c>
      <c r="M19" s="9">
        <f t="shared" si="23"/>
        <v>1110800</v>
      </c>
      <c r="N19" s="4"/>
      <c r="O19" s="4"/>
      <c r="P19" s="4"/>
      <c r="Q19" s="4"/>
      <c r="R19" s="4"/>
      <c r="S19" s="4"/>
      <c r="T19" s="4"/>
      <c r="U19" s="9">
        <f t="shared" si="24"/>
        <v>0</v>
      </c>
      <c r="V19" s="4"/>
      <c r="W19" s="4"/>
      <c r="X19" s="4"/>
      <c r="Y19" s="4"/>
      <c r="Z19" s="4"/>
      <c r="AA19" s="4"/>
      <c r="AB19" s="4"/>
      <c r="AC19" s="9">
        <f t="shared" si="25"/>
        <v>0</v>
      </c>
      <c r="AD19" s="4"/>
      <c r="AE19" s="4"/>
      <c r="AF19" s="4"/>
      <c r="AG19" s="4"/>
      <c r="AH19" s="20"/>
      <c r="AI19" s="20"/>
      <c r="AJ19" s="20"/>
      <c r="AK19" s="21">
        <f t="shared" si="26"/>
        <v>0</v>
      </c>
      <c r="AL19" s="10"/>
      <c r="AM19" s="20"/>
      <c r="AN19" s="20"/>
      <c r="AO19" s="20"/>
      <c r="AP19" s="21">
        <f t="shared" si="27"/>
        <v>0</v>
      </c>
      <c r="AQ19" s="10"/>
      <c r="AR19" s="20"/>
      <c r="AS19" s="20"/>
      <c r="AT19" s="20"/>
      <c r="AU19" s="21">
        <f t="shared" si="28"/>
        <v>0</v>
      </c>
      <c r="AV19" s="10"/>
      <c r="AW19" s="10"/>
      <c r="AX19" s="10"/>
      <c r="AY19" s="10"/>
      <c r="AZ19" s="20"/>
      <c r="BA19" s="20"/>
      <c r="BB19" s="20"/>
      <c r="BC19" s="21">
        <f t="shared" si="29"/>
        <v>0</v>
      </c>
      <c r="BD19" s="4">
        <f t="shared" si="30"/>
        <v>0</v>
      </c>
      <c r="BE19" s="4">
        <f t="shared" si="30"/>
        <v>0</v>
      </c>
      <c r="BF19" s="4">
        <f t="shared" si="30"/>
        <v>0</v>
      </c>
      <c r="BG19" s="4">
        <f t="shared" si="31"/>
        <v>0</v>
      </c>
      <c r="BH19" s="94">
        <f t="shared" si="31"/>
        <v>155000</v>
      </c>
      <c r="BI19" s="94">
        <f t="shared" si="31"/>
        <v>309000</v>
      </c>
      <c r="BJ19" s="94">
        <f t="shared" si="31"/>
        <v>646800</v>
      </c>
      <c r="BK19" s="9">
        <f t="shared" si="32"/>
        <v>1110800</v>
      </c>
    </row>
    <row r="20" spans="1:63">
      <c r="A20" s="187"/>
      <c r="B20" s="8">
        <v>3</v>
      </c>
      <c r="C20" s="1" t="s">
        <v>7</v>
      </c>
      <c r="D20" s="4" t="s">
        <v>40</v>
      </c>
      <c r="E20" s="4" t="s">
        <v>35</v>
      </c>
      <c r="F20" s="4">
        <v>155000</v>
      </c>
      <c r="G20" s="4"/>
      <c r="H20" s="4">
        <f>418500+93000+46500</f>
        <v>558000</v>
      </c>
      <c r="I20" s="4">
        <v>417000</v>
      </c>
      <c r="J20" s="4">
        <f>102000+98000+98500+106500+36000</f>
        <v>441000</v>
      </c>
      <c r="K20" s="4">
        <f>533300+99000+49500</f>
        <v>681800</v>
      </c>
      <c r="L20" s="4">
        <v>247500</v>
      </c>
      <c r="M20" s="9">
        <f t="shared" si="23"/>
        <v>2500300</v>
      </c>
      <c r="N20" s="4"/>
      <c r="O20" s="4"/>
      <c r="P20" s="4"/>
      <c r="Q20" s="4"/>
      <c r="R20" s="4"/>
      <c r="S20" s="4"/>
      <c r="T20" s="4"/>
      <c r="U20" s="9">
        <f t="shared" si="24"/>
        <v>0</v>
      </c>
      <c r="V20" s="4">
        <v>290000</v>
      </c>
      <c r="W20" s="4"/>
      <c r="X20" s="4"/>
      <c r="Y20" s="4">
        <v>800000</v>
      </c>
      <c r="Z20" s="4"/>
      <c r="AA20" s="4"/>
      <c r="AB20" s="4"/>
      <c r="AC20" s="9">
        <f t="shared" si="25"/>
        <v>1090000</v>
      </c>
      <c r="AD20" s="4"/>
      <c r="AE20" s="4"/>
      <c r="AF20" s="4"/>
      <c r="AG20" s="4"/>
      <c r="AH20" s="20"/>
      <c r="AI20" s="20"/>
      <c r="AJ20" s="20"/>
      <c r="AK20" s="21">
        <f t="shared" si="26"/>
        <v>0</v>
      </c>
      <c r="AL20" s="10"/>
      <c r="AM20" s="20"/>
      <c r="AN20" s="20"/>
      <c r="AO20" s="20"/>
      <c r="AP20" s="21">
        <f t="shared" si="27"/>
        <v>0</v>
      </c>
      <c r="AQ20" s="10"/>
      <c r="AR20" s="20"/>
      <c r="AS20" s="20"/>
      <c r="AT20" s="20"/>
      <c r="AU20" s="21">
        <f t="shared" si="28"/>
        <v>0</v>
      </c>
      <c r="AV20" s="10"/>
      <c r="AW20" s="10"/>
      <c r="AX20" s="10"/>
      <c r="AY20" s="10"/>
      <c r="AZ20" s="20"/>
      <c r="BA20" s="20"/>
      <c r="BB20" s="20"/>
      <c r="BC20" s="21">
        <f t="shared" si="29"/>
        <v>0</v>
      </c>
      <c r="BD20" s="4">
        <f t="shared" si="30"/>
        <v>445000</v>
      </c>
      <c r="BE20" s="4">
        <f t="shared" si="30"/>
        <v>0</v>
      </c>
      <c r="BF20" s="4">
        <f t="shared" si="30"/>
        <v>558000</v>
      </c>
      <c r="BG20" s="4">
        <f t="shared" si="31"/>
        <v>1217000</v>
      </c>
      <c r="BH20" s="94">
        <f t="shared" si="31"/>
        <v>441000</v>
      </c>
      <c r="BI20" s="94">
        <f t="shared" si="31"/>
        <v>681800</v>
      </c>
      <c r="BJ20" s="94">
        <f t="shared" si="31"/>
        <v>247500</v>
      </c>
      <c r="BK20" s="9">
        <f t="shared" si="32"/>
        <v>3590300</v>
      </c>
    </row>
    <row r="21" spans="1:63" s="38" customFormat="1">
      <c r="A21" s="34"/>
      <c r="B21" s="34"/>
      <c r="C21" s="35" t="s">
        <v>86</v>
      </c>
      <c r="D21" s="36"/>
      <c r="E21" s="37"/>
      <c r="F21" s="37">
        <f>SUM(F17:F20)</f>
        <v>155000</v>
      </c>
      <c r="G21" s="37">
        <f t="shared" ref="G21:BK21" si="33">SUM(G17:G20)</f>
        <v>0</v>
      </c>
      <c r="H21" s="37">
        <f t="shared" si="33"/>
        <v>713000</v>
      </c>
      <c r="I21" s="37">
        <f t="shared" si="33"/>
        <v>950000</v>
      </c>
      <c r="J21" s="37">
        <f t="shared" si="33"/>
        <v>1016000</v>
      </c>
      <c r="K21" s="37">
        <f t="shared" si="33"/>
        <v>1587900</v>
      </c>
      <c r="L21" s="37">
        <f t="shared" ref="L21" si="34">SUM(L17:L20)</f>
        <v>1441800</v>
      </c>
      <c r="M21" s="37">
        <f t="shared" si="33"/>
        <v>5863700</v>
      </c>
      <c r="N21" s="37">
        <f t="shared" si="33"/>
        <v>0</v>
      </c>
      <c r="O21" s="37">
        <f t="shared" si="33"/>
        <v>0</v>
      </c>
      <c r="P21" s="37">
        <f t="shared" si="33"/>
        <v>0</v>
      </c>
      <c r="Q21" s="37">
        <f t="shared" si="33"/>
        <v>0</v>
      </c>
      <c r="R21" s="37">
        <f t="shared" si="33"/>
        <v>0</v>
      </c>
      <c r="S21" s="37">
        <f t="shared" si="33"/>
        <v>0</v>
      </c>
      <c r="T21" s="37">
        <f t="shared" ref="T21" si="35">SUM(T17:T20)</f>
        <v>0</v>
      </c>
      <c r="U21" s="37">
        <f t="shared" si="33"/>
        <v>0</v>
      </c>
      <c r="V21" s="37">
        <f t="shared" si="33"/>
        <v>290000</v>
      </c>
      <c r="W21" s="37">
        <f t="shared" si="33"/>
        <v>0</v>
      </c>
      <c r="X21" s="37">
        <f t="shared" si="33"/>
        <v>0</v>
      </c>
      <c r="Y21" s="37">
        <f t="shared" si="33"/>
        <v>800000</v>
      </c>
      <c r="Z21" s="37">
        <f t="shared" si="33"/>
        <v>0</v>
      </c>
      <c r="AA21" s="37">
        <f t="shared" si="33"/>
        <v>190000</v>
      </c>
      <c r="AB21" s="37">
        <f t="shared" ref="AB21" si="36">SUM(AB17:AB20)</f>
        <v>0</v>
      </c>
      <c r="AC21" s="37">
        <f t="shared" si="33"/>
        <v>1280000</v>
      </c>
      <c r="AD21" s="37">
        <f t="shared" si="33"/>
        <v>0</v>
      </c>
      <c r="AE21" s="37">
        <f t="shared" si="33"/>
        <v>0</v>
      </c>
      <c r="AF21" s="37">
        <f t="shared" si="33"/>
        <v>0</v>
      </c>
      <c r="AG21" s="37">
        <f t="shared" si="33"/>
        <v>0</v>
      </c>
      <c r="AH21" s="37">
        <f t="shared" si="33"/>
        <v>0</v>
      </c>
      <c r="AI21" s="37">
        <f t="shared" si="33"/>
        <v>0</v>
      </c>
      <c r="AJ21" s="37">
        <f t="shared" ref="AJ21" si="37">SUM(AJ17:AJ20)</f>
        <v>0</v>
      </c>
      <c r="AK21" s="37">
        <f t="shared" si="33"/>
        <v>0</v>
      </c>
      <c r="AL21" s="37">
        <f t="shared" si="33"/>
        <v>0</v>
      </c>
      <c r="AM21" s="37">
        <f t="shared" si="33"/>
        <v>0</v>
      </c>
      <c r="AN21" s="37">
        <f>SUM(AN17:AN20)</f>
        <v>0</v>
      </c>
      <c r="AO21" s="37">
        <f>SUM(AO17:AO20)</f>
        <v>0</v>
      </c>
      <c r="AP21" s="37">
        <f>SUM(AP17:AP20)</f>
        <v>0</v>
      </c>
      <c r="AQ21" s="37">
        <f t="shared" si="33"/>
        <v>0</v>
      </c>
      <c r="AR21" s="37">
        <f t="shared" si="33"/>
        <v>0</v>
      </c>
      <c r="AS21" s="37">
        <f t="shared" si="33"/>
        <v>0</v>
      </c>
      <c r="AT21" s="37">
        <f t="shared" ref="AT21" si="38">SUM(AT17:AT20)</f>
        <v>0</v>
      </c>
      <c r="AU21" s="37">
        <f t="shared" si="33"/>
        <v>0</v>
      </c>
      <c r="AV21" s="37">
        <f t="shared" si="33"/>
        <v>0</v>
      </c>
      <c r="AW21" s="37">
        <f t="shared" si="33"/>
        <v>0</v>
      </c>
      <c r="AX21" s="37">
        <f t="shared" si="33"/>
        <v>0</v>
      </c>
      <c r="AY21" s="37">
        <f t="shared" si="33"/>
        <v>0</v>
      </c>
      <c r="AZ21" s="37">
        <f t="shared" si="33"/>
        <v>0</v>
      </c>
      <c r="BA21" s="37">
        <f t="shared" si="33"/>
        <v>0</v>
      </c>
      <c r="BB21" s="37">
        <f t="shared" ref="BB21" si="39">SUM(BB17:BB20)</f>
        <v>0</v>
      </c>
      <c r="BC21" s="37">
        <f t="shared" si="33"/>
        <v>0</v>
      </c>
      <c r="BD21" s="37">
        <f t="shared" si="33"/>
        <v>445000</v>
      </c>
      <c r="BE21" s="37">
        <f t="shared" si="33"/>
        <v>0</v>
      </c>
      <c r="BF21" s="37">
        <f t="shared" si="33"/>
        <v>713000</v>
      </c>
      <c r="BG21" s="37">
        <f t="shared" si="33"/>
        <v>1750000</v>
      </c>
      <c r="BH21" s="37">
        <f t="shared" si="33"/>
        <v>1016000</v>
      </c>
      <c r="BI21" s="144">
        <f>SUM(BI17:BI20)</f>
        <v>1777900</v>
      </c>
      <c r="BJ21" s="37">
        <f t="shared" ref="BJ21" si="40">SUM(BJ17:BJ20)</f>
        <v>1441800</v>
      </c>
      <c r="BK21" s="37">
        <f t="shared" si="33"/>
        <v>7143700</v>
      </c>
    </row>
    <row r="22" spans="1:63" ht="31.5">
      <c r="A22" s="185" t="s">
        <v>18</v>
      </c>
      <c r="B22" s="8">
        <v>1</v>
      </c>
      <c r="C22" s="1" t="s">
        <v>87</v>
      </c>
      <c r="D22" s="4" t="s">
        <v>88</v>
      </c>
      <c r="E22" s="4" t="s">
        <v>18</v>
      </c>
      <c r="F22" s="4"/>
      <c r="G22" s="4"/>
      <c r="H22" s="4">
        <v>155000</v>
      </c>
      <c r="I22" s="4">
        <f>100000+40000</f>
        <v>140000</v>
      </c>
      <c r="J22" s="4"/>
      <c r="K22" s="4"/>
      <c r="L22" s="4"/>
      <c r="M22" s="9">
        <f t="shared" ref="M22:M26" si="41">SUM(F22:L22)</f>
        <v>295000</v>
      </c>
      <c r="N22" s="4"/>
      <c r="O22" s="4"/>
      <c r="P22" s="4"/>
      <c r="Q22" s="4"/>
      <c r="R22" s="4"/>
      <c r="S22" s="4"/>
      <c r="T22" s="4"/>
      <c r="U22" s="9">
        <f t="shared" ref="U22:U26" si="42">SUM(N22:T22)</f>
        <v>0</v>
      </c>
      <c r="V22" s="4"/>
      <c r="W22" s="4"/>
      <c r="X22" s="4"/>
      <c r="Y22" s="4"/>
      <c r="Z22" s="4"/>
      <c r="AA22" s="4"/>
      <c r="AB22" s="4"/>
      <c r="AC22" s="9">
        <f t="shared" ref="AC22:AC26" si="43">SUM(V22:AB22)</f>
        <v>0</v>
      </c>
      <c r="AD22" s="4"/>
      <c r="AE22" s="4"/>
      <c r="AF22" s="10">
        <v>259750</v>
      </c>
      <c r="AG22" s="27">
        <v>172000</v>
      </c>
      <c r="AH22" s="20"/>
      <c r="AI22" s="20"/>
      <c r="AJ22" s="20"/>
      <c r="AK22" s="21">
        <f t="shared" ref="AK22:AK26" si="44">SUM(AD22:AJ22)</f>
        <v>431750</v>
      </c>
      <c r="AL22" s="10">
        <v>945000</v>
      </c>
      <c r="AM22" s="20">
        <f>315000+315000+315000+210000</f>
        <v>1155000</v>
      </c>
      <c r="AN22" s="20">
        <f>1698000+309000+156000</f>
        <v>2163000</v>
      </c>
      <c r="AO22" s="20">
        <v>1872000</v>
      </c>
      <c r="AP22" s="21">
        <f t="shared" ref="AP22:AP26" si="45">SUM(AL22:AO22)</f>
        <v>6135000</v>
      </c>
      <c r="AQ22" s="10"/>
      <c r="AR22" s="20"/>
      <c r="AS22" s="20"/>
      <c r="AT22" s="20"/>
      <c r="AU22" s="21">
        <f t="shared" ref="AU22:AU26" si="46">SUM(AQ22:AT22)</f>
        <v>0</v>
      </c>
      <c r="AV22" s="10"/>
      <c r="AW22" s="10"/>
      <c r="AX22" s="10">
        <v>376000</v>
      </c>
      <c r="AY22" s="10"/>
      <c r="AZ22" s="20"/>
      <c r="BA22" s="20"/>
      <c r="BB22" s="20"/>
      <c r="BC22" s="21">
        <f t="shared" ref="BC22:BC26" si="47">SUM(AV22:BB22)</f>
        <v>376000</v>
      </c>
      <c r="BD22" s="4">
        <f t="shared" ref="BD22:BF26" si="48">F22+N22+V22+AD22+AV22</f>
        <v>0</v>
      </c>
      <c r="BE22" s="4">
        <f t="shared" si="48"/>
        <v>0</v>
      </c>
      <c r="BF22" s="4">
        <f t="shared" si="48"/>
        <v>790750</v>
      </c>
      <c r="BG22" s="4">
        <f t="shared" ref="BG22:BJ26" si="49">I22+Q22+Y22+AG22+AL22+AQ22+AY22</f>
        <v>1257000</v>
      </c>
      <c r="BH22" s="94">
        <f t="shared" si="49"/>
        <v>1155000</v>
      </c>
      <c r="BI22" s="94">
        <f t="shared" si="49"/>
        <v>2163000</v>
      </c>
      <c r="BJ22" s="94">
        <f t="shared" si="49"/>
        <v>1872000</v>
      </c>
      <c r="BK22" s="9">
        <f t="shared" ref="BK22:BK26" si="50">SUM(BD22:BJ22)</f>
        <v>7237750</v>
      </c>
    </row>
    <row r="23" spans="1:63">
      <c r="A23" s="186"/>
      <c r="B23" s="8">
        <v>2</v>
      </c>
      <c r="C23" s="1" t="s">
        <v>89</v>
      </c>
      <c r="D23" s="4" t="s">
        <v>90</v>
      </c>
      <c r="E23" s="4" t="s">
        <v>18</v>
      </c>
      <c r="F23" s="4"/>
      <c r="G23" s="4"/>
      <c r="H23" s="4">
        <v>155000</v>
      </c>
      <c r="I23" s="4">
        <f>120000+20000</f>
        <v>140000</v>
      </c>
      <c r="J23" s="4"/>
      <c r="K23" s="4"/>
      <c r="L23" s="4"/>
      <c r="M23" s="9">
        <f t="shared" si="41"/>
        <v>295000</v>
      </c>
      <c r="N23" s="4"/>
      <c r="O23" s="4"/>
      <c r="P23" s="4"/>
      <c r="Q23" s="4"/>
      <c r="R23" s="4"/>
      <c r="S23" s="4"/>
      <c r="T23" s="4"/>
      <c r="U23" s="9">
        <f t="shared" si="42"/>
        <v>0</v>
      </c>
      <c r="V23" s="4"/>
      <c r="W23" s="4"/>
      <c r="X23" s="4"/>
      <c r="Y23" s="4"/>
      <c r="Z23" s="4"/>
      <c r="AA23" s="4"/>
      <c r="AB23" s="4"/>
      <c r="AC23" s="9">
        <f t="shared" si="43"/>
        <v>0</v>
      </c>
      <c r="AD23" s="4"/>
      <c r="AE23" s="4"/>
      <c r="AF23" s="10">
        <f>258750+140000</f>
        <v>398750</v>
      </c>
      <c r="AG23" s="27">
        <v>30000</v>
      </c>
      <c r="AH23" s="20"/>
      <c r="AI23" s="20"/>
      <c r="AJ23" s="20"/>
      <c r="AK23" s="21">
        <f t="shared" si="44"/>
        <v>428750</v>
      </c>
      <c r="AL23" s="10">
        <v>945000</v>
      </c>
      <c r="AM23" s="20">
        <f>315000+313500+315000+315000+210000</f>
        <v>1468500</v>
      </c>
      <c r="AN23" s="20">
        <f>1405000+312000+156000</f>
        <v>1873000</v>
      </c>
      <c r="AO23" s="20">
        <v>1872000</v>
      </c>
      <c r="AP23" s="21">
        <f t="shared" si="45"/>
        <v>6158500</v>
      </c>
      <c r="AQ23" s="10"/>
      <c r="AR23" s="20"/>
      <c r="AS23" s="20"/>
      <c r="AT23" s="20"/>
      <c r="AU23" s="21">
        <f t="shared" si="46"/>
        <v>0</v>
      </c>
      <c r="AV23" s="10"/>
      <c r="AW23" s="10"/>
      <c r="AX23" s="10">
        <v>376000</v>
      </c>
      <c r="AY23" s="10"/>
      <c r="AZ23" s="20"/>
      <c r="BA23" s="20"/>
      <c r="BB23" s="20"/>
      <c r="BC23" s="21">
        <f t="shared" si="47"/>
        <v>376000</v>
      </c>
      <c r="BD23" s="4">
        <f t="shared" si="48"/>
        <v>0</v>
      </c>
      <c r="BE23" s="4">
        <f t="shared" si="48"/>
        <v>0</v>
      </c>
      <c r="BF23" s="4">
        <f t="shared" si="48"/>
        <v>929750</v>
      </c>
      <c r="BG23" s="4">
        <f t="shared" si="49"/>
        <v>1115000</v>
      </c>
      <c r="BH23" s="94">
        <f t="shared" si="49"/>
        <v>1468500</v>
      </c>
      <c r="BI23" s="94">
        <f t="shared" si="49"/>
        <v>1873000</v>
      </c>
      <c r="BJ23" s="94">
        <f t="shared" si="49"/>
        <v>1872000</v>
      </c>
      <c r="BK23" s="9">
        <f t="shared" si="50"/>
        <v>7258250</v>
      </c>
    </row>
    <row r="24" spans="1:63" ht="31.5">
      <c r="A24" s="186"/>
      <c r="B24" s="8">
        <v>3</v>
      </c>
      <c r="C24" s="1" t="s">
        <v>91</v>
      </c>
      <c r="D24" s="4" t="s">
        <v>92</v>
      </c>
      <c r="E24" s="4" t="s">
        <v>18</v>
      </c>
      <c r="F24" s="4"/>
      <c r="G24" s="4">
        <v>155000</v>
      </c>
      <c r="H24" s="4">
        <f>462000+77000+286000+330000+110000+40000</f>
        <v>1305000</v>
      </c>
      <c r="I24" s="4">
        <v>685500</v>
      </c>
      <c r="J24" s="4">
        <f>210000+210000</f>
        <v>420000</v>
      </c>
      <c r="K24" s="4"/>
      <c r="L24" s="4">
        <v>312500</v>
      </c>
      <c r="M24" s="9">
        <f t="shared" si="41"/>
        <v>2878000</v>
      </c>
      <c r="N24" s="4"/>
      <c r="O24" s="4"/>
      <c r="P24" s="4"/>
      <c r="Q24" s="4"/>
      <c r="R24" s="4"/>
      <c r="S24" s="4"/>
      <c r="T24" s="4"/>
      <c r="U24" s="9">
        <f t="shared" si="42"/>
        <v>0</v>
      </c>
      <c r="V24" s="4"/>
      <c r="W24" s="4">
        <v>290000</v>
      </c>
      <c r="X24" s="4">
        <v>1516000</v>
      </c>
      <c r="Y24" s="11">
        <v>300000</v>
      </c>
      <c r="Z24" s="11"/>
      <c r="AA24" s="11"/>
      <c r="AB24" s="11"/>
      <c r="AC24" s="9">
        <f t="shared" si="43"/>
        <v>2106000</v>
      </c>
      <c r="AD24" s="4"/>
      <c r="AE24" s="4"/>
      <c r="AF24" s="4"/>
      <c r="AG24" s="4"/>
      <c r="AH24" s="20"/>
      <c r="AI24" s="20"/>
      <c r="AJ24" s="20"/>
      <c r="AK24" s="21">
        <f t="shared" si="44"/>
        <v>0</v>
      </c>
      <c r="AL24" s="10"/>
      <c r="AM24" s="20"/>
      <c r="AN24" s="20"/>
      <c r="AO24" s="20"/>
      <c r="AP24" s="21">
        <f t="shared" si="45"/>
        <v>0</v>
      </c>
      <c r="AQ24" s="10"/>
      <c r="AR24" s="20"/>
      <c r="AS24" s="20"/>
      <c r="AT24" s="20"/>
      <c r="AU24" s="21">
        <f t="shared" si="46"/>
        <v>0</v>
      </c>
      <c r="AV24" s="10"/>
      <c r="AW24" s="10"/>
      <c r="AX24" s="10"/>
      <c r="AY24" s="10"/>
      <c r="AZ24" s="20"/>
      <c r="BA24" s="20"/>
      <c r="BB24" s="20"/>
      <c r="BC24" s="21">
        <f t="shared" si="47"/>
        <v>0</v>
      </c>
      <c r="BD24" s="4">
        <f t="shared" si="48"/>
        <v>0</v>
      </c>
      <c r="BE24" s="4">
        <f t="shared" si="48"/>
        <v>445000</v>
      </c>
      <c r="BF24" s="4">
        <f t="shared" si="48"/>
        <v>2821000</v>
      </c>
      <c r="BG24" s="4">
        <f t="shared" si="49"/>
        <v>985500</v>
      </c>
      <c r="BH24" s="94">
        <f t="shared" si="49"/>
        <v>420000</v>
      </c>
      <c r="BI24" s="94">
        <f t="shared" si="49"/>
        <v>0</v>
      </c>
      <c r="BJ24" s="94">
        <f t="shared" si="49"/>
        <v>312500</v>
      </c>
      <c r="BK24" s="9">
        <f t="shared" si="50"/>
        <v>4984000</v>
      </c>
    </row>
    <row r="25" spans="1:63">
      <c r="A25" s="186"/>
      <c r="B25" s="8">
        <v>4</v>
      </c>
      <c r="C25" s="1" t="s">
        <v>9</v>
      </c>
      <c r="D25" s="4" t="s">
        <v>42</v>
      </c>
      <c r="E25" s="4" t="s">
        <v>18</v>
      </c>
      <c r="F25" s="4"/>
      <c r="G25" s="4"/>
      <c r="H25" s="4"/>
      <c r="I25" s="4"/>
      <c r="J25" s="4"/>
      <c r="K25" s="4"/>
      <c r="L25" s="4"/>
      <c r="M25" s="9">
        <f t="shared" si="41"/>
        <v>0</v>
      </c>
      <c r="N25" s="4"/>
      <c r="O25" s="4"/>
      <c r="P25" s="4"/>
      <c r="Q25" s="4"/>
      <c r="R25" s="4"/>
      <c r="S25" s="4"/>
      <c r="T25" s="4"/>
      <c r="U25" s="9">
        <f t="shared" si="42"/>
        <v>0</v>
      </c>
      <c r="V25" s="4">
        <v>290000</v>
      </c>
      <c r="W25" s="70">
        <v>2093000</v>
      </c>
      <c r="X25" s="4">
        <v>1575000</v>
      </c>
      <c r="Y25" s="11"/>
      <c r="Z25" s="11"/>
      <c r="AA25" s="11"/>
      <c r="AB25" s="11"/>
      <c r="AC25" s="9">
        <f t="shared" si="43"/>
        <v>3958000</v>
      </c>
      <c r="AD25" s="4">
        <v>195000</v>
      </c>
      <c r="AE25" s="10">
        <v>1426450</v>
      </c>
      <c r="AF25" s="10">
        <v>1018500</v>
      </c>
      <c r="AG25" s="10">
        <v>950000</v>
      </c>
      <c r="AH25" s="20">
        <f>70000+210000</f>
        <v>280000</v>
      </c>
      <c r="AI25" s="20"/>
      <c r="AJ25" s="20">
        <v>2250400</v>
      </c>
      <c r="AK25" s="21">
        <f t="shared" si="44"/>
        <v>6120350</v>
      </c>
      <c r="AL25" s="10"/>
      <c r="AM25" s="20"/>
      <c r="AN25" s="20"/>
      <c r="AO25" s="20"/>
      <c r="AP25" s="21">
        <f t="shared" si="45"/>
        <v>0</v>
      </c>
      <c r="AQ25" s="10"/>
      <c r="AR25" s="20"/>
      <c r="AS25" s="20"/>
      <c r="AT25" s="20"/>
      <c r="AU25" s="21">
        <f t="shared" si="46"/>
        <v>0</v>
      </c>
      <c r="AV25" s="10"/>
      <c r="AW25" s="10">
        <v>100000</v>
      </c>
      <c r="AX25" s="10">
        <v>522000</v>
      </c>
      <c r="AY25" s="10"/>
      <c r="AZ25" s="20"/>
      <c r="BA25" s="20"/>
      <c r="BB25" s="20"/>
      <c r="BC25" s="21">
        <f t="shared" si="47"/>
        <v>622000</v>
      </c>
      <c r="BD25" s="4">
        <f t="shared" si="48"/>
        <v>485000</v>
      </c>
      <c r="BE25" s="4">
        <f t="shared" si="48"/>
        <v>3619450</v>
      </c>
      <c r="BF25" s="4">
        <f t="shared" si="48"/>
        <v>3115500</v>
      </c>
      <c r="BG25" s="4">
        <f t="shared" si="49"/>
        <v>950000</v>
      </c>
      <c r="BH25" s="94">
        <f t="shared" si="49"/>
        <v>280000</v>
      </c>
      <c r="BI25" s="94">
        <f t="shared" si="49"/>
        <v>0</v>
      </c>
      <c r="BJ25" s="94">
        <f t="shared" si="49"/>
        <v>2250400</v>
      </c>
      <c r="BK25" s="9">
        <f t="shared" si="50"/>
        <v>10700350</v>
      </c>
    </row>
    <row r="26" spans="1:63" ht="31.5">
      <c r="A26" s="187"/>
      <c r="B26" s="8">
        <v>5</v>
      </c>
      <c r="C26" s="1" t="s">
        <v>93</v>
      </c>
      <c r="D26" s="4" t="s">
        <v>94</v>
      </c>
      <c r="E26" s="4" t="s">
        <v>18</v>
      </c>
      <c r="F26" s="4">
        <v>155000</v>
      </c>
      <c r="G26" s="4">
        <v>207500</v>
      </c>
      <c r="H26" s="4">
        <v>379500</v>
      </c>
      <c r="I26" s="4"/>
      <c r="J26" s="4"/>
      <c r="K26" s="4"/>
      <c r="L26" s="4"/>
      <c r="M26" s="9">
        <f t="shared" si="41"/>
        <v>742000</v>
      </c>
      <c r="N26" s="4"/>
      <c r="O26" s="4"/>
      <c r="P26" s="4"/>
      <c r="Q26" s="4"/>
      <c r="R26" s="4"/>
      <c r="S26" s="4"/>
      <c r="T26" s="4"/>
      <c r="U26" s="9">
        <f t="shared" si="42"/>
        <v>0</v>
      </c>
      <c r="V26" s="4"/>
      <c r="W26" s="4"/>
      <c r="X26" s="4"/>
      <c r="Y26" s="4"/>
      <c r="Z26" s="4"/>
      <c r="AA26" s="4"/>
      <c r="AB26" s="4"/>
      <c r="AC26" s="9">
        <f t="shared" si="43"/>
        <v>0</v>
      </c>
      <c r="AD26" s="4"/>
      <c r="AE26" s="10">
        <v>629500</v>
      </c>
      <c r="AF26" s="10">
        <v>436500</v>
      </c>
      <c r="AG26" s="10"/>
      <c r="AH26" s="20"/>
      <c r="AI26" s="20"/>
      <c r="AJ26" s="20"/>
      <c r="AK26" s="21">
        <f t="shared" si="44"/>
        <v>1066000</v>
      </c>
      <c r="AL26" s="10"/>
      <c r="AM26" s="20"/>
      <c r="AN26" s="20"/>
      <c r="AO26" s="20">
        <v>1846200</v>
      </c>
      <c r="AP26" s="21">
        <f t="shared" si="45"/>
        <v>1846200</v>
      </c>
      <c r="AQ26" s="10"/>
      <c r="AR26" s="20"/>
      <c r="AS26" s="20"/>
      <c r="AT26" s="20"/>
      <c r="AU26" s="21">
        <f t="shared" si="46"/>
        <v>0</v>
      </c>
      <c r="AV26" s="10"/>
      <c r="AW26" s="10"/>
      <c r="AX26" s="10"/>
      <c r="AY26" s="10"/>
      <c r="AZ26" s="20"/>
      <c r="BA26" s="20"/>
      <c r="BB26" s="20"/>
      <c r="BC26" s="21">
        <f t="shared" si="47"/>
        <v>0</v>
      </c>
      <c r="BD26" s="4">
        <f t="shared" si="48"/>
        <v>155000</v>
      </c>
      <c r="BE26" s="4">
        <f t="shared" si="48"/>
        <v>837000</v>
      </c>
      <c r="BF26" s="4">
        <f t="shared" si="48"/>
        <v>816000</v>
      </c>
      <c r="BG26" s="4">
        <f t="shared" si="49"/>
        <v>0</v>
      </c>
      <c r="BH26" s="94">
        <f t="shared" si="49"/>
        <v>0</v>
      </c>
      <c r="BI26" s="94">
        <f t="shared" si="49"/>
        <v>0</v>
      </c>
      <c r="BJ26" s="94">
        <f t="shared" si="49"/>
        <v>1846200</v>
      </c>
      <c r="BK26" s="9">
        <f t="shared" si="50"/>
        <v>3654200</v>
      </c>
    </row>
    <row r="27" spans="1:63" s="38" customFormat="1">
      <c r="A27" s="34"/>
      <c r="B27" s="34"/>
      <c r="C27" s="35" t="s">
        <v>95</v>
      </c>
      <c r="D27" s="37"/>
      <c r="E27" s="37"/>
      <c r="F27" s="37">
        <f>SUM(F22:F26)</f>
        <v>155000</v>
      </c>
      <c r="G27" s="37">
        <f t="shared" ref="G27:BK27" si="51">SUM(G22:G26)</f>
        <v>362500</v>
      </c>
      <c r="H27" s="37">
        <f t="shared" si="51"/>
        <v>1994500</v>
      </c>
      <c r="I27" s="37">
        <f t="shared" si="51"/>
        <v>965500</v>
      </c>
      <c r="J27" s="37">
        <f t="shared" si="51"/>
        <v>420000</v>
      </c>
      <c r="K27" s="37">
        <f t="shared" si="51"/>
        <v>0</v>
      </c>
      <c r="L27" s="37">
        <f t="shared" ref="L27" si="52">SUM(L22:L26)</f>
        <v>312500</v>
      </c>
      <c r="M27" s="37">
        <f t="shared" si="51"/>
        <v>4210000</v>
      </c>
      <c r="N27" s="37">
        <f t="shared" si="51"/>
        <v>0</v>
      </c>
      <c r="O27" s="37">
        <f t="shared" si="51"/>
        <v>0</v>
      </c>
      <c r="P27" s="37">
        <f t="shared" si="51"/>
        <v>0</v>
      </c>
      <c r="Q27" s="37">
        <f t="shared" si="51"/>
        <v>0</v>
      </c>
      <c r="R27" s="37">
        <f t="shared" si="51"/>
        <v>0</v>
      </c>
      <c r="S27" s="37">
        <f t="shared" si="51"/>
        <v>0</v>
      </c>
      <c r="T27" s="37">
        <f t="shared" ref="T27" si="53">SUM(T22:T26)</f>
        <v>0</v>
      </c>
      <c r="U27" s="37">
        <f t="shared" si="51"/>
        <v>0</v>
      </c>
      <c r="V27" s="37">
        <f t="shared" si="51"/>
        <v>290000</v>
      </c>
      <c r="W27" s="37">
        <f t="shared" si="51"/>
        <v>2383000</v>
      </c>
      <c r="X27" s="37">
        <f t="shared" si="51"/>
        <v>3091000</v>
      </c>
      <c r="Y27" s="37">
        <f t="shared" si="51"/>
        <v>300000</v>
      </c>
      <c r="Z27" s="37">
        <f t="shared" si="51"/>
        <v>0</v>
      </c>
      <c r="AA27" s="37">
        <f t="shared" si="51"/>
        <v>0</v>
      </c>
      <c r="AB27" s="37">
        <f t="shared" ref="AB27" si="54">SUM(AB22:AB26)</f>
        <v>0</v>
      </c>
      <c r="AC27" s="37">
        <f t="shared" si="51"/>
        <v>6064000</v>
      </c>
      <c r="AD27" s="37">
        <f t="shared" si="51"/>
        <v>195000</v>
      </c>
      <c r="AE27" s="37">
        <f t="shared" si="51"/>
        <v>2055950</v>
      </c>
      <c r="AF27" s="37">
        <f t="shared" si="51"/>
        <v>2113500</v>
      </c>
      <c r="AG27" s="37">
        <f t="shared" si="51"/>
        <v>1152000</v>
      </c>
      <c r="AH27" s="37">
        <f t="shared" si="51"/>
        <v>280000</v>
      </c>
      <c r="AI27" s="37">
        <f t="shared" si="51"/>
        <v>0</v>
      </c>
      <c r="AJ27" s="37">
        <f t="shared" ref="AJ27" si="55">SUM(AJ22:AJ26)</f>
        <v>2250400</v>
      </c>
      <c r="AK27" s="37">
        <f t="shared" si="51"/>
        <v>8046850</v>
      </c>
      <c r="AL27" s="37">
        <f t="shared" si="51"/>
        <v>1890000</v>
      </c>
      <c r="AM27" s="37">
        <f t="shared" si="51"/>
        <v>2623500</v>
      </c>
      <c r="AN27" s="37">
        <f>SUM(AN22:AN26)</f>
        <v>4036000</v>
      </c>
      <c r="AO27" s="37">
        <f>SUM(AO22:AO26)</f>
        <v>5590200</v>
      </c>
      <c r="AP27" s="37">
        <f>SUM(AP22:AP26)</f>
        <v>14139700</v>
      </c>
      <c r="AQ27" s="37">
        <f t="shared" si="51"/>
        <v>0</v>
      </c>
      <c r="AR27" s="37">
        <f t="shared" si="51"/>
        <v>0</v>
      </c>
      <c r="AS27" s="37">
        <f t="shared" si="51"/>
        <v>0</v>
      </c>
      <c r="AT27" s="37">
        <f t="shared" ref="AT27" si="56">SUM(AT22:AT26)</f>
        <v>0</v>
      </c>
      <c r="AU27" s="37">
        <f t="shared" si="51"/>
        <v>0</v>
      </c>
      <c r="AV27" s="37">
        <f t="shared" si="51"/>
        <v>0</v>
      </c>
      <c r="AW27" s="37">
        <f t="shared" si="51"/>
        <v>100000</v>
      </c>
      <c r="AX27" s="37">
        <f t="shared" si="51"/>
        <v>1274000</v>
      </c>
      <c r="AY27" s="37">
        <f t="shared" si="51"/>
        <v>0</v>
      </c>
      <c r="AZ27" s="37">
        <f t="shared" si="51"/>
        <v>0</v>
      </c>
      <c r="BA27" s="37">
        <f t="shared" si="51"/>
        <v>0</v>
      </c>
      <c r="BB27" s="37">
        <f t="shared" ref="BB27" si="57">SUM(BB22:BB26)</f>
        <v>0</v>
      </c>
      <c r="BC27" s="37">
        <f t="shared" si="51"/>
        <v>1374000</v>
      </c>
      <c r="BD27" s="37">
        <f t="shared" si="51"/>
        <v>640000</v>
      </c>
      <c r="BE27" s="37">
        <f t="shared" si="51"/>
        <v>4901450</v>
      </c>
      <c r="BF27" s="37">
        <f t="shared" si="51"/>
        <v>8473000</v>
      </c>
      <c r="BG27" s="37">
        <f t="shared" si="51"/>
        <v>4307500</v>
      </c>
      <c r="BH27" s="37">
        <f t="shared" si="51"/>
        <v>3323500</v>
      </c>
      <c r="BI27" s="144">
        <f>SUM(BI22:BI26)</f>
        <v>4036000</v>
      </c>
      <c r="BJ27" s="37">
        <f t="shared" ref="BJ27" si="58">SUM(BJ22:BJ26)</f>
        <v>8153100</v>
      </c>
      <c r="BK27" s="37">
        <f t="shared" si="51"/>
        <v>33834550</v>
      </c>
    </row>
    <row r="28" spans="1:63">
      <c r="A28" s="185" t="s">
        <v>96</v>
      </c>
      <c r="B28" s="8">
        <v>1</v>
      </c>
      <c r="C28" s="1" t="s">
        <v>97</v>
      </c>
      <c r="D28" s="4" t="s">
        <v>96</v>
      </c>
      <c r="E28" s="4" t="s">
        <v>98</v>
      </c>
      <c r="F28" s="4"/>
      <c r="G28" s="4">
        <v>155000</v>
      </c>
      <c r="H28" s="4">
        <v>-155000</v>
      </c>
      <c r="I28" s="4"/>
      <c r="J28" s="4"/>
      <c r="K28" s="4"/>
      <c r="L28" s="4">
        <v>155000</v>
      </c>
      <c r="M28" s="9">
        <f t="shared" ref="M28:M29" si="59">SUM(F28:L28)</f>
        <v>155000</v>
      </c>
      <c r="N28" s="4"/>
      <c r="O28" s="4"/>
      <c r="P28" s="4"/>
      <c r="Q28" s="4"/>
      <c r="R28" s="4"/>
      <c r="S28" s="4"/>
      <c r="T28" s="4"/>
      <c r="U28" s="9">
        <f t="shared" ref="U28:U29" si="60">SUM(N28:T28)</f>
        <v>0</v>
      </c>
      <c r="V28" s="4"/>
      <c r="W28" s="4"/>
      <c r="X28" s="4"/>
      <c r="Y28" s="4"/>
      <c r="Z28" s="4"/>
      <c r="AA28" s="4"/>
      <c r="AB28" s="4"/>
      <c r="AC28" s="9">
        <f t="shared" ref="AC28:AC29" si="61">SUM(V28:AB28)</f>
        <v>0</v>
      </c>
      <c r="AD28" s="4"/>
      <c r="AE28" s="4"/>
      <c r="AF28" s="4"/>
      <c r="AG28" s="4"/>
      <c r="AH28" s="20"/>
      <c r="AI28" s="20"/>
      <c r="AJ28" s="20"/>
      <c r="AK28" s="21">
        <f t="shared" ref="AK28:AK29" si="62">SUM(AD28:AJ28)</f>
        <v>0</v>
      </c>
      <c r="AL28" s="10"/>
      <c r="AM28" s="20"/>
      <c r="AN28" s="20"/>
      <c r="AO28" s="20"/>
      <c r="AP28" s="21">
        <f t="shared" ref="AP28:AP29" si="63">SUM(AL28:AO28)</f>
        <v>0</v>
      </c>
      <c r="AQ28" s="10"/>
      <c r="AR28" s="20"/>
      <c r="AS28" s="20"/>
      <c r="AT28" s="20"/>
      <c r="AU28" s="21">
        <f t="shared" ref="AU28:AU29" si="64">SUM(AQ28:AT28)</f>
        <v>0</v>
      </c>
      <c r="AV28" s="10"/>
      <c r="AW28" s="10"/>
      <c r="AX28" s="10"/>
      <c r="AY28" s="10"/>
      <c r="AZ28" s="20"/>
      <c r="BA28" s="20"/>
      <c r="BB28" s="20"/>
      <c r="BC28" s="21">
        <f t="shared" ref="BC28:BC29" si="65">SUM(AV28:BB28)</f>
        <v>0</v>
      </c>
      <c r="BD28" s="4">
        <f t="shared" ref="BD28:BF29" si="66">F28+N28+V28+AD28+AV28</f>
        <v>0</v>
      </c>
      <c r="BE28" s="4">
        <f t="shared" si="66"/>
        <v>155000</v>
      </c>
      <c r="BF28" s="4">
        <f t="shared" si="66"/>
        <v>-155000</v>
      </c>
      <c r="BG28" s="4">
        <f>I28+Q28+Y28+AG28+AL28+AQ28+AY28</f>
        <v>0</v>
      </c>
      <c r="BH28" s="94">
        <f>J28+R28+Z28+AH28+AM28+AR28+AZ28</f>
        <v>0</v>
      </c>
      <c r="BI28" s="94">
        <f t="shared" ref="BI28:BJ29" si="67">K28+S28+AA28+AI28+AN28+AS28+BA28</f>
        <v>0</v>
      </c>
      <c r="BJ28" s="94">
        <f t="shared" si="67"/>
        <v>155000</v>
      </c>
      <c r="BK28" s="9">
        <f t="shared" ref="BK28:BK29" si="68">SUM(BD28:BJ28)</f>
        <v>155000</v>
      </c>
    </row>
    <row r="29" spans="1:63" ht="30">
      <c r="A29" s="187"/>
      <c r="B29" s="8">
        <v>2</v>
      </c>
      <c r="C29" s="2" t="s">
        <v>99</v>
      </c>
      <c r="D29" s="4" t="s">
        <v>96</v>
      </c>
      <c r="E29" s="4" t="s">
        <v>98</v>
      </c>
      <c r="F29" s="4"/>
      <c r="G29" s="4"/>
      <c r="H29" s="5"/>
      <c r="I29" s="4"/>
      <c r="J29" s="4"/>
      <c r="K29" s="4"/>
      <c r="L29" s="4"/>
      <c r="M29" s="9">
        <f t="shared" si="59"/>
        <v>0</v>
      </c>
      <c r="N29" s="4"/>
      <c r="O29" s="4"/>
      <c r="P29" s="4"/>
      <c r="Q29" s="4"/>
      <c r="R29" s="4"/>
      <c r="S29" s="4"/>
      <c r="T29" s="4"/>
      <c r="U29" s="9">
        <f t="shared" si="60"/>
        <v>0</v>
      </c>
      <c r="V29" s="4"/>
      <c r="W29" s="4"/>
      <c r="X29" s="4"/>
      <c r="Y29" s="4"/>
      <c r="Z29" s="4"/>
      <c r="AA29" s="4"/>
      <c r="AB29" s="4"/>
      <c r="AC29" s="9">
        <f t="shared" si="61"/>
        <v>0</v>
      </c>
      <c r="AD29" s="4"/>
      <c r="AE29" s="4"/>
      <c r="AF29" s="4"/>
      <c r="AG29" s="4"/>
      <c r="AH29" s="20"/>
      <c r="AI29" s="20"/>
      <c r="AJ29" s="20"/>
      <c r="AK29" s="21">
        <f t="shared" si="62"/>
        <v>0</v>
      </c>
      <c r="AL29" s="10"/>
      <c r="AM29" s="20"/>
      <c r="AN29" s="20"/>
      <c r="AO29" s="20"/>
      <c r="AP29" s="21">
        <f t="shared" si="63"/>
        <v>0</v>
      </c>
      <c r="AQ29" s="10"/>
      <c r="AR29" s="20"/>
      <c r="AS29" s="20"/>
      <c r="AT29" s="20"/>
      <c r="AU29" s="21">
        <f t="shared" si="64"/>
        <v>0</v>
      </c>
      <c r="AV29" s="10"/>
      <c r="AW29" s="10"/>
      <c r="AX29" s="10">
        <v>100000</v>
      </c>
      <c r="AY29" s="10">
        <v>150000</v>
      </c>
      <c r="AZ29" s="20"/>
      <c r="BA29" s="20"/>
      <c r="BB29" s="20"/>
      <c r="BC29" s="21">
        <f t="shared" si="65"/>
        <v>250000</v>
      </c>
      <c r="BD29" s="4">
        <f t="shared" si="66"/>
        <v>0</v>
      </c>
      <c r="BE29" s="4">
        <f t="shared" si="66"/>
        <v>0</v>
      </c>
      <c r="BF29" s="4">
        <f t="shared" si="66"/>
        <v>100000</v>
      </c>
      <c r="BG29" s="4">
        <f>I29+Q29+Y29+AG29+AL29+AQ29+AY29</f>
        <v>150000</v>
      </c>
      <c r="BH29" s="94">
        <f>J29+R29+Z29+AH29+AM29+AR29+AZ29</f>
        <v>0</v>
      </c>
      <c r="BI29" s="94">
        <f t="shared" si="67"/>
        <v>0</v>
      </c>
      <c r="BJ29" s="94">
        <f t="shared" si="67"/>
        <v>0</v>
      </c>
      <c r="BK29" s="9">
        <f t="shared" si="68"/>
        <v>250000</v>
      </c>
    </row>
    <row r="30" spans="1:63" s="38" customFormat="1">
      <c r="A30" s="34"/>
      <c r="B30" s="34"/>
      <c r="C30" s="35" t="s">
        <v>100</v>
      </c>
      <c r="D30" s="37"/>
      <c r="E30" s="37"/>
      <c r="F30" s="37">
        <f>SUM(F28:F29)</f>
        <v>0</v>
      </c>
      <c r="G30" s="37">
        <f t="shared" ref="G30:BK30" si="69">SUM(G28:G29)</f>
        <v>155000</v>
      </c>
      <c r="H30" s="37">
        <f t="shared" si="69"/>
        <v>-155000</v>
      </c>
      <c r="I30" s="37">
        <f t="shared" si="69"/>
        <v>0</v>
      </c>
      <c r="J30" s="37">
        <f t="shared" si="69"/>
        <v>0</v>
      </c>
      <c r="K30" s="37">
        <f t="shared" si="69"/>
        <v>0</v>
      </c>
      <c r="L30" s="37">
        <f t="shared" ref="L30" si="70">SUM(L28:L29)</f>
        <v>155000</v>
      </c>
      <c r="M30" s="37">
        <f t="shared" si="69"/>
        <v>155000</v>
      </c>
      <c r="N30" s="37">
        <f t="shared" si="69"/>
        <v>0</v>
      </c>
      <c r="O30" s="37">
        <f t="shared" si="69"/>
        <v>0</v>
      </c>
      <c r="P30" s="37">
        <f t="shared" si="69"/>
        <v>0</v>
      </c>
      <c r="Q30" s="37">
        <f t="shared" si="69"/>
        <v>0</v>
      </c>
      <c r="R30" s="37">
        <f t="shared" si="69"/>
        <v>0</v>
      </c>
      <c r="S30" s="37">
        <f t="shared" si="69"/>
        <v>0</v>
      </c>
      <c r="T30" s="37">
        <f t="shared" ref="T30" si="71">SUM(T28:T29)</f>
        <v>0</v>
      </c>
      <c r="U30" s="37">
        <f t="shared" si="69"/>
        <v>0</v>
      </c>
      <c r="V30" s="37">
        <f t="shared" si="69"/>
        <v>0</v>
      </c>
      <c r="W30" s="37">
        <f t="shared" si="69"/>
        <v>0</v>
      </c>
      <c r="X30" s="37">
        <f t="shared" si="69"/>
        <v>0</v>
      </c>
      <c r="Y30" s="37">
        <f t="shared" si="69"/>
        <v>0</v>
      </c>
      <c r="Z30" s="37">
        <f t="shared" si="69"/>
        <v>0</v>
      </c>
      <c r="AA30" s="37">
        <f t="shared" si="69"/>
        <v>0</v>
      </c>
      <c r="AB30" s="37">
        <f t="shared" ref="AB30" si="72">SUM(AB28:AB29)</f>
        <v>0</v>
      </c>
      <c r="AC30" s="37">
        <f t="shared" si="69"/>
        <v>0</v>
      </c>
      <c r="AD30" s="37">
        <f t="shared" si="69"/>
        <v>0</v>
      </c>
      <c r="AE30" s="37">
        <f t="shared" si="69"/>
        <v>0</v>
      </c>
      <c r="AF30" s="37">
        <f t="shared" si="69"/>
        <v>0</v>
      </c>
      <c r="AG30" s="37">
        <f t="shared" si="69"/>
        <v>0</v>
      </c>
      <c r="AH30" s="37">
        <f t="shared" si="69"/>
        <v>0</v>
      </c>
      <c r="AI30" s="37">
        <f t="shared" si="69"/>
        <v>0</v>
      </c>
      <c r="AJ30" s="37">
        <f t="shared" ref="AJ30" si="73">SUM(AJ28:AJ29)</f>
        <v>0</v>
      </c>
      <c r="AK30" s="37">
        <f t="shared" si="69"/>
        <v>0</v>
      </c>
      <c r="AL30" s="37">
        <f t="shared" si="69"/>
        <v>0</v>
      </c>
      <c r="AM30" s="37">
        <f t="shared" si="69"/>
        <v>0</v>
      </c>
      <c r="AN30" s="37">
        <f t="shared" si="69"/>
        <v>0</v>
      </c>
      <c r="AO30" s="37">
        <f t="shared" ref="AO30" si="74">SUM(AO28:AO29)</f>
        <v>0</v>
      </c>
      <c r="AP30" s="37">
        <f t="shared" si="69"/>
        <v>0</v>
      </c>
      <c r="AQ30" s="37">
        <f t="shared" si="69"/>
        <v>0</v>
      </c>
      <c r="AR30" s="37">
        <f t="shared" si="69"/>
        <v>0</v>
      </c>
      <c r="AS30" s="37">
        <f t="shared" si="69"/>
        <v>0</v>
      </c>
      <c r="AT30" s="37">
        <f t="shared" ref="AT30" si="75">SUM(AT28:AT29)</f>
        <v>0</v>
      </c>
      <c r="AU30" s="37">
        <f t="shared" si="69"/>
        <v>0</v>
      </c>
      <c r="AV30" s="37">
        <f t="shared" si="69"/>
        <v>0</v>
      </c>
      <c r="AW30" s="37">
        <f t="shared" si="69"/>
        <v>0</v>
      </c>
      <c r="AX30" s="37">
        <f t="shared" si="69"/>
        <v>100000</v>
      </c>
      <c r="AY30" s="37">
        <f t="shared" si="69"/>
        <v>150000</v>
      </c>
      <c r="AZ30" s="37">
        <f t="shared" si="69"/>
        <v>0</v>
      </c>
      <c r="BA30" s="37">
        <f t="shared" si="69"/>
        <v>0</v>
      </c>
      <c r="BB30" s="37">
        <f t="shared" ref="BB30" si="76">SUM(BB28:BB29)</f>
        <v>0</v>
      </c>
      <c r="BC30" s="37">
        <f t="shared" si="69"/>
        <v>250000</v>
      </c>
      <c r="BD30" s="37">
        <f t="shared" si="69"/>
        <v>0</v>
      </c>
      <c r="BE30" s="37">
        <f t="shared" si="69"/>
        <v>155000</v>
      </c>
      <c r="BF30" s="37">
        <f t="shared" si="69"/>
        <v>-55000</v>
      </c>
      <c r="BG30" s="37">
        <f t="shared" si="69"/>
        <v>150000</v>
      </c>
      <c r="BH30" s="37">
        <f t="shared" si="69"/>
        <v>0</v>
      </c>
      <c r="BI30" s="144">
        <f>SUM(BI28:BI29)</f>
        <v>0</v>
      </c>
      <c r="BJ30" s="37">
        <f t="shared" ref="BJ30" si="77">SUM(BJ28:BJ29)</f>
        <v>155000</v>
      </c>
      <c r="BK30" s="37">
        <f t="shared" si="69"/>
        <v>405000</v>
      </c>
    </row>
    <row r="31" spans="1:63">
      <c r="A31" s="185" t="s">
        <v>58</v>
      </c>
      <c r="B31" s="8">
        <v>1</v>
      </c>
      <c r="C31" s="1" t="s">
        <v>101</v>
      </c>
      <c r="D31" s="4" t="s">
        <v>102</v>
      </c>
      <c r="E31" s="4" t="s">
        <v>31</v>
      </c>
      <c r="F31" s="4"/>
      <c r="G31" s="4"/>
      <c r="H31" s="4">
        <v>155000</v>
      </c>
      <c r="I31" s="4">
        <v>12000</v>
      </c>
      <c r="J31" s="4"/>
      <c r="K31" s="4">
        <v>220000</v>
      </c>
      <c r="L31" s="4"/>
      <c r="M31" s="9">
        <f t="shared" ref="M31:M34" si="78">SUM(F31:L31)</f>
        <v>387000</v>
      </c>
      <c r="N31" s="4"/>
      <c r="O31" s="4"/>
      <c r="P31" s="4"/>
      <c r="Q31" s="4"/>
      <c r="R31" s="4"/>
      <c r="S31" s="4"/>
      <c r="T31" s="4"/>
      <c r="U31" s="9">
        <f t="shared" ref="U31:U34" si="79">SUM(N31:T31)</f>
        <v>0</v>
      </c>
      <c r="V31" s="20"/>
      <c r="W31" s="20"/>
      <c r="X31" s="20"/>
      <c r="Y31" s="20"/>
      <c r="Z31" s="20"/>
      <c r="AA31" s="20"/>
      <c r="AB31" s="20"/>
      <c r="AC31" s="9">
        <f t="shared" ref="AC31:AC34" si="80">SUM(V31:AB31)</f>
        <v>0</v>
      </c>
      <c r="AD31" s="20"/>
      <c r="AE31" s="20"/>
      <c r="AF31" s="20"/>
      <c r="AG31" s="20"/>
      <c r="AH31" s="20"/>
      <c r="AI31" s="20"/>
      <c r="AJ31" s="20"/>
      <c r="AK31" s="21">
        <f t="shared" ref="AK31:AK34" si="81">SUM(AD31:AJ31)</f>
        <v>0</v>
      </c>
      <c r="AL31" s="25"/>
      <c r="AM31" s="20"/>
      <c r="AN31" s="20"/>
      <c r="AO31" s="20"/>
      <c r="AP31" s="21">
        <f t="shared" ref="AP31:AP34" si="82">SUM(AL31:AO31)</f>
        <v>0</v>
      </c>
      <c r="AQ31" s="25"/>
      <c r="AR31" s="20"/>
      <c r="AS31" s="20"/>
      <c r="AT31" s="20"/>
      <c r="AU31" s="21">
        <f t="shared" ref="AU31:AU34" si="83">SUM(AQ31:AT31)</f>
        <v>0</v>
      </c>
      <c r="AV31" s="25"/>
      <c r="AW31" s="25"/>
      <c r="AX31" s="25"/>
      <c r="AY31" s="25"/>
      <c r="AZ31" s="20"/>
      <c r="BA31" s="20"/>
      <c r="BB31" s="20"/>
      <c r="BC31" s="21">
        <f t="shared" ref="BC31:BC34" si="84">SUM(AV31:BB31)</f>
        <v>0</v>
      </c>
      <c r="BD31" s="4">
        <f t="shared" ref="BD31:BF34" si="85">F31+N31+V31+AD31+AV31</f>
        <v>0</v>
      </c>
      <c r="BE31" s="4">
        <f t="shared" si="85"/>
        <v>0</v>
      </c>
      <c r="BF31" s="4">
        <f t="shared" si="85"/>
        <v>155000</v>
      </c>
      <c r="BG31" s="4">
        <f t="shared" ref="BG31:BJ34" si="86">I31+Q31+Y31+AG31+AL31+AQ31+AY31</f>
        <v>12000</v>
      </c>
      <c r="BH31" s="94">
        <f t="shared" si="86"/>
        <v>0</v>
      </c>
      <c r="BI31" s="94">
        <f t="shared" si="86"/>
        <v>220000</v>
      </c>
      <c r="BJ31" s="94">
        <f t="shared" si="86"/>
        <v>0</v>
      </c>
      <c r="BK31" s="9">
        <f t="shared" ref="BK31:BK34" si="87">SUM(BD31:BJ31)</f>
        <v>387000</v>
      </c>
    </row>
    <row r="32" spans="1:63">
      <c r="A32" s="186"/>
      <c r="B32" s="8">
        <v>2</v>
      </c>
      <c r="C32" s="1" t="s">
        <v>103</v>
      </c>
      <c r="D32" s="4" t="s">
        <v>104</v>
      </c>
      <c r="E32" s="4" t="s">
        <v>31</v>
      </c>
      <c r="F32" s="4"/>
      <c r="G32" s="4">
        <v>155000</v>
      </c>
      <c r="H32" s="4">
        <f>33000+115933</f>
        <v>148933</v>
      </c>
      <c r="I32" s="4"/>
      <c r="J32" s="4"/>
      <c r="K32" s="4"/>
      <c r="L32" s="4"/>
      <c r="M32" s="9">
        <f t="shared" si="78"/>
        <v>303933</v>
      </c>
      <c r="N32" s="76"/>
      <c r="O32" s="76"/>
      <c r="P32" s="76">
        <v>290000</v>
      </c>
      <c r="Q32" s="76"/>
      <c r="R32" s="4"/>
      <c r="S32" s="4"/>
      <c r="T32" s="4">
        <v>410000</v>
      </c>
      <c r="U32" s="9">
        <f t="shared" si="79"/>
        <v>700000</v>
      </c>
      <c r="V32" s="20"/>
      <c r="W32" s="20">
        <v>605000</v>
      </c>
      <c r="X32" s="4">
        <v>252000</v>
      </c>
      <c r="Y32" s="22"/>
      <c r="Z32" s="22"/>
      <c r="AA32" s="22"/>
      <c r="AB32" s="22">
        <v>684000</v>
      </c>
      <c r="AC32" s="9">
        <f t="shared" si="80"/>
        <v>1541000</v>
      </c>
      <c r="AD32" s="20"/>
      <c r="AE32" s="20">
        <v>322500</v>
      </c>
      <c r="AF32" s="25">
        <v>122950</v>
      </c>
      <c r="AG32" s="25"/>
      <c r="AH32" s="20"/>
      <c r="AI32" s="20"/>
      <c r="AJ32" s="20"/>
      <c r="AK32" s="21">
        <f t="shared" si="81"/>
        <v>445450</v>
      </c>
      <c r="AL32" s="25"/>
      <c r="AM32" s="20"/>
      <c r="AN32" s="20"/>
      <c r="AO32" s="20"/>
      <c r="AP32" s="21">
        <f t="shared" si="82"/>
        <v>0</v>
      </c>
      <c r="AQ32" s="25"/>
      <c r="AR32" s="20"/>
      <c r="AS32" s="20"/>
      <c r="AT32" s="20">
        <f>204000+204000+408000+204000</f>
        <v>1020000</v>
      </c>
      <c r="AU32" s="21">
        <f t="shared" si="83"/>
        <v>1020000</v>
      </c>
      <c r="AV32" s="25"/>
      <c r="AW32" s="24">
        <v>100000</v>
      </c>
      <c r="AX32" s="25">
        <v>276000</v>
      </c>
      <c r="AY32" s="25"/>
      <c r="AZ32" s="20"/>
      <c r="BA32" s="20"/>
      <c r="BB32" s="20"/>
      <c r="BC32" s="21">
        <f t="shared" si="84"/>
        <v>376000</v>
      </c>
      <c r="BD32" s="4">
        <f t="shared" si="85"/>
        <v>0</v>
      </c>
      <c r="BE32" s="4">
        <f t="shared" si="85"/>
        <v>1182500</v>
      </c>
      <c r="BF32" s="4">
        <f t="shared" si="85"/>
        <v>1089883</v>
      </c>
      <c r="BG32" s="4">
        <f t="shared" si="86"/>
        <v>0</v>
      </c>
      <c r="BH32" s="94">
        <f t="shared" si="86"/>
        <v>0</v>
      </c>
      <c r="BI32" s="94">
        <f t="shared" si="86"/>
        <v>0</v>
      </c>
      <c r="BJ32" s="94">
        <f t="shared" si="86"/>
        <v>2114000</v>
      </c>
      <c r="BK32" s="9">
        <f t="shared" si="87"/>
        <v>4386383</v>
      </c>
    </row>
    <row r="33" spans="1:63">
      <c r="A33" s="186"/>
      <c r="B33" s="8">
        <v>3</v>
      </c>
      <c r="C33" s="1" t="s">
        <v>12</v>
      </c>
      <c r="D33" s="4" t="s">
        <v>45</v>
      </c>
      <c r="E33" s="4" t="s">
        <v>31</v>
      </c>
      <c r="F33" s="4"/>
      <c r="G33" s="4"/>
      <c r="H33" s="4">
        <v>155000</v>
      </c>
      <c r="I33" s="4">
        <v>160000</v>
      </c>
      <c r="J33" s="4"/>
      <c r="K33" s="4"/>
      <c r="L33" s="4"/>
      <c r="M33" s="9">
        <f t="shared" si="78"/>
        <v>315000</v>
      </c>
      <c r="N33" s="76"/>
      <c r="O33" s="76"/>
      <c r="P33" s="76">
        <v>820000</v>
      </c>
      <c r="Q33" s="76">
        <v>200000</v>
      </c>
      <c r="R33" s="4"/>
      <c r="S33" s="4"/>
      <c r="T33" s="4"/>
      <c r="U33" s="9">
        <f t="shared" si="79"/>
        <v>1020000</v>
      </c>
      <c r="V33" s="20"/>
      <c r="W33" s="20"/>
      <c r="X33" s="4">
        <v>530000</v>
      </c>
      <c r="Y33" s="23">
        <v>480000</v>
      </c>
      <c r="Z33" s="23"/>
      <c r="AA33" s="23"/>
      <c r="AB33" s="23"/>
      <c r="AC33" s="9">
        <f t="shared" si="80"/>
        <v>1010000</v>
      </c>
      <c r="AD33" s="20"/>
      <c r="AE33" s="20"/>
      <c r="AF33" s="20"/>
      <c r="AG33" s="20"/>
      <c r="AH33" s="20"/>
      <c r="AI33" s="20"/>
      <c r="AJ33" s="20"/>
      <c r="AK33" s="21">
        <f t="shared" si="81"/>
        <v>0</v>
      </c>
      <c r="AL33" s="25"/>
      <c r="AM33" s="20"/>
      <c r="AN33" s="20"/>
      <c r="AO33" s="20"/>
      <c r="AP33" s="21">
        <f t="shared" si="82"/>
        <v>0</v>
      </c>
      <c r="AQ33" s="25"/>
      <c r="AR33" s="20"/>
      <c r="AS33" s="20"/>
      <c r="AT33" s="20">
        <v>952000</v>
      </c>
      <c r="AU33" s="21">
        <f t="shared" si="83"/>
        <v>952000</v>
      </c>
      <c r="AV33" s="25"/>
      <c r="AW33" s="25"/>
      <c r="AX33" s="25"/>
      <c r="AY33" s="25"/>
      <c r="AZ33" s="20"/>
      <c r="BA33" s="20"/>
      <c r="BB33" s="20"/>
      <c r="BC33" s="21">
        <f t="shared" si="84"/>
        <v>0</v>
      </c>
      <c r="BD33" s="4">
        <f t="shared" si="85"/>
        <v>0</v>
      </c>
      <c r="BE33" s="4">
        <f t="shared" si="85"/>
        <v>0</v>
      </c>
      <c r="BF33" s="4">
        <f t="shared" si="85"/>
        <v>1505000</v>
      </c>
      <c r="BG33" s="4">
        <f t="shared" si="86"/>
        <v>840000</v>
      </c>
      <c r="BH33" s="94">
        <f t="shared" si="86"/>
        <v>0</v>
      </c>
      <c r="BI33" s="94">
        <f t="shared" si="86"/>
        <v>0</v>
      </c>
      <c r="BJ33" s="94">
        <f t="shared" si="86"/>
        <v>952000</v>
      </c>
      <c r="BK33" s="9">
        <f t="shared" si="87"/>
        <v>3297000</v>
      </c>
    </row>
    <row r="34" spans="1:63">
      <c r="A34" s="187"/>
      <c r="B34" s="8">
        <v>4</v>
      </c>
      <c r="C34" s="1" t="s">
        <v>481</v>
      </c>
      <c r="D34" s="4" t="s">
        <v>102</v>
      </c>
      <c r="E34" s="4" t="s">
        <v>31</v>
      </c>
      <c r="F34" s="4"/>
      <c r="G34" s="4"/>
      <c r="H34" s="4"/>
      <c r="I34" s="4"/>
      <c r="J34" s="4"/>
      <c r="K34" s="4"/>
      <c r="L34" s="4"/>
      <c r="M34" s="9">
        <f t="shared" si="78"/>
        <v>0</v>
      </c>
      <c r="N34" s="76"/>
      <c r="O34" s="76"/>
      <c r="P34" s="76"/>
      <c r="Q34" s="76"/>
      <c r="R34" s="4">
        <v>-3000000</v>
      </c>
      <c r="S34" s="4"/>
      <c r="T34" s="4"/>
      <c r="U34" s="9">
        <f t="shared" si="79"/>
        <v>-3000000</v>
      </c>
      <c r="V34" s="20"/>
      <c r="W34" s="20"/>
      <c r="X34" s="4"/>
      <c r="Y34" s="23"/>
      <c r="Z34" s="23"/>
      <c r="AA34" s="23"/>
      <c r="AB34" s="23"/>
      <c r="AC34" s="9">
        <f t="shared" si="80"/>
        <v>0</v>
      </c>
      <c r="AD34" s="20"/>
      <c r="AE34" s="20"/>
      <c r="AF34" s="20"/>
      <c r="AG34" s="20"/>
      <c r="AH34" s="20"/>
      <c r="AI34" s="20"/>
      <c r="AJ34" s="20"/>
      <c r="AK34" s="21">
        <f t="shared" si="81"/>
        <v>0</v>
      </c>
      <c r="AL34" s="25"/>
      <c r="AM34" s="20"/>
      <c r="AN34" s="20"/>
      <c r="AO34" s="20"/>
      <c r="AP34" s="21">
        <f t="shared" si="82"/>
        <v>0</v>
      </c>
      <c r="AQ34" s="25"/>
      <c r="AR34" s="20"/>
      <c r="AS34" s="20"/>
      <c r="AT34" s="20"/>
      <c r="AU34" s="21">
        <f t="shared" si="83"/>
        <v>0</v>
      </c>
      <c r="AV34" s="25"/>
      <c r="AW34" s="25"/>
      <c r="AX34" s="25"/>
      <c r="AY34" s="25"/>
      <c r="AZ34" s="20"/>
      <c r="BA34" s="20"/>
      <c r="BB34" s="20"/>
      <c r="BC34" s="21">
        <f t="shared" si="84"/>
        <v>0</v>
      </c>
      <c r="BD34" s="4">
        <f t="shared" si="85"/>
        <v>0</v>
      </c>
      <c r="BE34" s="4">
        <f t="shared" si="85"/>
        <v>0</v>
      </c>
      <c r="BF34" s="4">
        <f t="shared" si="85"/>
        <v>0</v>
      </c>
      <c r="BG34" s="4">
        <f t="shared" si="86"/>
        <v>0</v>
      </c>
      <c r="BH34" s="94">
        <f t="shared" si="86"/>
        <v>-3000000</v>
      </c>
      <c r="BI34" s="94">
        <f t="shared" si="86"/>
        <v>0</v>
      </c>
      <c r="BJ34" s="94">
        <f t="shared" si="86"/>
        <v>0</v>
      </c>
      <c r="BK34" s="9">
        <f t="shared" si="87"/>
        <v>-3000000</v>
      </c>
    </row>
    <row r="35" spans="1:63" s="38" customFormat="1">
      <c r="A35" s="34"/>
      <c r="B35" s="34"/>
      <c r="C35" s="35" t="s">
        <v>107</v>
      </c>
      <c r="D35" s="37"/>
      <c r="E35" s="37"/>
      <c r="F35" s="37">
        <f>SUM(F31:F34)</f>
        <v>0</v>
      </c>
      <c r="G35" s="37">
        <f t="shared" ref="G35:BK35" si="88">SUM(G31:G34)</f>
        <v>155000</v>
      </c>
      <c r="H35" s="37">
        <f t="shared" si="88"/>
        <v>458933</v>
      </c>
      <c r="I35" s="37">
        <f t="shared" si="88"/>
        <v>172000</v>
      </c>
      <c r="J35" s="37">
        <f t="shared" si="88"/>
        <v>0</v>
      </c>
      <c r="K35" s="37">
        <f t="shared" si="88"/>
        <v>220000</v>
      </c>
      <c r="L35" s="37">
        <f t="shared" si="88"/>
        <v>0</v>
      </c>
      <c r="M35" s="37">
        <f t="shared" si="88"/>
        <v>1005933</v>
      </c>
      <c r="N35" s="37">
        <f t="shared" si="88"/>
        <v>0</v>
      </c>
      <c r="O35" s="37">
        <f t="shared" si="88"/>
        <v>0</v>
      </c>
      <c r="P35" s="37">
        <f t="shared" si="88"/>
        <v>1110000</v>
      </c>
      <c r="Q35" s="37">
        <f t="shared" si="88"/>
        <v>200000</v>
      </c>
      <c r="R35" s="37">
        <f t="shared" si="88"/>
        <v>-3000000</v>
      </c>
      <c r="S35" s="37">
        <f t="shared" si="88"/>
        <v>0</v>
      </c>
      <c r="T35" s="37">
        <f t="shared" si="88"/>
        <v>410000</v>
      </c>
      <c r="U35" s="37">
        <f t="shared" si="88"/>
        <v>-1280000</v>
      </c>
      <c r="V35" s="37">
        <f t="shared" si="88"/>
        <v>0</v>
      </c>
      <c r="W35" s="37">
        <f t="shared" si="88"/>
        <v>605000</v>
      </c>
      <c r="X35" s="37">
        <f t="shared" si="88"/>
        <v>782000</v>
      </c>
      <c r="Y35" s="37">
        <f t="shared" si="88"/>
        <v>480000</v>
      </c>
      <c r="Z35" s="37">
        <f t="shared" si="88"/>
        <v>0</v>
      </c>
      <c r="AA35" s="37">
        <f t="shared" si="88"/>
        <v>0</v>
      </c>
      <c r="AB35" s="37">
        <f t="shared" si="88"/>
        <v>684000</v>
      </c>
      <c r="AC35" s="37">
        <f t="shared" si="88"/>
        <v>2551000</v>
      </c>
      <c r="AD35" s="37">
        <f t="shared" si="88"/>
        <v>0</v>
      </c>
      <c r="AE35" s="37">
        <f t="shared" si="88"/>
        <v>322500</v>
      </c>
      <c r="AF35" s="37">
        <f t="shared" si="88"/>
        <v>122950</v>
      </c>
      <c r="AG35" s="37">
        <f t="shared" si="88"/>
        <v>0</v>
      </c>
      <c r="AH35" s="37">
        <f t="shared" si="88"/>
        <v>0</v>
      </c>
      <c r="AI35" s="37">
        <f t="shared" si="88"/>
        <v>0</v>
      </c>
      <c r="AJ35" s="37">
        <f t="shared" si="88"/>
        <v>0</v>
      </c>
      <c r="AK35" s="37">
        <f t="shared" si="88"/>
        <v>445450</v>
      </c>
      <c r="AL35" s="37">
        <f t="shared" si="88"/>
        <v>0</v>
      </c>
      <c r="AM35" s="37">
        <f t="shared" si="88"/>
        <v>0</v>
      </c>
      <c r="AN35" s="37">
        <f t="shared" si="88"/>
        <v>0</v>
      </c>
      <c r="AO35" s="37">
        <f t="shared" si="88"/>
        <v>0</v>
      </c>
      <c r="AP35" s="37">
        <f t="shared" si="88"/>
        <v>0</v>
      </c>
      <c r="AQ35" s="37">
        <f t="shared" si="88"/>
        <v>0</v>
      </c>
      <c r="AR35" s="37">
        <f t="shared" si="88"/>
        <v>0</v>
      </c>
      <c r="AS35" s="37">
        <f t="shared" si="88"/>
        <v>0</v>
      </c>
      <c r="AT35" s="37">
        <f t="shared" si="88"/>
        <v>1972000</v>
      </c>
      <c r="AU35" s="37">
        <f t="shared" si="88"/>
        <v>1972000</v>
      </c>
      <c r="AV35" s="37">
        <f t="shared" si="88"/>
        <v>0</v>
      </c>
      <c r="AW35" s="37">
        <f t="shared" si="88"/>
        <v>100000</v>
      </c>
      <c r="AX35" s="37">
        <f t="shared" si="88"/>
        <v>276000</v>
      </c>
      <c r="AY35" s="37">
        <f t="shared" si="88"/>
        <v>0</v>
      </c>
      <c r="AZ35" s="37">
        <f t="shared" si="88"/>
        <v>0</v>
      </c>
      <c r="BA35" s="37">
        <f t="shared" si="88"/>
        <v>0</v>
      </c>
      <c r="BB35" s="37">
        <f t="shared" si="88"/>
        <v>0</v>
      </c>
      <c r="BC35" s="37">
        <f t="shared" si="88"/>
        <v>376000</v>
      </c>
      <c r="BD35" s="37">
        <f t="shared" si="88"/>
        <v>0</v>
      </c>
      <c r="BE35" s="37">
        <f t="shared" si="88"/>
        <v>1182500</v>
      </c>
      <c r="BF35" s="37">
        <f t="shared" si="88"/>
        <v>2749883</v>
      </c>
      <c r="BG35" s="37">
        <f t="shared" si="88"/>
        <v>852000</v>
      </c>
      <c r="BH35" s="37">
        <f t="shared" si="88"/>
        <v>-3000000</v>
      </c>
      <c r="BI35" s="144">
        <f>SUM(BI31:BI34)</f>
        <v>220000</v>
      </c>
      <c r="BJ35" s="37">
        <f t="shared" si="88"/>
        <v>3066000</v>
      </c>
      <c r="BK35" s="37">
        <f t="shared" si="88"/>
        <v>5070383</v>
      </c>
    </row>
    <row r="36" spans="1:63">
      <c r="A36" s="185" t="s">
        <v>108</v>
      </c>
      <c r="B36" s="8">
        <v>1</v>
      </c>
      <c r="C36" s="1" t="s">
        <v>110</v>
      </c>
      <c r="D36" s="4" t="s">
        <v>108</v>
      </c>
      <c r="E36" s="4" t="s">
        <v>108</v>
      </c>
      <c r="F36" s="4">
        <v>155000</v>
      </c>
      <c r="G36" s="4">
        <v>368500</v>
      </c>
      <c r="H36" s="4">
        <f>44000+22000+8000+140000</f>
        <v>214000</v>
      </c>
      <c r="I36" s="4">
        <v>180000</v>
      </c>
      <c r="J36" s="4"/>
      <c r="K36" s="4"/>
      <c r="L36" s="4"/>
      <c r="M36" s="9">
        <f t="shared" ref="M36:M44" si="89">SUM(F36:L36)</f>
        <v>917500</v>
      </c>
      <c r="N36" s="4"/>
      <c r="O36" s="4"/>
      <c r="P36" s="4"/>
      <c r="Q36" s="4"/>
      <c r="R36" s="4"/>
      <c r="S36" s="4"/>
      <c r="T36" s="4"/>
      <c r="U36" s="9">
        <f t="shared" ref="U36:U44" si="90">SUM(N36:T36)</f>
        <v>0</v>
      </c>
      <c r="V36" s="20"/>
      <c r="W36" s="20"/>
      <c r="X36" s="20"/>
      <c r="Y36" s="20"/>
      <c r="Z36" s="20"/>
      <c r="AA36" s="20"/>
      <c r="AB36" s="20"/>
      <c r="AC36" s="9">
        <f t="shared" ref="AC36:AC44" si="91">SUM(V36:AB36)</f>
        <v>0</v>
      </c>
      <c r="AD36" s="20"/>
      <c r="AE36" s="20"/>
      <c r="AF36" s="20"/>
      <c r="AG36" s="20"/>
      <c r="AH36" s="20"/>
      <c r="AI36" s="20"/>
      <c r="AJ36" s="20"/>
      <c r="AK36" s="21">
        <f t="shared" ref="AK36:AK44" si="92">SUM(AD36:AJ36)</f>
        <v>0</v>
      </c>
      <c r="AL36" s="25"/>
      <c r="AM36" s="20"/>
      <c r="AN36" s="20"/>
      <c r="AO36" s="20"/>
      <c r="AP36" s="21">
        <f t="shared" ref="AP36:AP44" si="93">SUM(AL36:AO36)</f>
        <v>0</v>
      </c>
      <c r="AQ36" s="25"/>
      <c r="AR36" s="20"/>
      <c r="AS36" s="20"/>
      <c r="AT36" s="20"/>
      <c r="AU36" s="21">
        <f t="shared" ref="AU36:AU44" si="94">SUM(AQ36:AT36)</f>
        <v>0</v>
      </c>
      <c r="AV36" s="25"/>
      <c r="AW36" s="25"/>
      <c r="AX36" s="25"/>
      <c r="AY36" s="25"/>
      <c r="AZ36" s="20"/>
      <c r="BA36" s="20"/>
      <c r="BB36" s="20"/>
      <c r="BC36" s="21">
        <f t="shared" ref="BC36:BC44" si="95">SUM(AV36:BB36)</f>
        <v>0</v>
      </c>
      <c r="BD36" s="4">
        <f t="shared" ref="BD36:BD44" si="96">F36+N36+V36+AD36+AV36</f>
        <v>155000</v>
      </c>
      <c r="BE36" s="4">
        <f t="shared" ref="BE36:BE44" si="97">G36+O36+W36+AE36+AW36</f>
        <v>368500</v>
      </c>
      <c r="BF36" s="4">
        <f t="shared" ref="BF36:BF44" si="98">H36+P36+X36+AF36+AX36</f>
        <v>214000</v>
      </c>
      <c r="BG36" s="4">
        <f t="shared" ref="BG36:BG44" si="99">I36+Q36+Y36+AG36+AL36+AQ36+AY36</f>
        <v>180000</v>
      </c>
      <c r="BH36" s="94">
        <f t="shared" ref="BH36:BH44" si="100">J36+R36+Z36+AH36+AM36+AR36+AZ36</f>
        <v>0</v>
      </c>
      <c r="BI36" s="94">
        <f t="shared" ref="BI36:BI44" si="101">K36+S36+AA36+AI36+AN36+AS36+BA36</f>
        <v>0</v>
      </c>
      <c r="BJ36" s="94">
        <f t="shared" ref="BJ36:BJ44" si="102">L36+T36+AB36+AJ36+AO36+AT36+BB36</f>
        <v>0</v>
      </c>
      <c r="BK36" s="9">
        <f t="shared" ref="BK36:BK44" si="103">SUM(BD36:BJ36)</f>
        <v>917500</v>
      </c>
    </row>
    <row r="37" spans="1:63" ht="31.5">
      <c r="A37" s="186"/>
      <c r="B37" s="8">
        <v>2</v>
      </c>
      <c r="C37" s="1" t="s">
        <v>111</v>
      </c>
      <c r="D37" s="4" t="s">
        <v>108</v>
      </c>
      <c r="E37" s="4" t="s">
        <v>108</v>
      </c>
      <c r="F37" s="4"/>
      <c r="G37" s="4"/>
      <c r="H37" s="4"/>
      <c r="I37" s="4"/>
      <c r="J37" s="4"/>
      <c r="K37" s="4"/>
      <c r="L37" s="4"/>
      <c r="M37" s="9">
        <f t="shared" si="89"/>
        <v>0</v>
      </c>
      <c r="N37" s="4"/>
      <c r="O37" s="4"/>
      <c r="P37" s="4"/>
      <c r="Q37" s="4"/>
      <c r="R37" s="4"/>
      <c r="S37" s="4"/>
      <c r="T37" s="4"/>
      <c r="U37" s="9">
        <f t="shared" si="90"/>
        <v>0</v>
      </c>
      <c r="V37" s="20"/>
      <c r="W37" s="20"/>
      <c r="X37" s="20"/>
      <c r="Y37" s="20"/>
      <c r="Z37" s="20"/>
      <c r="AA37" s="20"/>
      <c r="AB37" s="20"/>
      <c r="AC37" s="9">
        <f t="shared" si="91"/>
        <v>0</v>
      </c>
      <c r="AD37" s="20"/>
      <c r="AE37" s="24">
        <v>354300</v>
      </c>
      <c r="AF37" s="24">
        <f>32950+112000</f>
        <v>144950</v>
      </c>
      <c r="AG37" s="24"/>
      <c r="AH37" s="20"/>
      <c r="AI37" s="20"/>
      <c r="AJ37" s="20"/>
      <c r="AK37" s="21">
        <f t="shared" si="92"/>
        <v>499250</v>
      </c>
      <c r="AL37" s="25"/>
      <c r="AM37" s="20"/>
      <c r="AN37" s="20"/>
      <c r="AO37" s="20"/>
      <c r="AP37" s="21">
        <f t="shared" si="93"/>
        <v>0</v>
      </c>
      <c r="AQ37" s="25"/>
      <c r="AR37" s="20"/>
      <c r="AS37" s="20"/>
      <c r="AT37" s="20"/>
      <c r="AU37" s="21">
        <f t="shared" si="94"/>
        <v>0</v>
      </c>
      <c r="AV37" s="25"/>
      <c r="AW37" s="25"/>
      <c r="AX37" s="25"/>
      <c r="AY37" s="25"/>
      <c r="AZ37" s="20"/>
      <c r="BA37" s="20"/>
      <c r="BB37" s="20"/>
      <c r="BC37" s="21">
        <f t="shared" si="95"/>
        <v>0</v>
      </c>
      <c r="BD37" s="4">
        <f t="shared" si="96"/>
        <v>0</v>
      </c>
      <c r="BE37" s="4">
        <f t="shared" si="97"/>
        <v>354300</v>
      </c>
      <c r="BF37" s="4">
        <f t="shared" si="98"/>
        <v>144950</v>
      </c>
      <c r="BG37" s="4">
        <f t="shared" si="99"/>
        <v>0</v>
      </c>
      <c r="BH37" s="94">
        <f t="shared" si="100"/>
        <v>0</v>
      </c>
      <c r="BI37" s="94">
        <f t="shared" si="101"/>
        <v>0</v>
      </c>
      <c r="BJ37" s="94">
        <f t="shared" si="102"/>
        <v>0</v>
      </c>
      <c r="BK37" s="9">
        <f t="shared" si="103"/>
        <v>499250</v>
      </c>
    </row>
    <row r="38" spans="1:63">
      <c r="A38" s="186"/>
      <c r="B38" s="8">
        <v>3</v>
      </c>
      <c r="C38" s="40" t="s">
        <v>112</v>
      </c>
      <c r="D38" s="4" t="s">
        <v>108</v>
      </c>
      <c r="E38" s="4" t="s">
        <v>108</v>
      </c>
      <c r="F38" s="4"/>
      <c r="G38" s="4"/>
      <c r="H38" s="4"/>
      <c r="I38" s="4"/>
      <c r="J38" s="4"/>
      <c r="K38" s="4"/>
      <c r="L38" s="4"/>
      <c r="M38" s="9">
        <f t="shared" si="89"/>
        <v>0</v>
      </c>
      <c r="N38" s="76">
        <v>290000</v>
      </c>
      <c r="O38" s="76">
        <v>2200000</v>
      </c>
      <c r="P38" s="76">
        <v>1200000</v>
      </c>
      <c r="Q38" s="76">
        <v>700000</v>
      </c>
      <c r="R38" s="4">
        <f>280000+150000+150000+150000</f>
        <v>730000</v>
      </c>
      <c r="S38" s="4">
        <v>750000</v>
      </c>
      <c r="T38" s="4">
        <f>500000+800000+100000</f>
        <v>1400000</v>
      </c>
      <c r="U38" s="9">
        <f t="shared" si="90"/>
        <v>7270000</v>
      </c>
      <c r="V38" s="20"/>
      <c r="W38" s="20"/>
      <c r="X38" s="20"/>
      <c r="Y38" s="20"/>
      <c r="Z38" s="20"/>
      <c r="AA38" s="20"/>
      <c r="AB38" s="20"/>
      <c r="AC38" s="9">
        <f t="shared" si="91"/>
        <v>0</v>
      </c>
      <c r="AD38" s="20"/>
      <c r="AE38" s="24"/>
      <c r="AF38" s="24"/>
      <c r="AG38" s="24"/>
      <c r="AH38" s="20"/>
      <c r="AI38" s="20"/>
      <c r="AJ38" s="20"/>
      <c r="AK38" s="21">
        <f t="shared" si="92"/>
        <v>0</v>
      </c>
      <c r="AL38" s="25"/>
      <c r="AM38" s="20"/>
      <c r="AN38" s="20"/>
      <c r="AO38" s="20"/>
      <c r="AP38" s="21">
        <f t="shared" si="93"/>
        <v>0</v>
      </c>
      <c r="AQ38" s="25"/>
      <c r="AR38" s="20"/>
      <c r="AS38" s="20"/>
      <c r="AT38" s="20"/>
      <c r="AU38" s="21">
        <f t="shared" si="94"/>
        <v>0</v>
      </c>
      <c r="AV38" s="25"/>
      <c r="AW38" s="25"/>
      <c r="AX38" s="25"/>
      <c r="AY38" s="25"/>
      <c r="AZ38" s="20"/>
      <c r="BA38" s="20"/>
      <c r="BB38" s="20"/>
      <c r="BC38" s="21">
        <f t="shared" si="95"/>
        <v>0</v>
      </c>
      <c r="BD38" s="4">
        <f t="shared" si="96"/>
        <v>290000</v>
      </c>
      <c r="BE38" s="4">
        <f t="shared" si="97"/>
        <v>2200000</v>
      </c>
      <c r="BF38" s="4">
        <f t="shared" si="98"/>
        <v>1200000</v>
      </c>
      <c r="BG38" s="4">
        <f t="shared" si="99"/>
        <v>700000</v>
      </c>
      <c r="BH38" s="94">
        <f t="shared" si="100"/>
        <v>730000</v>
      </c>
      <c r="BI38" s="94">
        <f t="shared" si="101"/>
        <v>750000</v>
      </c>
      <c r="BJ38" s="94">
        <f t="shared" si="102"/>
        <v>1400000</v>
      </c>
      <c r="BK38" s="9">
        <f t="shared" si="103"/>
        <v>7270000</v>
      </c>
    </row>
    <row r="39" spans="1:63">
      <c r="A39" s="186"/>
      <c r="B39" s="8">
        <v>4</v>
      </c>
      <c r="C39" s="1" t="s">
        <v>113</v>
      </c>
      <c r="D39" s="41" t="s">
        <v>114</v>
      </c>
      <c r="E39" s="4" t="s">
        <v>108</v>
      </c>
      <c r="F39" s="4"/>
      <c r="G39" s="4"/>
      <c r="H39" s="4"/>
      <c r="I39" s="4"/>
      <c r="J39" s="4"/>
      <c r="K39" s="4"/>
      <c r="L39" s="4"/>
      <c r="M39" s="9">
        <f t="shared" si="89"/>
        <v>0</v>
      </c>
      <c r="N39" s="4"/>
      <c r="O39" s="4"/>
      <c r="P39" s="4"/>
      <c r="Q39" s="4"/>
      <c r="R39" s="4"/>
      <c r="S39" s="4"/>
      <c r="T39" s="4"/>
      <c r="U39" s="9">
        <f t="shared" si="90"/>
        <v>0</v>
      </c>
      <c r="V39" s="20"/>
      <c r="W39" s="20"/>
      <c r="X39" s="20"/>
      <c r="Y39" s="20"/>
      <c r="Z39" s="20"/>
      <c r="AA39" s="20"/>
      <c r="AB39" s="20"/>
      <c r="AC39" s="9">
        <f t="shared" si="91"/>
        <v>0</v>
      </c>
      <c r="AD39" s="20"/>
      <c r="AE39" s="24"/>
      <c r="AF39" s="24">
        <v>199000</v>
      </c>
      <c r="AG39" s="24">
        <v>92000</v>
      </c>
      <c r="AH39" s="20"/>
      <c r="AI39" s="20"/>
      <c r="AJ39" s="20"/>
      <c r="AK39" s="21">
        <f t="shared" si="92"/>
        <v>291000</v>
      </c>
      <c r="AL39" s="25"/>
      <c r="AM39" s="20"/>
      <c r="AN39" s="20"/>
      <c r="AO39" s="20"/>
      <c r="AP39" s="21">
        <f t="shared" si="93"/>
        <v>0</v>
      </c>
      <c r="AQ39" s="25"/>
      <c r="AR39" s="20"/>
      <c r="AS39" s="20"/>
      <c r="AT39" s="20"/>
      <c r="AU39" s="21">
        <f t="shared" si="94"/>
        <v>0</v>
      </c>
      <c r="AV39" s="25"/>
      <c r="AW39" s="25"/>
      <c r="AX39" s="25"/>
      <c r="AY39" s="25"/>
      <c r="AZ39" s="20"/>
      <c r="BA39" s="20"/>
      <c r="BB39" s="20"/>
      <c r="BC39" s="21">
        <f t="shared" si="95"/>
        <v>0</v>
      </c>
      <c r="BD39" s="4">
        <f t="shared" si="96"/>
        <v>0</v>
      </c>
      <c r="BE39" s="4">
        <f t="shared" si="97"/>
        <v>0</v>
      </c>
      <c r="BF39" s="4">
        <f t="shared" si="98"/>
        <v>199000</v>
      </c>
      <c r="BG39" s="4">
        <f t="shared" si="99"/>
        <v>92000</v>
      </c>
      <c r="BH39" s="94">
        <f t="shared" si="100"/>
        <v>0</v>
      </c>
      <c r="BI39" s="94">
        <f t="shared" si="101"/>
        <v>0</v>
      </c>
      <c r="BJ39" s="94">
        <f t="shared" si="102"/>
        <v>0</v>
      </c>
      <c r="BK39" s="9">
        <f t="shared" si="103"/>
        <v>291000</v>
      </c>
    </row>
    <row r="40" spans="1:63">
      <c r="A40" s="186"/>
      <c r="B40" s="8">
        <v>5</v>
      </c>
      <c r="C40" s="1" t="s">
        <v>115</v>
      </c>
      <c r="D40" s="4" t="s">
        <v>116</v>
      </c>
      <c r="E40" s="4" t="s">
        <v>108</v>
      </c>
      <c r="F40" s="4">
        <v>155000</v>
      </c>
      <c r="G40" s="4">
        <v>395500</v>
      </c>
      <c r="H40" s="4">
        <v>303500</v>
      </c>
      <c r="I40" s="4">
        <f>60000+20000</f>
        <v>80000</v>
      </c>
      <c r="J40" s="4"/>
      <c r="K40" s="4"/>
      <c r="L40" s="4"/>
      <c r="M40" s="9">
        <f t="shared" si="89"/>
        <v>934000</v>
      </c>
      <c r="N40" s="4"/>
      <c r="O40" s="4"/>
      <c r="P40" s="4"/>
      <c r="Q40" s="4"/>
      <c r="R40" s="4"/>
      <c r="S40" s="4"/>
      <c r="T40" s="4"/>
      <c r="U40" s="9">
        <f t="shared" si="90"/>
        <v>0</v>
      </c>
      <c r="V40" s="20">
        <v>290000</v>
      </c>
      <c r="W40" s="22">
        <v>364000</v>
      </c>
      <c r="X40" s="4">
        <v>404000</v>
      </c>
      <c r="Y40" s="22">
        <v>248000</v>
      </c>
      <c r="Z40" s="22"/>
      <c r="AA40" s="22"/>
      <c r="AB40" s="22"/>
      <c r="AC40" s="9">
        <f t="shared" si="91"/>
        <v>1306000</v>
      </c>
      <c r="AD40" s="20">
        <v>195000</v>
      </c>
      <c r="AE40" s="24">
        <f>438600+4000</f>
        <v>442600</v>
      </c>
      <c r="AF40" s="24">
        <v>449800</v>
      </c>
      <c r="AG40" s="24">
        <v>150000</v>
      </c>
      <c r="AH40" s="20"/>
      <c r="AI40" s="20"/>
      <c r="AJ40" s="20"/>
      <c r="AK40" s="21">
        <f t="shared" si="92"/>
        <v>1237400</v>
      </c>
      <c r="AL40" s="25">
        <v>409500</v>
      </c>
      <c r="AM40" s="20">
        <f>154000+241500+147000</f>
        <v>542500</v>
      </c>
      <c r="AN40" s="20">
        <f>961500+122600+122600+122600</f>
        <v>1329300</v>
      </c>
      <c r="AO40" s="20">
        <v>1625400</v>
      </c>
      <c r="AP40" s="21">
        <f t="shared" si="93"/>
        <v>3906700</v>
      </c>
      <c r="AQ40" s="25"/>
      <c r="AR40" s="20"/>
      <c r="AS40" s="20"/>
      <c r="AT40" s="20"/>
      <c r="AU40" s="21">
        <f t="shared" si="94"/>
        <v>0</v>
      </c>
      <c r="AV40" s="25"/>
      <c r="AW40" s="25"/>
      <c r="AX40" s="25">
        <v>100000</v>
      </c>
      <c r="AY40" s="25"/>
      <c r="AZ40" s="20"/>
      <c r="BA40" s="20"/>
      <c r="BB40" s="20"/>
      <c r="BC40" s="21">
        <f t="shared" si="95"/>
        <v>100000</v>
      </c>
      <c r="BD40" s="4">
        <f t="shared" si="96"/>
        <v>640000</v>
      </c>
      <c r="BE40" s="4">
        <f t="shared" si="97"/>
        <v>1202100</v>
      </c>
      <c r="BF40" s="4">
        <f t="shared" si="98"/>
        <v>1257300</v>
      </c>
      <c r="BG40" s="4">
        <f t="shared" si="99"/>
        <v>887500</v>
      </c>
      <c r="BH40" s="94">
        <f t="shared" si="100"/>
        <v>542500</v>
      </c>
      <c r="BI40" s="94">
        <f t="shared" si="101"/>
        <v>1329300</v>
      </c>
      <c r="BJ40" s="94">
        <f t="shared" si="102"/>
        <v>1625400</v>
      </c>
      <c r="BK40" s="9">
        <f t="shared" si="103"/>
        <v>7484100</v>
      </c>
    </row>
    <row r="41" spans="1:63">
      <c r="A41" s="186"/>
      <c r="B41" s="8">
        <v>6</v>
      </c>
      <c r="C41" s="1" t="s">
        <v>115</v>
      </c>
      <c r="D41" s="4" t="s">
        <v>116</v>
      </c>
      <c r="E41" s="4" t="s">
        <v>108</v>
      </c>
      <c r="F41" s="4"/>
      <c r="G41" s="4"/>
      <c r="H41" s="4"/>
      <c r="I41" s="4"/>
      <c r="J41" s="4"/>
      <c r="K41" s="4"/>
      <c r="L41" s="4"/>
      <c r="M41" s="9">
        <f t="shared" si="89"/>
        <v>0</v>
      </c>
      <c r="N41" s="4"/>
      <c r="O41" s="4"/>
      <c r="P41" s="4"/>
      <c r="Q41" s="4"/>
      <c r="R41" s="4"/>
      <c r="S41" s="4"/>
      <c r="T41" s="4"/>
      <c r="U41" s="9">
        <f t="shared" si="90"/>
        <v>0</v>
      </c>
      <c r="V41" s="20"/>
      <c r="W41" s="26"/>
      <c r="X41" s="22"/>
      <c r="Y41" s="22"/>
      <c r="Z41" s="22"/>
      <c r="AA41" s="22"/>
      <c r="AB41" s="22"/>
      <c r="AC41" s="9">
        <f t="shared" si="91"/>
        <v>0</v>
      </c>
      <c r="AD41" s="20"/>
      <c r="AE41" s="24">
        <v>195000</v>
      </c>
      <c r="AF41" s="24"/>
      <c r="AG41" s="24"/>
      <c r="AH41" s="20"/>
      <c r="AI41" s="20"/>
      <c r="AJ41" s="20"/>
      <c r="AK41" s="21">
        <f t="shared" si="92"/>
        <v>195000</v>
      </c>
      <c r="AL41" s="25"/>
      <c r="AM41" s="20"/>
      <c r="AN41" s="20"/>
      <c r="AO41" s="20"/>
      <c r="AP41" s="21">
        <f t="shared" si="93"/>
        <v>0</v>
      </c>
      <c r="AQ41" s="25"/>
      <c r="AR41" s="20"/>
      <c r="AS41" s="20"/>
      <c r="AT41" s="20"/>
      <c r="AU41" s="21">
        <f t="shared" si="94"/>
        <v>0</v>
      </c>
      <c r="AV41" s="25"/>
      <c r="AW41" s="25"/>
      <c r="AX41" s="25"/>
      <c r="AY41" s="25"/>
      <c r="AZ41" s="20"/>
      <c r="BA41" s="20"/>
      <c r="BB41" s="20"/>
      <c r="BC41" s="21">
        <f t="shared" si="95"/>
        <v>0</v>
      </c>
      <c r="BD41" s="4">
        <f t="shared" si="96"/>
        <v>0</v>
      </c>
      <c r="BE41" s="4">
        <f t="shared" si="97"/>
        <v>195000</v>
      </c>
      <c r="BF41" s="4">
        <f t="shared" si="98"/>
        <v>0</v>
      </c>
      <c r="BG41" s="4">
        <f t="shared" si="99"/>
        <v>0</v>
      </c>
      <c r="BH41" s="94">
        <f t="shared" si="100"/>
        <v>0</v>
      </c>
      <c r="BI41" s="94">
        <f t="shared" si="101"/>
        <v>0</v>
      </c>
      <c r="BJ41" s="94">
        <f t="shared" si="102"/>
        <v>0</v>
      </c>
      <c r="BK41" s="9">
        <f t="shared" si="103"/>
        <v>195000</v>
      </c>
    </row>
    <row r="42" spans="1:63" ht="31.5">
      <c r="A42" s="186"/>
      <c r="B42" s="8">
        <v>7</v>
      </c>
      <c r="C42" s="1" t="s">
        <v>117</v>
      </c>
      <c r="D42" s="4" t="s">
        <v>114</v>
      </c>
      <c r="E42" s="4" t="s">
        <v>108</v>
      </c>
      <c r="F42" s="4"/>
      <c r="G42" s="4"/>
      <c r="H42" s="4"/>
      <c r="I42" s="4"/>
      <c r="J42" s="4"/>
      <c r="K42" s="4"/>
      <c r="L42" s="4"/>
      <c r="M42" s="9">
        <f t="shared" si="89"/>
        <v>0</v>
      </c>
      <c r="N42" s="76"/>
      <c r="O42" s="76">
        <v>290000</v>
      </c>
      <c r="P42" s="76">
        <v>-290000</v>
      </c>
      <c r="Q42" s="76">
        <v>913500</v>
      </c>
      <c r="R42" s="4"/>
      <c r="S42" s="4"/>
      <c r="T42" s="4"/>
      <c r="U42" s="9">
        <f t="shared" si="90"/>
        <v>913500</v>
      </c>
      <c r="V42" s="20"/>
      <c r="W42" s="20"/>
      <c r="X42" s="20"/>
      <c r="Y42" s="20"/>
      <c r="Z42" s="20"/>
      <c r="AA42" s="20"/>
      <c r="AB42" s="20"/>
      <c r="AC42" s="9">
        <f t="shared" si="91"/>
        <v>0</v>
      </c>
      <c r="AD42" s="20"/>
      <c r="AE42" s="24"/>
      <c r="AF42" s="24"/>
      <c r="AG42" s="24"/>
      <c r="AH42" s="20"/>
      <c r="AI42" s="20"/>
      <c r="AJ42" s="20"/>
      <c r="AK42" s="21">
        <f t="shared" si="92"/>
        <v>0</v>
      </c>
      <c r="AL42" s="25"/>
      <c r="AM42" s="20"/>
      <c r="AN42" s="20"/>
      <c r="AO42" s="20"/>
      <c r="AP42" s="21">
        <f t="shared" si="93"/>
        <v>0</v>
      </c>
      <c r="AQ42" s="25"/>
      <c r="AR42" s="20"/>
      <c r="AS42" s="20"/>
      <c r="AT42" s="20"/>
      <c r="AU42" s="21">
        <f t="shared" si="94"/>
        <v>0</v>
      </c>
      <c r="AV42" s="25"/>
      <c r="AW42" s="25"/>
      <c r="AX42" s="25"/>
      <c r="AY42" s="25"/>
      <c r="AZ42" s="20"/>
      <c r="BA42" s="20"/>
      <c r="BB42" s="20"/>
      <c r="BC42" s="21">
        <f t="shared" si="95"/>
        <v>0</v>
      </c>
      <c r="BD42" s="4">
        <f t="shared" si="96"/>
        <v>0</v>
      </c>
      <c r="BE42" s="4">
        <f t="shared" si="97"/>
        <v>290000</v>
      </c>
      <c r="BF42" s="4">
        <f t="shared" si="98"/>
        <v>-290000</v>
      </c>
      <c r="BG42" s="4">
        <f t="shared" si="99"/>
        <v>913500</v>
      </c>
      <c r="BH42" s="94">
        <f t="shared" si="100"/>
        <v>0</v>
      </c>
      <c r="BI42" s="94">
        <f t="shared" si="101"/>
        <v>0</v>
      </c>
      <c r="BJ42" s="94">
        <f t="shared" si="102"/>
        <v>0</v>
      </c>
      <c r="BK42" s="9">
        <f t="shared" si="103"/>
        <v>913500</v>
      </c>
    </row>
    <row r="43" spans="1:63">
      <c r="A43" s="186"/>
      <c r="B43" s="8">
        <v>8</v>
      </c>
      <c r="C43" s="1" t="s">
        <v>118</v>
      </c>
      <c r="D43" s="4" t="s">
        <v>108</v>
      </c>
      <c r="E43" s="4" t="s">
        <v>108</v>
      </c>
      <c r="F43" s="4"/>
      <c r="G43" s="4"/>
      <c r="H43" s="4">
        <f>155000+40000</f>
        <v>195000</v>
      </c>
      <c r="I43" s="4">
        <v>371000</v>
      </c>
      <c r="J43" s="4">
        <f>40500+87500+100500+100500+49000</f>
        <v>378000</v>
      </c>
      <c r="K43" s="4">
        <f>292500+145400+36000</f>
        <v>473900</v>
      </c>
      <c r="L43" s="4">
        <v>351000</v>
      </c>
      <c r="M43" s="9">
        <f t="shared" si="89"/>
        <v>1768900</v>
      </c>
      <c r="N43" s="4"/>
      <c r="O43" s="4"/>
      <c r="P43" s="4"/>
      <c r="Q43" s="4"/>
      <c r="R43" s="4"/>
      <c r="S43" s="4"/>
      <c r="T43" s="4"/>
      <c r="U43" s="9">
        <f t="shared" si="90"/>
        <v>0</v>
      </c>
      <c r="V43" s="20"/>
      <c r="W43" s="20"/>
      <c r="X43" s="20"/>
      <c r="Y43" s="20"/>
      <c r="Z43" s="20"/>
      <c r="AA43" s="20"/>
      <c r="AB43" s="20"/>
      <c r="AC43" s="9">
        <f t="shared" si="91"/>
        <v>0</v>
      </c>
      <c r="AD43" s="20"/>
      <c r="AE43" s="20"/>
      <c r="AF43" s="20"/>
      <c r="AG43" s="20"/>
      <c r="AH43" s="20"/>
      <c r="AI43" s="20"/>
      <c r="AJ43" s="20"/>
      <c r="AK43" s="21">
        <f t="shared" si="92"/>
        <v>0</v>
      </c>
      <c r="AL43" s="25"/>
      <c r="AM43" s="20"/>
      <c r="AN43" s="20"/>
      <c r="AO43" s="20"/>
      <c r="AP43" s="21">
        <f t="shared" si="93"/>
        <v>0</v>
      </c>
      <c r="AQ43" s="25"/>
      <c r="AR43" s="20"/>
      <c r="AS43" s="20"/>
      <c r="AT43" s="20"/>
      <c r="AU43" s="21">
        <f t="shared" si="94"/>
        <v>0</v>
      </c>
      <c r="AV43" s="25"/>
      <c r="AW43" s="25"/>
      <c r="AX43" s="25"/>
      <c r="AY43" s="25"/>
      <c r="AZ43" s="20"/>
      <c r="BA43" s="20"/>
      <c r="BB43" s="20"/>
      <c r="BC43" s="21">
        <f t="shared" si="95"/>
        <v>0</v>
      </c>
      <c r="BD43" s="4">
        <f t="shared" si="96"/>
        <v>0</v>
      </c>
      <c r="BE43" s="4">
        <f t="shared" si="97"/>
        <v>0</v>
      </c>
      <c r="BF43" s="4">
        <f t="shared" si="98"/>
        <v>195000</v>
      </c>
      <c r="BG43" s="4">
        <f t="shared" si="99"/>
        <v>371000</v>
      </c>
      <c r="BH43" s="94">
        <f t="shared" si="100"/>
        <v>378000</v>
      </c>
      <c r="BI43" s="94">
        <f t="shared" si="101"/>
        <v>473900</v>
      </c>
      <c r="BJ43" s="94">
        <f t="shared" si="102"/>
        <v>351000</v>
      </c>
      <c r="BK43" s="9">
        <f t="shared" si="103"/>
        <v>1768900</v>
      </c>
    </row>
    <row r="44" spans="1:63">
      <c r="A44" s="187"/>
      <c r="B44" s="8">
        <v>9</v>
      </c>
      <c r="C44" s="1" t="s">
        <v>121</v>
      </c>
      <c r="D44" s="4" t="s">
        <v>108</v>
      </c>
      <c r="E44" s="4" t="s">
        <v>108</v>
      </c>
      <c r="F44" s="4"/>
      <c r="G44" s="4">
        <v>155000</v>
      </c>
      <c r="H44" s="4">
        <v>44000</v>
      </c>
      <c r="I44" s="4"/>
      <c r="J44" s="4"/>
      <c r="K44" s="4"/>
      <c r="L44" s="4"/>
      <c r="M44" s="9">
        <f t="shared" si="89"/>
        <v>199000</v>
      </c>
      <c r="N44" s="4"/>
      <c r="O44" s="4"/>
      <c r="P44" s="4"/>
      <c r="Q44" s="4"/>
      <c r="R44" s="4"/>
      <c r="S44" s="4"/>
      <c r="T44" s="4"/>
      <c r="U44" s="9">
        <f t="shared" si="90"/>
        <v>0</v>
      </c>
      <c r="V44" s="20"/>
      <c r="W44" s="20"/>
      <c r="X44" s="20"/>
      <c r="Y44" s="20"/>
      <c r="Z44" s="20"/>
      <c r="AA44" s="20"/>
      <c r="AB44" s="20"/>
      <c r="AC44" s="9">
        <f t="shared" si="91"/>
        <v>0</v>
      </c>
      <c r="AD44" s="20"/>
      <c r="AE44" s="20">
        <v>195000</v>
      </c>
      <c r="AF44" s="24">
        <v>188250</v>
      </c>
      <c r="AG44" s="24"/>
      <c r="AH44" s="20"/>
      <c r="AI44" s="20"/>
      <c r="AJ44" s="20"/>
      <c r="AK44" s="21">
        <f t="shared" si="92"/>
        <v>383250</v>
      </c>
      <c r="AL44" s="25"/>
      <c r="AM44" s="20"/>
      <c r="AN44" s="20"/>
      <c r="AO44" s="20"/>
      <c r="AP44" s="21">
        <f t="shared" si="93"/>
        <v>0</v>
      </c>
      <c r="AQ44" s="25"/>
      <c r="AR44" s="20"/>
      <c r="AS44" s="20"/>
      <c r="AT44" s="20"/>
      <c r="AU44" s="21">
        <f t="shared" si="94"/>
        <v>0</v>
      </c>
      <c r="AV44" s="25"/>
      <c r="AW44" s="25"/>
      <c r="AX44" s="25"/>
      <c r="AY44" s="25"/>
      <c r="AZ44" s="20"/>
      <c r="BA44" s="20"/>
      <c r="BB44" s="20"/>
      <c r="BC44" s="21">
        <f t="shared" si="95"/>
        <v>0</v>
      </c>
      <c r="BD44" s="4">
        <f t="shared" si="96"/>
        <v>0</v>
      </c>
      <c r="BE44" s="4">
        <f t="shared" si="97"/>
        <v>350000</v>
      </c>
      <c r="BF44" s="4">
        <f t="shared" si="98"/>
        <v>232250</v>
      </c>
      <c r="BG44" s="4">
        <f t="shared" si="99"/>
        <v>0</v>
      </c>
      <c r="BH44" s="94">
        <f t="shared" si="100"/>
        <v>0</v>
      </c>
      <c r="BI44" s="94">
        <f t="shared" si="101"/>
        <v>0</v>
      </c>
      <c r="BJ44" s="94">
        <f t="shared" si="102"/>
        <v>0</v>
      </c>
      <c r="BK44" s="9">
        <f t="shared" si="103"/>
        <v>582250</v>
      </c>
    </row>
    <row r="45" spans="1:63" s="38" customFormat="1">
      <c r="A45" s="34"/>
      <c r="B45" s="34"/>
      <c r="C45" s="35" t="s">
        <v>122</v>
      </c>
      <c r="D45" s="37"/>
      <c r="E45" s="37"/>
      <c r="F45" s="37">
        <f t="shared" ref="F45:BK45" si="104">SUM(F36:F44)</f>
        <v>310000</v>
      </c>
      <c r="G45" s="37">
        <f t="shared" si="104"/>
        <v>919000</v>
      </c>
      <c r="H45" s="37">
        <f t="shared" si="104"/>
        <v>756500</v>
      </c>
      <c r="I45" s="37">
        <f t="shared" si="104"/>
        <v>631000</v>
      </c>
      <c r="J45" s="37">
        <f t="shared" si="104"/>
        <v>378000</v>
      </c>
      <c r="K45" s="37">
        <f t="shared" si="104"/>
        <v>473900</v>
      </c>
      <c r="L45" s="37">
        <f t="shared" ref="L45" si="105">SUM(L36:L44)</f>
        <v>351000</v>
      </c>
      <c r="M45" s="37">
        <f t="shared" si="104"/>
        <v>3819400</v>
      </c>
      <c r="N45" s="37">
        <f t="shared" si="104"/>
        <v>290000</v>
      </c>
      <c r="O45" s="37">
        <f t="shared" si="104"/>
        <v>2490000</v>
      </c>
      <c r="P45" s="37">
        <f t="shared" si="104"/>
        <v>910000</v>
      </c>
      <c r="Q45" s="37">
        <f t="shared" si="104"/>
        <v>1613500</v>
      </c>
      <c r="R45" s="37">
        <f t="shared" si="104"/>
        <v>730000</v>
      </c>
      <c r="S45" s="37">
        <f t="shared" si="104"/>
        <v>750000</v>
      </c>
      <c r="T45" s="37">
        <f t="shared" ref="T45" si="106">SUM(T36:T44)</f>
        <v>1400000</v>
      </c>
      <c r="U45" s="37">
        <f t="shared" si="104"/>
        <v>8183500</v>
      </c>
      <c r="V45" s="37">
        <f t="shared" si="104"/>
        <v>290000</v>
      </c>
      <c r="W45" s="37">
        <f t="shared" si="104"/>
        <v>364000</v>
      </c>
      <c r="X45" s="37">
        <f t="shared" si="104"/>
        <v>404000</v>
      </c>
      <c r="Y45" s="37">
        <f t="shared" si="104"/>
        <v>248000</v>
      </c>
      <c r="Z45" s="37">
        <f t="shared" si="104"/>
        <v>0</v>
      </c>
      <c r="AA45" s="37">
        <f t="shared" si="104"/>
        <v>0</v>
      </c>
      <c r="AB45" s="37">
        <f t="shared" ref="AB45" si="107">SUM(AB36:AB44)</f>
        <v>0</v>
      </c>
      <c r="AC45" s="37">
        <f t="shared" si="104"/>
        <v>1306000</v>
      </c>
      <c r="AD45" s="37">
        <f t="shared" si="104"/>
        <v>195000</v>
      </c>
      <c r="AE45" s="37">
        <f t="shared" si="104"/>
        <v>1186900</v>
      </c>
      <c r="AF45" s="37">
        <f t="shared" si="104"/>
        <v>982000</v>
      </c>
      <c r="AG45" s="37">
        <f t="shared" si="104"/>
        <v>242000</v>
      </c>
      <c r="AH45" s="37">
        <f t="shared" si="104"/>
        <v>0</v>
      </c>
      <c r="AI45" s="37">
        <f t="shared" si="104"/>
        <v>0</v>
      </c>
      <c r="AJ45" s="37">
        <f t="shared" ref="AJ45" si="108">SUM(AJ36:AJ44)</f>
        <v>0</v>
      </c>
      <c r="AK45" s="37">
        <f t="shared" si="104"/>
        <v>2605900</v>
      </c>
      <c r="AL45" s="37">
        <f t="shared" si="104"/>
        <v>409500</v>
      </c>
      <c r="AM45" s="37">
        <f t="shared" si="104"/>
        <v>542500</v>
      </c>
      <c r="AN45" s="37">
        <f t="shared" si="104"/>
        <v>1329300</v>
      </c>
      <c r="AO45" s="37">
        <f t="shared" ref="AO45" si="109">SUM(AO36:AO44)</f>
        <v>1625400</v>
      </c>
      <c r="AP45" s="37">
        <f t="shared" si="104"/>
        <v>3906700</v>
      </c>
      <c r="AQ45" s="37">
        <f t="shared" si="104"/>
        <v>0</v>
      </c>
      <c r="AR45" s="37">
        <f t="shared" si="104"/>
        <v>0</v>
      </c>
      <c r="AS45" s="37">
        <f t="shared" si="104"/>
        <v>0</v>
      </c>
      <c r="AT45" s="37">
        <f t="shared" ref="AT45" si="110">SUM(AT36:AT44)</f>
        <v>0</v>
      </c>
      <c r="AU45" s="37">
        <f t="shared" si="104"/>
        <v>0</v>
      </c>
      <c r="AV45" s="37">
        <f t="shared" si="104"/>
        <v>0</v>
      </c>
      <c r="AW45" s="37">
        <f t="shared" si="104"/>
        <v>0</v>
      </c>
      <c r="AX45" s="37">
        <f t="shared" si="104"/>
        <v>100000</v>
      </c>
      <c r="AY45" s="37">
        <f t="shared" si="104"/>
        <v>0</v>
      </c>
      <c r="AZ45" s="37">
        <f t="shared" si="104"/>
        <v>0</v>
      </c>
      <c r="BA45" s="37">
        <f t="shared" si="104"/>
        <v>0</v>
      </c>
      <c r="BB45" s="37">
        <f t="shared" ref="BB45" si="111">SUM(BB36:BB44)</f>
        <v>0</v>
      </c>
      <c r="BC45" s="37">
        <f t="shared" si="104"/>
        <v>100000</v>
      </c>
      <c r="BD45" s="37">
        <f t="shared" si="104"/>
        <v>1085000</v>
      </c>
      <c r="BE45" s="37">
        <f t="shared" si="104"/>
        <v>4959900</v>
      </c>
      <c r="BF45" s="37">
        <f t="shared" si="104"/>
        <v>3152500</v>
      </c>
      <c r="BG45" s="37">
        <f t="shared" si="104"/>
        <v>3144000</v>
      </c>
      <c r="BH45" s="37">
        <f t="shared" si="104"/>
        <v>1650500</v>
      </c>
      <c r="BI45" s="144">
        <f>SUM(BI36:BI44)</f>
        <v>2553200</v>
      </c>
      <c r="BJ45" s="37">
        <f t="shared" ref="BJ45" si="112">SUM(BJ36:BJ44)</f>
        <v>3376400</v>
      </c>
      <c r="BK45" s="37">
        <f t="shared" si="104"/>
        <v>19921500</v>
      </c>
    </row>
    <row r="46" spans="1:63" ht="31.5">
      <c r="A46" s="185" t="s">
        <v>20</v>
      </c>
      <c r="B46" s="8">
        <v>1</v>
      </c>
      <c r="C46" s="1" t="s">
        <v>123</v>
      </c>
      <c r="D46" s="4" t="s">
        <v>124</v>
      </c>
      <c r="E46" s="4" t="s">
        <v>20</v>
      </c>
      <c r="F46" s="4"/>
      <c r="G46" s="4"/>
      <c r="H46" s="5"/>
      <c r="I46" s="4"/>
      <c r="J46" s="4"/>
      <c r="K46" s="4"/>
      <c r="L46" s="4"/>
      <c r="M46" s="9">
        <f t="shared" ref="M46:M53" si="113">SUM(F46:L46)</f>
        <v>0</v>
      </c>
      <c r="N46" s="4"/>
      <c r="O46" s="4"/>
      <c r="P46" s="4"/>
      <c r="Q46" s="4"/>
      <c r="R46" s="4"/>
      <c r="S46" s="4"/>
      <c r="T46" s="4"/>
      <c r="U46" s="9">
        <f t="shared" ref="U46:U53" si="114">SUM(N46:T46)</f>
        <v>0</v>
      </c>
      <c r="V46" s="20"/>
      <c r="W46" s="20"/>
      <c r="X46" s="20"/>
      <c r="Y46" s="20"/>
      <c r="Z46" s="20"/>
      <c r="AA46" s="20"/>
      <c r="AB46" s="20"/>
      <c r="AC46" s="9">
        <f t="shared" ref="AC46:AC53" si="115">SUM(V46:AB46)</f>
        <v>0</v>
      </c>
      <c r="AD46" s="20"/>
      <c r="AE46" s="25">
        <v>481150</v>
      </c>
      <c r="AF46" s="25">
        <f>202300+70000</f>
        <v>272300</v>
      </c>
      <c r="AG46" s="24">
        <v>478000</v>
      </c>
      <c r="AH46" s="20">
        <f>49000+98000+364000+112000</f>
        <v>623000</v>
      </c>
      <c r="AI46" s="20">
        <f>491750+123200+61600</f>
        <v>676550</v>
      </c>
      <c r="AJ46" s="20">
        <v>498500</v>
      </c>
      <c r="AK46" s="21">
        <f t="shared" ref="AK46:AK53" si="116">SUM(AD46:AJ46)</f>
        <v>3029500</v>
      </c>
      <c r="AL46" s="25">
        <v>0</v>
      </c>
      <c r="AM46" s="20"/>
      <c r="AN46" s="20"/>
      <c r="AO46" s="20"/>
      <c r="AP46" s="21">
        <f t="shared" ref="AP46:AP53" si="117">SUM(AL46:AO46)</f>
        <v>0</v>
      </c>
      <c r="AQ46" s="25"/>
      <c r="AR46" s="20"/>
      <c r="AS46" s="20"/>
      <c r="AT46" s="20"/>
      <c r="AU46" s="21">
        <f t="shared" ref="AU46:AU53" si="118">SUM(AQ46:AT46)</f>
        <v>0</v>
      </c>
      <c r="AV46" s="25"/>
      <c r="AW46" s="25"/>
      <c r="AX46" s="25"/>
      <c r="AY46" s="25"/>
      <c r="AZ46" s="20"/>
      <c r="BA46" s="20"/>
      <c r="BB46" s="20"/>
      <c r="BC46" s="21">
        <f t="shared" ref="BC46:BC53" si="119">SUM(AV46:BB46)</f>
        <v>0</v>
      </c>
      <c r="BD46" s="4">
        <f t="shared" ref="BD46:BF53" si="120">F46+N46+V46+AD46+AV46</f>
        <v>0</v>
      </c>
      <c r="BE46" s="4">
        <f t="shared" si="120"/>
        <v>481150</v>
      </c>
      <c r="BF46" s="4">
        <f t="shared" si="120"/>
        <v>272300</v>
      </c>
      <c r="BG46" s="4">
        <f t="shared" ref="BG46:BJ53" si="121">I46+Q46+Y46+AG46+AL46+AQ46+AY46</f>
        <v>478000</v>
      </c>
      <c r="BH46" s="94">
        <f t="shared" si="121"/>
        <v>623000</v>
      </c>
      <c r="BI46" s="94">
        <f t="shared" si="121"/>
        <v>676550</v>
      </c>
      <c r="BJ46" s="94">
        <f t="shared" si="121"/>
        <v>498500</v>
      </c>
      <c r="BK46" s="9">
        <f t="shared" ref="BK46:BK53" si="122">SUM(BD46:BJ46)</f>
        <v>3029500</v>
      </c>
    </row>
    <row r="47" spans="1:63" ht="31.5">
      <c r="A47" s="186"/>
      <c r="B47" s="8">
        <v>2</v>
      </c>
      <c r="C47" s="1" t="s">
        <v>125</v>
      </c>
      <c r="D47" s="4" t="s">
        <v>126</v>
      </c>
      <c r="E47" s="4" t="s">
        <v>20</v>
      </c>
      <c r="F47" s="4">
        <v>155000</v>
      </c>
      <c r="G47" s="4">
        <v>712500</v>
      </c>
      <c r="H47" s="4">
        <f>60500+60500+200000</f>
        <v>321000</v>
      </c>
      <c r="I47" s="4">
        <f>160000+20000</f>
        <v>180000</v>
      </c>
      <c r="J47" s="4"/>
      <c r="K47" s="4"/>
      <c r="L47" s="4"/>
      <c r="M47" s="9">
        <f t="shared" si="113"/>
        <v>1368500</v>
      </c>
      <c r="N47" s="4"/>
      <c r="O47" s="4"/>
      <c r="P47" s="4"/>
      <c r="Q47" s="4"/>
      <c r="R47" s="4"/>
      <c r="S47" s="4"/>
      <c r="T47" s="4"/>
      <c r="U47" s="9">
        <f t="shared" si="114"/>
        <v>0</v>
      </c>
      <c r="V47" s="20"/>
      <c r="W47" s="20"/>
      <c r="X47" s="20"/>
      <c r="Y47" s="20"/>
      <c r="Z47" s="20"/>
      <c r="AA47" s="20"/>
      <c r="AB47" s="20"/>
      <c r="AC47" s="9">
        <f t="shared" si="115"/>
        <v>0</v>
      </c>
      <c r="AD47" s="20">
        <v>195000</v>
      </c>
      <c r="AE47" s="25">
        <v>608650</v>
      </c>
      <c r="AF47" s="25">
        <v>377050</v>
      </c>
      <c r="AG47" s="24">
        <v>40000</v>
      </c>
      <c r="AH47" s="20"/>
      <c r="AI47" s="20"/>
      <c r="AJ47" s="20"/>
      <c r="AK47" s="21">
        <f t="shared" si="116"/>
        <v>1220700</v>
      </c>
      <c r="AL47" s="25">
        <v>770000</v>
      </c>
      <c r="AM47" s="20">
        <f>70000+210000+210000+210000+140000</f>
        <v>840000</v>
      </c>
      <c r="AN47" s="20">
        <f>941892+217055+109185</f>
        <v>1268132</v>
      </c>
      <c r="AO47" s="20">
        <v>1415450</v>
      </c>
      <c r="AP47" s="21">
        <f t="shared" si="117"/>
        <v>4293582</v>
      </c>
      <c r="AQ47" s="25"/>
      <c r="AR47" s="20"/>
      <c r="AS47" s="20"/>
      <c r="AT47" s="20"/>
      <c r="AU47" s="21">
        <f t="shared" si="118"/>
        <v>0</v>
      </c>
      <c r="AV47" s="25"/>
      <c r="AW47" s="25"/>
      <c r="AX47" s="25"/>
      <c r="AY47" s="25"/>
      <c r="AZ47" s="20"/>
      <c r="BA47" s="20"/>
      <c r="BB47" s="20"/>
      <c r="BC47" s="21">
        <f t="shared" si="119"/>
        <v>0</v>
      </c>
      <c r="BD47" s="4">
        <f t="shared" si="120"/>
        <v>350000</v>
      </c>
      <c r="BE47" s="4">
        <f t="shared" si="120"/>
        <v>1321150</v>
      </c>
      <c r="BF47" s="4">
        <f t="shared" si="120"/>
        <v>698050</v>
      </c>
      <c r="BG47" s="4">
        <f t="shared" si="121"/>
        <v>990000</v>
      </c>
      <c r="BH47" s="94">
        <f t="shared" si="121"/>
        <v>840000</v>
      </c>
      <c r="BI47" s="94">
        <f t="shared" si="121"/>
        <v>1268132</v>
      </c>
      <c r="BJ47" s="94">
        <f t="shared" si="121"/>
        <v>1415450</v>
      </c>
      <c r="BK47" s="9">
        <f t="shared" si="122"/>
        <v>6882782</v>
      </c>
    </row>
    <row r="48" spans="1:63">
      <c r="A48" s="186"/>
      <c r="B48" s="8">
        <v>3</v>
      </c>
      <c r="C48" s="1" t="s">
        <v>127</v>
      </c>
      <c r="D48" s="4" t="s">
        <v>128</v>
      </c>
      <c r="E48" s="4" t="s">
        <v>20</v>
      </c>
      <c r="F48" s="4"/>
      <c r="G48" s="4">
        <v>155000</v>
      </c>
      <c r="H48" s="4">
        <v>311100</v>
      </c>
      <c r="I48" s="4"/>
      <c r="J48" s="4"/>
      <c r="K48" s="4"/>
      <c r="L48" s="4"/>
      <c r="M48" s="9">
        <f t="shared" si="113"/>
        <v>466100</v>
      </c>
      <c r="N48" s="4"/>
      <c r="O48" s="4"/>
      <c r="P48" s="4"/>
      <c r="Q48" s="4"/>
      <c r="R48" s="4"/>
      <c r="S48" s="4"/>
      <c r="T48" s="4"/>
      <c r="U48" s="9">
        <f t="shared" si="114"/>
        <v>0</v>
      </c>
      <c r="V48" s="20"/>
      <c r="W48" s="20"/>
      <c r="X48" s="20"/>
      <c r="Y48" s="20"/>
      <c r="Z48" s="20"/>
      <c r="AA48" s="20"/>
      <c r="AB48" s="20"/>
      <c r="AC48" s="9">
        <f t="shared" si="115"/>
        <v>0</v>
      </c>
      <c r="AD48" s="20"/>
      <c r="AE48" s="20"/>
      <c r="AF48" s="20"/>
      <c r="AG48" s="20"/>
      <c r="AH48" s="20"/>
      <c r="AI48" s="20"/>
      <c r="AJ48" s="20"/>
      <c r="AK48" s="21">
        <f t="shared" si="116"/>
        <v>0</v>
      </c>
      <c r="AL48" s="25">
        <v>0</v>
      </c>
      <c r="AM48" s="20"/>
      <c r="AN48" s="20"/>
      <c r="AO48" s="20"/>
      <c r="AP48" s="21">
        <f t="shared" si="117"/>
        <v>0</v>
      </c>
      <c r="AQ48" s="25"/>
      <c r="AR48" s="20"/>
      <c r="AS48" s="20"/>
      <c r="AT48" s="20"/>
      <c r="AU48" s="21">
        <f t="shared" si="118"/>
        <v>0</v>
      </c>
      <c r="AV48" s="25"/>
      <c r="AW48" s="24">
        <v>100000</v>
      </c>
      <c r="AX48" s="25"/>
      <c r="AY48" s="25"/>
      <c r="AZ48" s="20"/>
      <c r="BA48" s="20"/>
      <c r="BB48" s="20"/>
      <c r="BC48" s="21">
        <f t="shared" si="119"/>
        <v>100000</v>
      </c>
      <c r="BD48" s="4">
        <f t="shared" si="120"/>
        <v>0</v>
      </c>
      <c r="BE48" s="4">
        <f t="shared" si="120"/>
        <v>255000</v>
      </c>
      <c r="BF48" s="4">
        <f t="shared" si="120"/>
        <v>311100</v>
      </c>
      <c r="BG48" s="4">
        <f t="shared" si="121"/>
        <v>0</v>
      </c>
      <c r="BH48" s="94">
        <f t="shared" si="121"/>
        <v>0</v>
      </c>
      <c r="BI48" s="94">
        <f t="shared" si="121"/>
        <v>0</v>
      </c>
      <c r="BJ48" s="94">
        <f t="shared" si="121"/>
        <v>0</v>
      </c>
      <c r="BK48" s="9">
        <f t="shared" si="122"/>
        <v>566100</v>
      </c>
    </row>
    <row r="49" spans="1:63">
      <c r="A49" s="186"/>
      <c r="B49" s="8">
        <v>4</v>
      </c>
      <c r="C49" s="1" t="s">
        <v>129</v>
      </c>
      <c r="D49" s="4" t="s">
        <v>130</v>
      </c>
      <c r="E49" s="4" t="s">
        <v>20</v>
      </c>
      <c r="F49" s="4"/>
      <c r="G49" s="4">
        <v>155000</v>
      </c>
      <c r="H49" s="4"/>
      <c r="I49" s="4"/>
      <c r="J49" s="4"/>
      <c r="K49" s="4"/>
      <c r="L49" s="4"/>
      <c r="M49" s="9">
        <f t="shared" si="113"/>
        <v>155000</v>
      </c>
      <c r="N49" s="4"/>
      <c r="O49" s="4"/>
      <c r="P49" s="4"/>
      <c r="Q49" s="4"/>
      <c r="R49" s="4"/>
      <c r="S49" s="4"/>
      <c r="T49" s="4"/>
      <c r="U49" s="9">
        <f t="shared" si="114"/>
        <v>0</v>
      </c>
      <c r="V49" s="20"/>
      <c r="W49" s="20"/>
      <c r="X49" s="20"/>
      <c r="Y49" s="20"/>
      <c r="Z49" s="20"/>
      <c r="AA49" s="20"/>
      <c r="AB49" s="20"/>
      <c r="AC49" s="9">
        <f t="shared" si="115"/>
        <v>0</v>
      </c>
      <c r="AD49" s="20"/>
      <c r="AE49" s="20">
        <v>195000</v>
      </c>
      <c r="AF49" s="25">
        <v>73150</v>
      </c>
      <c r="AG49" s="24">
        <v>30000</v>
      </c>
      <c r="AH49" s="20"/>
      <c r="AI49" s="20"/>
      <c r="AJ49" s="20"/>
      <c r="AK49" s="21">
        <f t="shared" si="116"/>
        <v>298150</v>
      </c>
      <c r="AL49" s="25">
        <v>0</v>
      </c>
      <c r="AM49" s="20"/>
      <c r="AN49" s="20"/>
      <c r="AO49" s="20"/>
      <c r="AP49" s="21">
        <f t="shared" si="117"/>
        <v>0</v>
      </c>
      <c r="AQ49" s="25"/>
      <c r="AR49" s="20"/>
      <c r="AS49" s="20"/>
      <c r="AT49" s="20"/>
      <c r="AU49" s="21">
        <f t="shared" si="118"/>
        <v>0</v>
      </c>
      <c r="AV49" s="25"/>
      <c r="AW49" s="25"/>
      <c r="AX49" s="25"/>
      <c r="AY49" s="25"/>
      <c r="AZ49" s="20"/>
      <c r="BA49" s="20"/>
      <c r="BB49" s="20"/>
      <c r="BC49" s="21">
        <f t="shared" si="119"/>
        <v>0</v>
      </c>
      <c r="BD49" s="4">
        <f t="shared" si="120"/>
        <v>0</v>
      </c>
      <c r="BE49" s="4">
        <f t="shared" si="120"/>
        <v>350000</v>
      </c>
      <c r="BF49" s="4">
        <f t="shared" si="120"/>
        <v>73150</v>
      </c>
      <c r="BG49" s="4">
        <f t="shared" si="121"/>
        <v>30000</v>
      </c>
      <c r="BH49" s="94">
        <f t="shared" si="121"/>
        <v>0</v>
      </c>
      <c r="BI49" s="94">
        <f t="shared" si="121"/>
        <v>0</v>
      </c>
      <c r="BJ49" s="94">
        <f t="shared" si="121"/>
        <v>0</v>
      </c>
      <c r="BK49" s="9">
        <f t="shared" si="122"/>
        <v>453150</v>
      </c>
    </row>
    <row r="50" spans="1:63" ht="31.5">
      <c r="A50" s="186"/>
      <c r="B50" s="8">
        <v>5</v>
      </c>
      <c r="C50" s="1" t="s">
        <v>131</v>
      </c>
      <c r="D50" s="4" t="s">
        <v>132</v>
      </c>
      <c r="E50" s="4" t="s">
        <v>20</v>
      </c>
      <c r="F50" s="4">
        <v>155000</v>
      </c>
      <c r="G50" s="4">
        <v>427000</v>
      </c>
      <c r="H50" s="4">
        <f>71500+71500+231000</f>
        <v>374000</v>
      </c>
      <c r="I50" s="4"/>
      <c r="J50" s="4"/>
      <c r="K50" s="4"/>
      <c r="L50" s="4"/>
      <c r="M50" s="9">
        <f t="shared" si="113"/>
        <v>956000</v>
      </c>
      <c r="N50" s="4"/>
      <c r="O50" s="4"/>
      <c r="P50" s="4"/>
      <c r="Q50" s="4"/>
      <c r="R50" s="4"/>
      <c r="S50" s="4"/>
      <c r="T50" s="4"/>
      <c r="U50" s="9">
        <f t="shared" si="114"/>
        <v>0</v>
      </c>
      <c r="V50" s="20"/>
      <c r="W50" s="20"/>
      <c r="X50" s="20"/>
      <c r="Y50" s="20"/>
      <c r="Z50" s="20"/>
      <c r="AA50" s="20"/>
      <c r="AB50" s="20"/>
      <c r="AC50" s="9">
        <f t="shared" si="115"/>
        <v>0</v>
      </c>
      <c r="AD50" s="20"/>
      <c r="AE50" s="25">
        <v>585250</v>
      </c>
      <c r="AF50" s="25">
        <v>174600</v>
      </c>
      <c r="AG50" s="25"/>
      <c r="AH50" s="20"/>
      <c r="AI50" s="20"/>
      <c r="AJ50" s="20"/>
      <c r="AK50" s="21">
        <f t="shared" si="116"/>
        <v>759850</v>
      </c>
      <c r="AL50" s="25">
        <v>0</v>
      </c>
      <c r="AM50" s="20"/>
      <c r="AN50" s="20">
        <f>707200+202800+104000</f>
        <v>1014000</v>
      </c>
      <c r="AO50" s="20">
        <v>1258400</v>
      </c>
      <c r="AP50" s="21">
        <f t="shared" si="117"/>
        <v>2272400</v>
      </c>
      <c r="AQ50" s="25"/>
      <c r="AR50" s="20"/>
      <c r="AS50" s="20"/>
      <c r="AT50" s="20"/>
      <c r="AU50" s="21">
        <f t="shared" si="118"/>
        <v>0</v>
      </c>
      <c r="AV50" s="25"/>
      <c r="AW50" s="25"/>
      <c r="AX50" s="25"/>
      <c r="AY50" s="25"/>
      <c r="AZ50" s="20"/>
      <c r="BA50" s="20"/>
      <c r="BB50" s="20"/>
      <c r="BC50" s="21">
        <f t="shared" si="119"/>
        <v>0</v>
      </c>
      <c r="BD50" s="4">
        <f t="shared" si="120"/>
        <v>155000</v>
      </c>
      <c r="BE50" s="4">
        <f t="shared" si="120"/>
        <v>1012250</v>
      </c>
      <c r="BF50" s="4">
        <f t="shared" si="120"/>
        <v>548600</v>
      </c>
      <c r="BG50" s="4">
        <f t="shared" si="121"/>
        <v>0</v>
      </c>
      <c r="BH50" s="94">
        <f t="shared" si="121"/>
        <v>0</v>
      </c>
      <c r="BI50" s="94">
        <f t="shared" si="121"/>
        <v>1014000</v>
      </c>
      <c r="BJ50" s="94">
        <f t="shared" si="121"/>
        <v>1258400</v>
      </c>
      <c r="BK50" s="9">
        <f t="shared" si="122"/>
        <v>3988250</v>
      </c>
    </row>
    <row r="51" spans="1:63">
      <c r="A51" s="186"/>
      <c r="B51" s="8">
        <v>6</v>
      </c>
      <c r="C51" s="1" t="s">
        <v>52</v>
      </c>
      <c r="D51" s="4" t="s">
        <v>30</v>
      </c>
      <c r="E51" s="4" t="s">
        <v>20</v>
      </c>
      <c r="F51" s="4">
        <v>155000</v>
      </c>
      <c r="G51" s="4">
        <v>279000</v>
      </c>
      <c r="H51" s="4">
        <f>108000+36000</f>
        <v>144000</v>
      </c>
      <c r="I51" s="4">
        <v>218000</v>
      </c>
      <c r="J51" s="4">
        <f>15000+198000</f>
        <v>213000</v>
      </c>
      <c r="K51" s="4">
        <v>45000</v>
      </c>
      <c r="L51" s="4"/>
      <c r="M51" s="9">
        <f t="shared" si="113"/>
        <v>1054000</v>
      </c>
      <c r="N51" s="4"/>
      <c r="O51" s="4"/>
      <c r="P51" s="4"/>
      <c r="Q51" s="4"/>
      <c r="R51" s="4"/>
      <c r="S51" s="4"/>
      <c r="T51" s="4"/>
      <c r="U51" s="9">
        <f t="shared" si="114"/>
        <v>0</v>
      </c>
      <c r="V51" s="20"/>
      <c r="W51" s="20"/>
      <c r="X51" s="20"/>
      <c r="Y51" s="20"/>
      <c r="Z51" s="20"/>
      <c r="AA51" s="20"/>
      <c r="AB51" s="20"/>
      <c r="AC51" s="9">
        <f t="shared" si="115"/>
        <v>0</v>
      </c>
      <c r="AD51" s="20"/>
      <c r="AE51" s="20"/>
      <c r="AF51" s="20"/>
      <c r="AG51" s="20"/>
      <c r="AH51" s="20"/>
      <c r="AI51" s="20"/>
      <c r="AJ51" s="20"/>
      <c r="AK51" s="21">
        <f t="shared" si="116"/>
        <v>0</v>
      </c>
      <c r="AL51" s="25">
        <v>0</v>
      </c>
      <c r="AM51" s="20"/>
      <c r="AN51" s="20"/>
      <c r="AO51" s="20"/>
      <c r="AP51" s="21">
        <f t="shared" si="117"/>
        <v>0</v>
      </c>
      <c r="AQ51" s="25"/>
      <c r="AR51" s="20"/>
      <c r="AS51" s="20"/>
      <c r="AT51" s="20"/>
      <c r="AU51" s="21">
        <f t="shared" si="118"/>
        <v>0</v>
      </c>
      <c r="AV51" s="25"/>
      <c r="AW51" s="25"/>
      <c r="AX51" s="25"/>
      <c r="AY51" s="25"/>
      <c r="AZ51" s="20"/>
      <c r="BA51" s="20"/>
      <c r="BB51" s="20"/>
      <c r="BC51" s="21">
        <f t="shared" si="119"/>
        <v>0</v>
      </c>
      <c r="BD51" s="4">
        <f t="shared" si="120"/>
        <v>155000</v>
      </c>
      <c r="BE51" s="4">
        <f t="shared" si="120"/>
        <v>279000</v>
      </c>
      <c r="BF51" s="4">
        <f t="shared" si="120"/>
        <v>144000</v>
      </c>
      <c r="BG51" s="4">
        <f t="shared" si="121"/>
        <v>218000</v>
      </c>
      <c r="BH51" s="94">
        <f t="shared" si="121"/>
        <v>213000</v>
      </c>
      <c r="BI51" s="94">
        <f t="shared" si="121"/>
        <v>45000</v>
      </c>
      <c r="BJ51" s="94">
        <f t="shared" si="121"/>
        <v>0</v>
      </c>
      <c r="BK51" s="9">
        <f t="shared" si="122"/>
        <v>1054000</v>
      </c>
    </row>
    <row r="52" spans="1:63" ht="31.5">
      <c r="A52" s="186"/>
      <c r="B52" s="8">
        <v>7</v>
      </c>
      <c r="C52" s="1" t="s">
        <v>133</v>
      </c>
      <c r="D52" s="4" t="s">
        <v>134</v>
      </c>
      <c r="E52" s="4" t="s">
        <v>20</v>
      </c>
      <c r="F52" s="4">
        <v>155000</v>
      </c>
      <c r="G52" s="4">
        <v>823000</v>
      </c>
      <c r="H52" s="4">
        <f>82500+82500</f>
        <v>165000</v>
      </c>
      <c r="I52" s="4"/>
      <c r="J52" s="4"/>
      <c r="K52" s="4"/>
      <c r="L52" s="4"/>
      <c r="M52" s="9">
        <f t="shared" si="113"/>
        <v>1143000</v>
      </c>
      <c r="N52" s="4"/>
      <c r="O52" s="4"/>
      <c r="P52" s="4"/>
      <c r="Q52" s="4"/>
      <c r="R52" s="4"/>
      <c r="S52" s="4"/>
      <c r="T52" s="4"/>
      <c r="U52" s="9">
        <f t="shared" si="114"/>
        <v>0</v>
      </c>
      <c r="V52" s="20">
        <v>290000</v>
      </c>
      <c r="W52" s="22">
        <v>1267000</v>
      </c>
      <c r="X52" s="4">
        <v>448000</v>
      </c>
      <c r="Y52" s="22"/>
      <c r="Z52" s="22"/>
      <c r="AA52" s="22">
        <f>1743000+581000</f>
        <v>2324000</v>
      </c>
      <c r="AB52" s="22">
        <f>203000+595000+406000+210000+210000+420000+210000</f>
        <v>2254000</v>
      </c>
      <c r="AC52" s="9">
        <f t="shared" si="115"/>
        <v>6583000</v>
      </c>
      <c r="AD52" s="20">
        <v>195000</v>
      </c>
      <c r="AE52" s="25">
        <v>1031900</v>
      </c>
      <c r="AF52" s="25">
        <v>412250</v>
      </c>
      <c r="AG52" s="25"/>
      <c r="AH52" s="20"/>
      <c r="AI52" s="20"/>
      <c r="AJ52" s="20"/>
      <c r="AK52" s="21">
        <f t="shared" si="116"/>
        <v>1639150</v>
      </c>
      <c r="AL52" s="25">
        <v>0</v>
      </c>
      <c r="AM52" s="20"/>
      <c r="AN52" s="20"/>
      <c r="AO52" s="20"/>
      <c r="AP52" s="21">
        <f t="shared" si="117"/>
        <v>0</v>
      </c>
      <c r="AQ52" s="25"/>
      <c r="AR52" s="20"/>
      <c r="AS52" s="20"/>
      <c r="AT52" s="20"/>
      <c r="AU52" s="21">
        <f t="shared" si="118"/>
        <v>0</v>
      </c>
      <c r="AV52" s="25"/>
      <c r="AW52" s="25"/>
      <c r="AX52" s="25"/>
      <c r="AY52" s="25"/>
      <c r="AZ52" s="20"/>
      <c r="BA52" s="20"/>
      <c r="BB52" s="20"/>
      <c r="BC52" s="21">
        <f t="shared" si="119"/>
        <v>0</v>
      </c>
      <c r="BD52" s="4">
        <f t="shared" si="120"/>
        <v>640000</v>
      </c>
      <c r="BE52" s="4">
        <f t="shared" si="120"/>
        <v>3121900</v>
      </c>
      <c r="BF52" s="4">
        <f t="shared" si="120"/>
        <v>1025250</v>
      </c>
      <c r="BG52" s="4">
        <f t="shared" si="121"/>
        <v>0</v>
      </c>
      <c r="BH52" s="94">
        <f t="shared" si="121"/>
        <v>0</v>
      </c>
      <c r="BI52" s="94">
        <f t="shared" si="121"/>
        <v>2324000</v>
      </c>
      <c r="BJ52" s="94">
        <f t="shared" si="121"/>
        <v>2254000</v>
      </c>
      <c r="BK52" s="9">
        <f t="shared" si="122"/>
        <v>9365150</v>
      </c>
    </row>
    <row r="53" spans="1:63" ht="47.25">
      <c r="A53" s="187"/>
      <c r="B53" s="8">
        <v>8</v>
      </c>
      <c r="C53" s="1" t="s">
        <v>135</v>
      </c>
      <c r="D53" s="4" t="s">
        <v>124</v>
      </c>
      <c r="E53" s="4" t="s">
        <v>20</v>
      </c>
      <c r="F53" s="4"/>
      <c r="G53" s="4">
        <v>630500</v>
      </c>
      <c r="H53" s="4">
        <f>60500+60500+170500</f>
        <v>291500</v>
      </c>
      <c r="I53" s="4">
        <f>160000+20000</f>
        <v>180000</v>
      </c>
      <c r="J53" s="4"/>
      <c r="K53" s="4"/>
      <c r="L53" s="4"/>
      <c r="M53" s="9">
        <f t="shared" si="113"/>
        <v>1102000</v>
      </c>
      <c r="N53" s="4"/>
      <c r="O53" s="4"/>
      <c r="P53" s="4"/>
      <c r="Q53" s="4"/>
      <c r="R53" s="4"/>
      <c r="S53" s="4"/>
      <c r="T53" s="4"/>
      <c r="U53" s="9">
        <f t="shared" si="114"/>
        <v>0</v>
      </c>
      <c r="V53" s="20"/>
      <c r="W53" s="20"/>
      <c r="X53" s="20"/>
      <c r="Y53" s="20"/>
      <c r="Z53" s="20"/>
      <c r="AA53" s="20"/>
      <c r="AB53" s="20"/>
      <c r="AC53" s="9">
        <f t="shared" si="115"/>
        <v>0</v>
      </c>
      <c r="AD53" s="20">
        <v>195000</v>
      </c>
      <c r="AE53" s="25">
        <v>854300</v>
      </c>
      <c r="AF53" s="25">
        <v>375250</v>
      </c>
      <c r="AG53" s="25">
        <v>180000</v>
      </c>
      <c r="AH53" s="20"/>
      <c r="AI53" s="20"/>
      <c r="AJ53" s="20"/>
      <c r="AK53" s="21">
        <f t="shared" si="116"/>
        <v>1604550</v>
      </c>
      <c r="AL53" s="25">
        <v>1155000</v>
      </c>
      <c r="AM53" s="20">
        <f>105000+315000+315000+315000+210000</f>
        <v>1260000</v>
      </c>
      <c r="AN53" s="20">
        <f>1281120+252000+126000</f>
        <v>1659120</v>
      </c>
      <c r="AO53" s="20">
        <v>1602000</v>
      </c>
      <c r="AP53" s="21">
        <f t="shared" si="117"/>
        <v>5676120</v>
      </c>
      <c r="AQ53" s="25"/>
      <c r="AR53" s="20"/>
      <c r="AS53" s="20"/>
      <c r="AT53" s="20"/>
      <c r="AU53" s="21">
        <f t="shared" si="118"/>
        <v>0</v>
      </c>
      <c r="AV53" s="25"/>
      <c r="AW53" s="25"/>
      <c r="AX53" s="25">
        <v>100000</v>
      </c>
      <c r="AY53" s="25">
        <v>200000</v>
      </c>
      <c r="AZ53" s="20"/>
      <c r="BA53" s="20"/>
      <c r="BB53" s="20"/>
      <c r="BC53" s="21">
        <f t="shared" si="119"/>
        <v>300000</v>
      </c>
      <c r="BD53" s="4">
        <f t="shared" si="120"/>
        <v>195000</v>
      </c>
      <c r="BE53" s="4">
        <f t="shared" si="120"/>
        <v>1484800</v>
      </c>
      <c r="BF53" s="4">
        <f t="shared" si="120"/>
        <v>766750</v>
      </c>
      <c r="BG53" s="4">
        <f t="shared" si="121"/>
        <v>1715000</v>
      </c>
      <c r="BH53" s="94">
        <f t="shared" si="121"/>
        <v>1260000</v>
      </c>
      <c r="BI53" s="94">
        <f t="shared" si="121"/>
        <v>1659120</v>
      </c>
      <c r="BJ53" s="94">
        <f t="shared" si="121"/>
        <v>1602000</v>
      </c>
      <c r="BK53" s="9">
        <f t="shared" si="122"/>
        <v>8682670</v>
      </c>
    </row>
    <row r="54" spans="1:63" s="38" customFormat="1">
      <c r="A54" s="34"/>
      <c r="B54" s="34"/>
      <c r="C54" s="35" t="s">
        <v>136</v>
      </c>
      <c r="D54" s="37"/>
      <c r="E54" s="37"/>
      <c r="F54" s="37">
        <f>SUM(F46:F53)</f>
        <v>620000</v>
      </c>
      <c r="G54" s="37">
        <f t="shared" ref="G54:BK54" si="123">SUM(G46:G53)</f>
        <v>3182000</v>
      </c>
      <c r="H54" s="37">
        <f t="shared" si="123"/>
        <v>1606600</v>
      </c>
      <c r="I54" s="37">
        <f t="shared" si="123"/>
        <v>578000</v>
      </c>
      <c r="J54" s="37">
        <f t="shared" si="123"/>
        <v>213000</v>
      </c>
      <c r="K54" s="37">
        <f t="shared" si="123"/>
        <v>45000</v>
      </c>
      <c r="L54" s="37">
        <f t="shared" ref="L54" si="124">SUM(L46:L53)</f>
        <v>0</v>
      </c>
      <c r="M54" s="37">
        <f t="shared" si="123"/>
        <v>6244600</v>
      </c>
      <c r="N54" s="37">
        <f t="shared" si="123"/>
        <v>0</v>
      </c>
      <c r="O54" s="37">
        <f t="shared" si="123"/>
        <v>0</v>
      </c>
      <c r="P54" s="37">
        <f t="shared" si="123"/>
        <v>0</v>
      </c>
      <c r="Q54" s="37">
        <f t="shared" si="123"/>
        <v>0</v>
      </c>
      <c r="R54" s="37">
        <f t="shared" si="123"/>
        <v>0</v>
      </c>
      <c r="S54" s="37">
        <f t="shared" si="123"/>
        <v>0</v>
      </c>
      <c r="T54" s="37">
        <f t="shared" ref="T54" si="125">SUM(T46:T53)</f>
        <v>0</v>
      </c>
      <c r="U54" s="37">
        <f t="shared" si="123"/>
        <v>0</v>
      </c>
      <c r="V54" s="37">
        <f t="shared" si="123"/>
        <v>290000</v>
      </c>
      <c r="W54" s="37">
        <f t="shared" si="123"/>
        <v>1267000</v>
      </c>
      <c r="X54" s="37">
        <f t="shared" si="123"/>
        <v>448000</v>
      </c>
      <c r="Y54" s="37">
        <f t="shared" si="123"/>
        <v>0</v>
      </c>
      <c r="Z54" s="37">
        <f t="shared" si="123"/>
        <v>0</v>
      </c>
      <c r="AA54" s="37">
        <f t="shared" si="123"/>
        <v>2324000</v>
      </c>
      <c r="AB54" s="37">
        <f t="shared" ref="AB54" si="126">SUM(AB46:AB53)</f>
        <v>2254000</v>
      </c>
      <c r="AC54" s="37">
        <f t="shared" si="123"/>
        <v>6583000</v>
      </c>
      <c r="AD54" s="37">
        <f t="shared" si="123"/>
        <v>585000</v>
      </c>
      <c r="AE54" s="37">
        <f t="shared" si="123"/>
        <v>3756250</v>
      </c>
      <c r="AF54" s="37">
        <f t="shared" si="123"/>
        <v>1684600</v>
      </c>
      <c r="AG54" s="37">
        <f t="shared" si="123"/>
        <v>728000</v>
      </c>
      <c r="AH54" s="37">
        <f t="shared" si="123"/>
        <v>623000</v>
      </c>
      <c r="AI54" s="37">
        <f t="shared" si="123"/>
        <v>676550</v>
      </c>
      <c r="AJ54" s="37">
        <f t="shared" ref="AJ54" si="127">SUM(AJ46:AJ53)</f>
        <v>498500</v>
      </c>
      <c r="AK54" s="37">
        <f t="shared" si="123"/>
        <v>8551900</v>
      </c>
      <c r="AL54" s="37">
        <f t="shared" si="123"/>
        <v>1925000</v>
      </c>
      <c r="AM54" s="37">
        <f t="shared" si="123"/>
        <v>2100000</v>
      </c>
      <c r="AN54" s="37">
        <f t="shared" si="123"/>
        <v>3941252</v>
      </c>
      <c r="AO54" s="37">
        <f t="shared" ref="AO54" si="128">SUM(AO46:AO53)</f>
        <v>4275850</v>
      </c>
      <c r="AP54" s="37">
        <f t="shared" si="123"/>
        <v>12242102</v>
      </c>
      <c r="AQ54" s="37">
        <f t="shared" si="123"/>
        <v>0</v>
      </c>
      <c r="AR54" s="37">
        <f t="shared" si="123"/>
        <v>0</v>
      </c>
      <c r="AS54" s="37">
        <f t="shared" si="123"/>
        <v>0</v>
      </c>
      <c r="AT54" s="37">
        <f t="shared" ref="AT54" si="129">SUM(AT46:AT53)</f>
        <v>0</v>
      </c>
      <c r="AU54" s="37">
        <f t="shared" si="123"/>
        <v>0</v>
      </c>
      <c r="AV54" s="37">
        <f t="shared" si="123"/>
        <v>0</v>
      </c>
      <c r="AW54" s="37">
        <f t="shared" si="123"/>
        <v>100000</v>
      </c>
      <c r="AX54" s="37">
        <f t="shared" si="123"/>
        <v>100000</v>
      </c>
      <c r="AY54" s="37">
        <f t="shared" si="123"/>
        <v>200000</v>
      </c>
      <c r="AZ54" s="37">
        <f t="shared" si="123"/>
        <v>0</v>
      </c>
      <c r="BA54" s="37">
        <f t="shared" si="123"/>
        <v>0</v>
      </c>
      <c r="BB54" s="37">
        <f t="shared" ref="BB54" si="130">SUM(BB46:BB53)</f>
        <v>0</v>
      </c>
      <c r="BC54" s="37">
        <f t="shared" si="123"/>
        <v>400000</v>
      </c>
      <c r="BD54" s="37">
        <f t="shared" si="123"/>
        <v>1495000</v>
      </c>
      <c r="BE54" s="37">
        <f t="shared" si="123"/>
        <v>8305250</v>
      </c>
      <c r="BF54" s="37">
        <f t="shared" si="123"/>
        <v>3839200</v>
      </c>
      <c r="BG54" s="37">
        <f t="shared" si="123"/>
        <v>3431000</v>
      </c>
      <c r="BH54" s="37">
        <f t="shared" si="123"/>
        <v>2936000</v>
      </c>
      <c r="BI54" s="144">
        <f>SUM(BI46:BI53)</f>
        <v>6986802</v>
      </c>
      <c r="BJ54" s="37">
        <f t="shared" ref="BJ54" si="131">SUM(BJ46:BJ53)</f>
        <v>7028350</v>
      </c>
      <c r="BK54" s="37">
        <f t="shared" si="123"/>
        <v>34021602</v>
      </c>
    </row>
    <row r="55" spans="1:63">
      <c r="A55" s="185" t="s">
        <v>19</v>
      </c>
      <c r="B55" s="8">
        <v>1</v>
      </c>
      <c r="C55" s="1" t="s">
        <v>137</v>
      </c>
      <c r="D55" s="5" t="s">
        <v>409</v>
      </c>
      <c r="E55" s="4" t="s">
        <v>19</v>
      </c>
      <c r="F55" s="4"/>
      <c r="G55" s="4"/>
      <c r="H55" s="5"/>
      <c r="I55" s="4"/>
      <c r="J55" s="4"/>
      <c r="K55" s="4"/>
      <c r="L55" s="4"/>
      <c r="M55" s="9">
        <f t="shared" ref="M55:M62" si="132">SUM(F55:L55)</f>
        <v>0</v>
      </c>
      <c r="N55" s="4"/>
      <c r="O55" s="4"/>
      <c r="P55" s="4"/>
      <c r="Q55" s="4"/>
      <c r="R55" s="4"/>
      <c r="S55" s="4"/>
      <c r="T55" s="4"/>
      <c r="U55" s="9">
        <f t="shared" ref="U55:U62" si="133">SUM(N55:T55)</f>
        <v>0</v>
      </c>
      <c r="V55" s="20"/>
      <c r="W55" s="20"/>
      <c r="X55" s="20"/>
      <c r="Y55" s="20"/>
      <c r="Z55" s="20"/>
      <c r="AA55" s="20"/>
      <c r="AB55" s="20"/>
      <c r="AC55" s="9">
        <f t="shared" ref="AC55:AC62" si="134">SUM(V55:AB55)</f>
        <v>0</v>
      </c>
      <c r="AD55" s="20"/>
      <c r="AE55" s="25">
        <v>992250</v>
      </c>
      <c r="AF55" s="25">
        <f>546900+180000</f>
        <v>726900</v>
      </c>
      <c r="AG55" s="24">
        <v>760000</v>
      </c>
      <c r="AH55" s="20">
        <f>140000+210000+420000+70000</f>
        <v>840000</v>
      </c>
      <c r="AI55" s="20">
        <v>1340520</v>
      </c>
      <c r="AJ55" s="20">
        <v>1499800</v>
      </c>
      <c r="AK55" s="21">
        <f t="shared" ref="AK55:AK62" si="135">SUM(AD55:AJ55)</f>
        <v>6159470</v>
      </c>
      <c r="AL55" s="25"/>
      <c r="AM55" s="20"/>
      <c r="AN55" s="20"/>
      <c r="AO55" s="20"/>
      <c r="AP55" s="21">
        <f t="shared" ref="AP55:AP62" si="136">SUM(AL55:AO55)</f>
        <v>0</v>
      </c>
      <c r="AQ55" s="25"/>
      <c r="AR55" s="20"/>
      <c r="AS55" s="20"/>
      <c r="AT55" s="20"/>
      <c r="AU55" s="21">
        <f t="shared" ref="AU55:AU62" si="137">SUM(AQ55:AT55)</f>
        <v>0</v>
      </c>
      <c r="AV55" s="25"/>
      <c r="AW55" s="25">
        <v>100000</v>
      </c>
      <c r="AX55" s="25">
        <v>540000</v>
      </c>
      <c r="AY55" s="25"/>
      <c r="AZ55" s="20"/>
      <c r="BA55" s="20"/>
      <c r="BB55" s="20"/>
      <c r="BC55" s="21">
        <f t="shared" ref="BC55:BC62" si="138">SUM(AV55:BB55)</f>
        <v>640000</v>
      </c>
      <c r="BD55" s="4">
        <f t="shared" ref="BD55:BF62" si="139">F55+N55+V55+AD55+AV55</f>
        <v>0</v>
      </c>
      <c r="BE55" s="4">
        <f t="shared" si="139"/>
        <v>1092250</v>
      </c>
      <c r="BF55" s="4">
        <f t="shared" si="139"/>
        <v>1266900</v>
      </c>
      <c r="BG55" s="4">
        <f t="shared" ref="BG55:BJ62" si="140">I55+Q55+Y55+AG55+AL55+AQ55+AY55</f>
        <v>760000</v>
      </c>
      <c r="BH55" s="94">
        <f t="shared" si="140"/>
        <v>840000</v>
      </c>
      <c r="BI55" s="94">
        <f t="shared" si="140"/>
        <v>1340520</v>
      </c>
      <c r="BJ55" s="94">
        <f t="shared" si="140"/>
        <v>1499800</v>
      </c>
      <c r="BK55" s="9">
        <f t="shared" ref="BK55:BK62" si="141">SUM(BD55:BJ55)</f>
        <v>6799470</v>
      </c>
    </row>
    <row r="56" spans="1:63">
      <c r="A56" s="186"/>
      <c r="B56" s="8">
        <v>2</v>
      </c>
      <c r="C56" s="1" t="s">
        <v>394</v>
      </c>
      <c r="D56" s="12" t="s">
        <v>395</v>
      </c>
      <c r="E56" s="4" t="s">
        <v>19</v>
      </c>
      <c r="F56" s="4"/>
      <c r="G56" s="4"/>
      <c r="H56" s="5"/>
      <c r="I56" s="4"/>
      <c r="J56" s="4"/>
      <c r="K56" s="4"/>
      <c r="L56" s="4"/>
      <c r="M56" s="9">
        <f t="shared" si="132"/>
        <v>0</v>
      </c>
      <c r="N56" s="4"/>
      <c r="O56" s="4"/>
      <c r="P56" s="4"/>
      <c r="Q56" s="4"/>
      <c r="R56" s="4"/>
      <c r="S56" s="4"/>
      <c r="T56" s="4"/>
      <c r="U56" s="9">
        <f t="shared" si="133"/>
        <v>0</v>
      </c>
      <c r="V56" s="20"/>
      <c r="W56" s="20"/>
      <c r="X56" s="20"/>
      <c r="Y56" s="20"/>
      <c r="Z56" s="20"/>
      <c r="AA56" s="20"/>
      <c r="AB56" s="20"/>
      <c r="AC56" s="9">
        <f t="shared" si="134"/>
        <v>0</v>
      </c>
      <c r="AD56" s="20"/>
      <c r="AE56" s="25"/>
      <c r="AF56" s="25"/>
      <c r="AG56" s="24"/>
      <c r="AH56" s="20"/>
      <c r="AI56" s="20"/>
      <c r="AJ56" s="20"/>
      <c r="AK56" s="21">
        <f t="shared" si="135"/>
        <v>0</v>
      </c>
      <c r="AL56" s="25"/>
      <c r="AM56" s="20"/>
      <c r="AN56" s="20"/>
      <c r="AO56" s="20"/>
      <c r="AP56" s="21">
        <f t="shared" si="136"/>
        <v>0</v>
      </c>
      <c r="AQ56" s="25"/>
      <c r="AR56" s="20"/>
      <c r="AS56" s="20"/>
      <c r="AT56" s="20"/>
      <c r="AU56" s="21">
        <f t="shared" si="137"/>
        <v>0</v>
      </c>
      <c r="AV56" s="25"/>
      <c r="AW56" s="25">
        <v>100000</v>
      </c>
      <c r="AX56" s="25">
        <v>-100000</v>
      </c>
      <c r="AY56" s="25"/>
      <c r="AZ56" s="20"/>
      <c r="BA56" s="20"/>
      <c r="BB56" s="20"/>
      <c r="BC56" s="21">
        <f t="shared" si="138"/>
        <v>0</v>
      </c>
      <c r="BD56" s="4">
        <f t="shared" si="139"/>
        <v>0</v>
      </c>
      <c r="BE56" s="4">
        <f t="shared" si="139"/>
        <v>100000</v>
      </c>
      <c r="BF56" s="4">
        <f t="shared" si="139"/>
        <v>-100000</v>
      </c>
      <c r="BG56" s="4">
        <f t="shared" si="140"/>
        <v>0</v>
      </c>
      <c r="BH56" s="94">
        <f t="shared" si="140"/>
        <v>0</v>
      </c>
      <c r="BI56" s="94">
        <f t="shared" si="140"/>
        <v>0</v>
      </c>
      <c r="BJ56" s="94">
        <f t="shared" si="140"/>
        <v>0</v>
      </c>
      <c r="BK56" s="9">
        <f t="shared" si="141"/>
        <v>0</v>
      </c>
    </row>
    <row r="57" spans="1:63">
      <c r="A57" s="186"/>
      <c r="B57" s="8">
        <v>3</v>
      </c>
      <c r="C57" s="1" t="s">
        <v>59</v>
      </c>
      <c r="D57" s="12" t="s">
        <v>27</v>
      </c>
      <c r="E57" s="4" t="s">
        <v>19</v>
      </c>
      <c r="F57" s="4"/>
      <c r="G57" s="4"/>
      <c r="H57" s="4"/>
      <c r="I57" s="4"/>
      <c r="J57" s="4"/>
      <c r="K57" s="4"/>
      <c r="L57" s="4"/>
      <c r="M57" s="9">
        <f t="shared" si="132"/>
        <v>0</v>
      </c>
      <c r="N57" s="4"/>
      <c r="O57" s="4"/>
      <c r="P57" s="4"/>
      <c r="Q57" s="4"/>
      <c r="R57" s="4"/>
      <c r="S57" s="4"/>
      <c r="T57" s="4"/>
      <c r="U57" s="9">
        <f t="shared" si="133"/>
        <v>0</v>
      </c>
      <c r="V57" s="20"/>
      <c r="W57" s="20"/>
      <c r="X57" s="20"/>
      <c r="Y57" s="20"/>
      <c r="Z57" s="20"/>
      <c r="AA57" s="20"/>
      <c r="AB57" s="20"/>
      <c r="AC57" s="9">
        <f t="shared" si="134"/>
        <v>0</v>
      </c>
      <c r="AD57" s="20"/>
      <c r="AE57" s="25">
        <v>195000</v>
      </c>
      <c r="AF57" s="20">
        <v>36000</v>
      </c>
      <c r="AG57" s="20">
        <v>30000</v>
      </c>
      <c r="AH57" s="20"/>
      <c r="AI57" s="20"/>
      <c r="AJ57" s="20"/>
      <c r="AK57" s="21">
        <f t="shared" si="135"/>
        <v>261000</v>
      </c>
      <c r="AL57" s="25"/>
      <c r="AM57" s="20"/>
      <c r="AN57" s="20"/>
      <c r="AO57" s="20"/>
      <c r="AP57" s="21">
        <f t="shared" si="136"/>
        <v>0</v>
      </c>
      <c r="AQ57" s="25"/>
      <c r="AR57" s="20"/>
      <c r="AS57" s="20"/>
      <c r="AT57" s="20"/>
      <c r="AU57" s="21">
        <f t="shared" si="137"/>
        <v>0</v>
      </c>
      <c r="AV57" s="25"/>
      <c r="AW57" s="25">
        <v>100000</v>
      </c>
      <c r="AX57" s="25"/>
      <c r="AY57" s="25"/>
      <c r="AZ57" s="20"/>
      <c r="BA57" s="20"/>
      <c r="BB57" s="20"/>
      <c r="BC57" s="21">
        <f t="shared" si="138"/>
        <v>100000</v>
      </c>
      <c r="BD57" s="4">
        <f t="shared" si="139"/>
        <v>0</v>
      </c>
      <c r="BE57" s="4">
        <f t="shared" si="139"/>
        <v>295000</v>
      </c>
      <c r="BF57" s="4">
        <f t="shared" si="139"/>
        <v>36000</v>
      </c>
      <c r="BG57" s="4">
        <f t="shared" si="140"/>
        <v>30000</v>
      </c>
      <c r="BH57" s="94">
        <f t="shared" si="140"/>
        <v>0</v>
      </c>
      <c r="BI57" s="94">
        <f t="shared" si="140"/>
        <v>0</v>
      </c>
      <c r="BJ57" s="94">
        <f t="shared" si="140"/>
        <v>0</v>
      </c>
      <c r="BK57" s="9">
        <f t="shared" si="141"/>
        <v>361000</v>
      </c>
    </row>
    <row r="58" spans="1:63">
      <c r="A58" s="186"/>
      <c r="B58" s="8">
        <v>4</v>
      </c>
      <c r="C58" s="1" t="s">
        <v>138</v>
      </c>
      <c r="D58" s="12" t="s">
        <v>139</v>
      </c>
      <c r="E58" s="4" t="s">
        <v>19</v>
      </c>
      <c r="F58" s="4">
        <v>155000</v>
      </c>
      <c r="G58" s="4"/>
      <c r="H58" s="4">
        <f>323000+565000</f>
        <v>888000</v>
      </c>
      <c r="I58" s="4"/>
      <c r="J58" s="4"/>
      <c r="K58" s="4"/>
      <c r="L58" s="4"/>
      <c r="M58" s="9">
        <f t="shared" si="132"/>
        <v>1043000</v>
      </c>
      <c r="N58" s="76">
        <v>290000</v>
      </c>
      <c r="O58" s="76">
        <v>700000</v>
      </c>
      <c r="P58" s="76">
        <v>1890000</v>
      </c>
      <c r="Q58" s="76"/>
      <c r="R58" s="4"/>
      <c r="S58" s="4"/>
      <c r="T58" s="4"/>
      <c r="U58" s="9">
        <f t="shared" si="133"/>
        <v>2880000</v>
      </c>
      <c r="V58" s="20">
        <v>290000</v>
      </c>
      <c r="W58" s="22">
        <v>336000</v>
      </c>
      <c r="X58" s="4">
        <v>2310000</v>
      </c>
      <c r="Y58" s="22"/>
      <c r="Z58" s="22"/>
      <c r="AA58" s="22"/>
      <c r="AB58" s="22"/>
      <c r="AC58" s="9">
        <f t="shared" si="134"/>
        <v>2936000</v>
      </c>
      <c r="AD58" s="20">
        <v>195000</v>
      </c>
      <c r="AE58" s="25">
        <v>1508350</v>
      </c>
      <c r="AF58" s="25">
        <v>436500</v>
      </c>
      <c r="AG58" s="24"/>
      <c r="AH58" s="20"/>
      <c r="AI58" s="20"/>
      <c r="AJ58" s="20"/>
      <c r="AK58" s="21">
        <f t="shared" si="135"/>
        <v>2139850</v>
      </c>
      <c r="AL58" s="25"/>
      <c r="AM58" s="20"/>
      <c r="AN58" s="20"/>
      <c r="AO58" s="20"/>
      <c r="AP58" s="21">
        <f t="shared" si="136"/>
        <v>0</v>
      </c>
      <c r="AQ58" s="25"/>
      <c r="AR58" s="20"/>
      <c r="AS58" s="20"/>
      <c r="AT58" s="20"/>
      <c r="AU58" s="21">
        <f t="shared" si="137"/>
        <v>0</v>
      </c>
      <c r="AV58" s="25"/>
      <c r="AW58" s="24">
        <v>100000</v>
      </c>
      <c r="AX58" s="25"/>
      <c r="AY58" s="25"/>
      <c r="AZ58" s="20"/>
      <c r="BA58" s="20"/>
      <c r="BB58" s="20"/>
      <c r="BC58" s="21">
        <f t="shared" si="138"/>
        <v>100000</v>
      </c>
      <c r="BD58" s="4">
        <f t="shared" si="139"/>
        <v>930000</v>
      </c>
      <c r="BE58" s="4">
        <f t="shared" si="139"/>
        <v>2644350</v>
      </c>
      <c r="BF58" s="4">
        <f t="shared" si="139"/>
        <v>5524500</v>
      </c>
      <c r="BG58" s="4">
        <f t="shared" si="140"/>
        <v>0</v>
      </c>
      <c r="BH58" s="94">
        <f t="shared" si="140"/>
        <v>0</v>
      </c>
      <c r="BI58" s="94">
        <f t="shared" si="140"/>
        <v>0</v>
      </c>
      <c r="BJ58" s="94">
        <f t="shared" si="140"/>
        <v>0</v>
      </c>
      <c r="BK58" s="9">
        <f t="shared" si="141"/>
        <v>9098850</v>
      </c>
    </row>
    <row r="59" spans="1:63">
      <c r="A59" s="186"/>
      <c r="B59" s="8">
        <v>5</v>
      </c>
      <c r="C59" s="1" t="s">
        <v>140</v>
      </c>
      <c r="D59" s="12" t="s">
        <v>141</v>
      </c>
      <c r="E59" s="4" t="s">
        <v>19</v>
      </c>
      <c r="F59" s="4"/>
      <c r="G59" s="4">
        <v>200000</v>
      </c>
      <c r="H59" s="4">
        <f>5500+11000</f>
        <v>16500</v>
      </c>
      <c r="I59" s="4"/>
      <c r="J59" s="4"/>
      <c r="K59" s="4"/>
      <c r="L59" s="4"/>
      <c r="M59" s="9">
        <f t="shared" si="132"/>
        <v>216500</v>
      </c>
      <c r="N59" s="4"/>
      <c r="O59" s="4"/>
      <c r="P59" s="4"/>
      <c r="Q59" s="4"/>
      <c r="R59" s="4"/>
      <c r="S59" s="4"/>
      <c r="T59" s="4"/>
      <c r="U59" s="9">
        <f t="shared" si="133"/>
        <v>0</v>
      </c>
      <c r="V59" s="20"/>
      <c r="W59" s="20"/>
      <c r="X59" s="4"/>
      <c r="Y59" s="20"/>
      <c r="Z59" s="20"/>
      <c r="AA59" s="20"/>
      <c r="AB59" s="20"/>
      <c r="AC59" s="9">
        <f t="shared" si="134"/>
        <v>0</v>
      </c>
      <c r="AD59" s="20"/>
      <c r="AE59" s="25">
        <v>410250</v>
      </c>
      <c r="AF59" s="25">
        <v>95900</v>
      </c>
      <c r="AG59" s="24">
        <v>76000</v>
      </c>
      <c r="AH59" s="20"/>
      <c r="AI59" s="20"/>
      <c r="AJ59" s="20"/>
      <c r="AK59" s="21">
        <f t="shared" si="135"/>
        <v>582150</v>
      </c>
      <c r="AL59" s="25"/>
      <c r="AM59" s="20"/>
      <c r="AN59" s="20"/>
      <c r="AO59" s="20"/>
      <c r="AP59" s="21">
        <f t="shared" si="136"/>
        <v>0</v>
      </c>
      <c r="AQ59" s="25"/>
      <c r="AR59" s="20"/>
      <c r="AS59" s="20"/>
      <c r="AT59" s="20"/>
      <c r="AU59" s="21">
        <f t="shared" si="137"/>
        <v>0</v>
      </c>
      <c r="AV59" s="25"/>
      <c r="AW59" s="24">
        <v>100000</v>
      </c>
      <c r="AX59" s="25">
        <v>230000</v>
      </c>
      <c r="AY59" s="25"/>
      <c r="AZ59" s="20"/>
      <c r="BA59" s="20"/>
      <c r="BB59" s="20"/>
      <c r="BC59" s="21">
        <f t="shared" si="138"/>
        <v>330000</v>
      </c>
      <c r="BD59" s="4">
        <f t="shared" si="139"/>
        <v>0</v>
      </c>
      <c r="BE59" s="4">
        <f t="shared" si="139"/>
        <v>710250</v>
      </c>
      <c r="BF59" s="4">
        <f t="shared" si="139"/>
        <v>342400</v>
      </c>
      <c r="BG59" s="4">
        <f t="shared" si="140"/>
        <v>76000</v>
      </c>
      <c r="BH59" s="94">
        <f t="shared" si="140"/>
        <v>0</v>
      </c>
      <c r="BI59" s="94">
        <f t="shared" si="140"/>
        <v>0</v>
      </c>
      <c r="BJ59" s="94">
        <f t="shared" si="140"/>
        <v>0</v>
      </c>
      <c r="BK59" s="9">
        <f t="shared" si="141"/>
        <v>1128650</v>
      </c>
    </row>
    <row r="60" spans="1:63">
      <c r="A60" s="186"/>
      <c r="B60" s="8">
        <v>6</v>
      </c>
      <c r="C60" s="1" t="s">
        <v>142</v>
      </c>
      <c r="D60" s="5" t="s">
        <v>410</v>
      </c>
      <c r="E60" s="4" t="s">
        <v>19</v>
      </c>
      <c r="F60" s="4"/>
      <c r="G60" s="4"/>
      <c r="H60" s="4"/>
      <c r="I60" s="4"/>
      <c r="J60" s="4"/>
      <c r="K60" s="4"/>
      <c r="L60" s="4"/>
      <c r="M60" s="9">
        <f t="shared" si="132"/>
        <v>0</v>
      </c>
      <c r="N60" s="4"/>
      <c r="O60" s="4"/>
      <c r="P60" s="4"/>
      <c r="Q60" s="4"/>
      <c r="R60" s="4"/>
      <c r="S60" s="4"/>
      <c r="T60" s="4"/>
      <c r="U60" s="9">
        <f t="shared" si="133"/>
        <v>0</v>
      </c>
      <c r="V60" s="20"/>
      <c r="W60" s="20"/>
      <c r="X60" s="4"/>
      <c r="Y60" s="20"/>
      <c r="Z60" s="20"/>
      <c r="AA60" s="20"/>
      <c r="AB60" s="20"/>
      <c r="AC60" s="9">
        <f t="shared" si="134"/>
        <v>0</v>
      </c>
      <c r="AD60" s="20"/>
      <c r="AE60" s="25">
        <v>592700</v>
      </c>
      <c r="AF60" s="25">
        <v>254000</v>
      </c>
      <c r="AG60" s="24">
        <v>1010000</v>
      </c>
      <c r="AH60" s="20">
        <f>70000+210000+210000+210000+140000</f>
        <v>840000</v>
      </c>
      <c r="AI60" s="20">
        <v>988000</v>
      </c>
      <c r="AJ60" s="20">
        <v>1929600</v>
      </c>
      <c r="AK60" s="21">
        <f t="shared" si="135"/>
        <v>5614300</v>
      </c>
      <c r="AL60" s="25"/>
      <c r="AM60" s="20"/>
      <c r="AN60" s="20"/>
      <c r="AO60" s="20"/>
      <c r="AP60" s="21">
        <f t="shared" si="136"/>
        <v>0</v>
      </c>
      <c r="AQ60" s="25"/>
      <c r="AR60" s="20"/>
      <c r="AS60" s="20"/>
      <c r="AT60" s="20"/>
      <c r="AU60" s="21">
        <f t="shared" si="137"/>
        <v>0</v>
      </c>
      <c r="AV60" s="25"/>
      <c r="AW60" s="24"/>
      <c r="AX60" s="25"/>
      <c r="AY60" s="25"/>
      <c r="AZ60" s="20"/>
      <c r="BA60" s="20"/>
      <c r="BB60" s="20"/>
      <c r="BC60" s="21">
        <f t="shared" si="138"/>
        <v>0</v>
      </c>
      <c r="BD60" s="4">
        <f t="shared" si="139"/>
        <v>0</v>
      </c>
      <c r="BE60" s="4">
        <f t="shared" si="139"/>
        <v>592700</v>
      </c>
      <c r="BF60" s="4">
        <f t="shared" si="139"/>
        <v>254000</v>
      </c>
      <c r="BG60" s="4">
        <f t="shared" si="140"/>
        <v>1010000</v>
      </c>
      <c r="BH60" s="94">
        <f t="shared" si="140"/>
        <v>840000</v>
      </c>
      <c r="BI60" s="94">
        <f t="shared" si="140"/>
        <v>988000</v>
      </c>
      <c r="BJ60" s="94">
        <f t="shared" si="140"/>
        <v>1929600</v>
      </c>
      <c r="BK60" s="9">
        <f t="shared" si="141"/>
        <v>5614300</v>
      </c>
    </row>
    <row r="61" spans="1:63">
      <c r="A61" s="186"/>
      <c r="B61" s="8">
        <v>7</v>
      </c>
      <c r="C61" s="1" t="s">
        <v>143</v>
      </c>
      <c r="D61" s="12" t="s">
        <v>144</v>
      </c>
      <c r="E61" s="4" t="s">
        <v>19</v>
      </c>
      <c r="F61" s="4"/>
      <c r="G61" s="4">
        <v>155000</v>
      </c>
      <c r="H61" s="4"/>
      <c r="I61" s="4">
        <v>705500</v>
      </c>
      <c r="J61" s="4">
        <f>73500+35000+101500+94500+94500+63000</f>
        <v>462000</v>
      </c>
      <c r="K61" s="4">
        <f>595500+150500+75000</f>
        <v>821000</v>
      </c>
      <c r="L61" s="4">
        <v>831260</v>
      </c>
      <c r="M61" s="9">
        <f t="shared" si="132"/>
        <v>2974760</v>
      </c>
      <c r="N61" s="4"/>
      <c r="O61" s="4"/>
      <c r="P61" s="4"/>
      <c r="Q61" s="4"/>
      <c r="R61" s="4"/>
      <c r="S61" s="4"/>
      <c r="T61" s="4"/>
      <c r="U61" s="9">
        <f t="shared" si="133"/>
        <v>0</v>
      </c>
      <c r="V61" s="20"/>
      <c r="W61" s="20"/>
      <c r="X61" s="4"/>
      <c r="Y61" s="20"/>
      <c r="Z61" s="20"/>
      <c r="AA61" s="20"/>
      <c r="AB61" s="20"/>
      <c r="AC61" s="9">
        <f t="shared" si="134"/>
        <v>0</v>
      </c>
      <c r="AD61" s="20"/>
      <c r="AE61" s="20"/>
      <c r="AF61" s="20"/>
      <c r="AG61" s="20"/>
      <c r="AH61" s="20"/>
      <c r="AI61" s="20"/>
      <c r="AJ61" s="20"/>
      <c r="AK61" s="21">
        <f t="shared" si="135"/>
        <v>0</v>
      </c>
      <c r="AL61" s="25"/>
      <c r="AM61" s="20"/>
      <c r="AN61" s="20"/>
      <c r="AO61" s="20"/>
      <c r="AP61" s="21">
        <f t="shared" si="136"/>
        <v>0</v>
      </c>
      <c r="AQ61" s="25"/>
      <c r="AR61" s="20"/>
      <c r="AS61" s="20"/>
      <c r="AT61" s="20"/>
      <c r="AU61" s="21">
        <f t="shared" si="137"/>
        <v>0</v>
      </c>
      <c r="AV61" s="25"/>
      <c r="AW61" s="24"/>
      <c r="AX61" s="25">
        <v>348400</v>
      </c>
      <c r="AY61" s="25"/>
      <c r="AZ61" s="20"/>
      <c r="BA61" s="20"/>
      <c r="BB61" s="20"/>
      <c r="BC61" s="21">
        <f t="shared" si="138"/>
        <v>348400</v>
      </c>
      <c r="BD61" s="4">
        <f t="shared" si="139"/>
        <v>0</v>
      </c>
      <c r="BE61" s="4">
        <f t="shared" si="139"/>
        <v>155000</v>
      </c>
      <c r="BF61" s="4">
        <f t="shared" si="139"/>
        <v>348400</v>
      </c>
      <c r="BG61" s="4">
        <f t="shared" si="140"/>
        <v>705500</v>
      </c>
      <c r="BH61" s="94">
        <f t="shared" si="140"/>
        <v>462000</v>
      </c>
      <c r="BI61" s="94">
        <f t="shared" si="140"/>
        <v>821000</v>
      </c>
      <c r="BJ61" s="94">
        <f t="shared" si="140"/>
        <v>831260</v>
      </c>
      <c r="BK61" s="9">
        <f t="shared" si="141"/>
        <v>3323160</v>
      </c>
    </row>
    <row r="62" spans="1:63" ht="47.25">
      <c r="A62" s="187"/>
      <c r="B62" s="8">
        <v>8</v>
      </c>
      <c r="C62" s="1" t="s">
        <v>145</v>
      </c>
      <c r="D62" s="12" t="s">
        <v>146</v>
      </c>
      <c r="E62" s="4" t="s">
        <v>19</v>
      </c>
      <c r="F62" s="4"/>
      <c r="G62" s="4"/>
      <c r="H62" s="4">
        <v>155000</v>
      </c>
      <c r="I62" s="4"/>
      <c r="J62" s="4"/>
      <c r="K62" s="4"/>
      <c r="L62" s="4"/>
      <c r="M62" s="9">
        <f t="shared" si="132"/>
        <v>155000</v>
      </c>
      <c r="N62" s="4"/>
      <c r="O62" s="4"/>
      <c r="P62" s="4"/>
      <c r="Q62" s="4"/>
      <c r="R62" s="4"/>
      <c r="S62" s="4"/>
      <c r="T62" s="4"/>
      <c r="U62" s="9">
        <f t="shared" si="133"/>
        <v>0</v>
      </c>
      <c r="V62" s="20"/>
      <c r="W62" s="20"/>
      <c r="X62" s="4">
        <v>290000</v>
      </c>
      <c r="Y62" s="23"/>
      <c r="Z62" s="23"/>
      <c r="AA62" s="23"/>
      <c r="AB62" s="23"/>
      <c r="AC62" s="9">
        <f t="shared" si="134"/>
        <v>290000</v>
      </c>
      <c r="AD62" s="20"/>
      <c r="AE62" s="25">
        <v>386400</v>
      </c>
      <c r="AF62" s="25">
        <v>67900</v>
      </c>
      <c r="AG62" s="25"/>
      <c r="AH62" s="20"/>
      <c r="AI62" s="20"/>
      <c r="AJ62" s="20"/>
      <c r="AK62" s="21">
        <f t="shared" si="135"/>
        <v>454300</v>
      </c>
      <c r="AL62" s="25"/>
      <c r="AM62" s="20"/>
      <c r="AN62" s="20"/>
      <c r="AO62" s="20"/>
      <c r="AP62" s="21">
        <f t="shared" si="136"/>
        <v>0</v>
      </c>
      <c r="AQ62" s="25"/>
      <c r="AR62" s="20"/>
      <c r="AS62" s="20"/>
      <c r="AT62" s="20"/>
      <c r="AU62" s="21">
        <f t="shared" si="137"/>
        <v>0</v>
      </c>
      <c r="AV62" s="25"/>
      <c r="AW62" s="25"/>
      <c r="AX62" s="25"/>
      <c r="AY62" s="25"/>
      <c r="AZ62" s="20"/>
      <c r="BA62" s="20"/>
      <c r="BB62" s="20"/>
      <c r="BC62" s="21">
        <f t="shared" si="138"/>
        <v>0</v>
      </c>
      <c r="BD62" s="4">
        <f t="shared" si="139"/>
        <v>0</v>
      </c>
      <c r="BE62" s="4">
        <f t="shared" si="139"/>
        <v>386400</v>
      </c>
      <c r="BF62" s="4">
        <f t="shared" si="139"/>
        <v>512900</v>
      </c>
      <c r="BG62" s="4">
        <f t="shared" si="140"/>
        <v>0</v>
      </c>
      <c r="BH62" s="94">
        <f t="shared" si="140"/>
        <v>0</v>
      </c>
      <c r="BI62" s="94">
        <f t="shared" si="140"/>
        <v>0</v>
      </c>
      <c r="BJ62" s="94">
        <f t="shared" si="140"/>
        <v>0</v>
      </c>
      <c r="BK62" s="9">
        <f t="shared" si="141"/>
        <v>899300</v>
      </c>
    </row>
    <row r="63" spans="1:63" s="38" customFormat="1">
      <c r="A63" s="34"/>
      <c r="B63" s="34"/>
      <c r="C63" s="35" t="s">
        <v>147</v>
      </c>
      <c r="D63" s="37"/>
      <c r="E63" s="37"/>
      <c r="F63" s="37">
        <f>SUM(F55:F62)</f>
        <v>155000</v>
      </c>
      <c r="G63" s="37">
        <f t="shared" ref="G63:BK63" si="142">SUM(G55:G62)</f>
        <v>355000</v>
      </c>
      <c r="H63" s="37">
        <f t="shared" si="142"/>
        <v>1059500</v>
      </c>
      <c r="I63" s="37">
        <f t="shared" si="142"/>
        <v>705500</v>
      </c>
      <c r="J63" s="37">
        <f t="shared" si="142"/>
        <v>462000</v>
      </c>
      <c r="K63" s="37">
        <f t="shared" si="142"/>
        <v>821000</v>
      </c>
      <c r="L63" s="37">
        <f t="shared" ref="L63" si="143">SUM(L55:L62)</f>
        <v>831260</v>
      </c>
      <c r="M63" s="37">
        <f t="shared" si="142"/>
        <v>4389260</v>
      </c>
      <c r="N63" s="37">
        <f t="shared" si="142"/>
        <v>290000</v>
      </c>
      <c r="O63" s="37">
        <f t="shared" si="142"/>
        <v>700000</v>
      </c>
      <c r="P63" s="37">
        <f t="shared" si="142"/>
        <v>1890000</v>
      </c>
      <c r="Q63" s="37">
        <f t="shared" si="142"/>
        <v>0</v>
      </c>
      <c r="R63" s="37">
        <f t="shared" si="142"/>
        <v>0</v>
      </c>
      <c r="S63" s="37">
        <f t="shared" si="142"/>
        <v>0</v>
      </c>
      <c r="T63" s="37">
        <f t="shared" ref="T63" si="144">SUM(T55:T62)</f>
        <v>0</v>
      </c>
      <c r="U63" s="37">
        <f t="shared" si="142"/>
        <v>2880000</v>
      </c>
      <c r="V63" s="37">
        <f t="shared" si="142"/>
        <v>290000</v>
      </c>
      <c r="W63" s="37">
        <f t="shared" si="142"/>
        <v>336000</v>
      </c>
      <c r="X63" s="37">
        <f t="shared" si="142"/>
        <v>2600000</v>
      </c>
      <c r="Y63" s="37">
        <f t="shared" si="142"/>
        <v>0</v>
      </c>
      <c r="Z63" s="37">
        <f t="shared" si="142"/>
        <v>0</v>
      </c>
      <c r="AA63" s="37">
        <f t="shared" si="142"/>
        <v>0</v>
      </c>
      <c r="AB63" s="37">
        <f t="shared" ref="AB63" si="145">SUM(AB55:AB62)</f>
        <v>0</v>
      </c>
      <c r="AC63" s="37">
        <f t="shared" si="142"/>
        <v>3226000</v>
      </c>
      <c r="AD63" s="37">
        <f t="shared" si="142"/>
        <v>195000</v>
      </c>
      <c r="AE63" s="37">
        <f t="shared" si="142"/>
        <v>4084950</v>
      </c>
      <c r="AF63" s="37">
        <f t="shared" si="142"/>
        <v>1617200</v>
      </c>
      <c r="AG63" s="37">
        <f t="shared" si="142"/>
        <v>1876000</v>
      </c>
      <c r="AH63" s="37">
        <f t="shared" si="142"/>
        <v>1680000</v>
      </c>
      <c r="AI63" s="37">
        <f t="shared" si="142"/>
        <v>2328520</v>
      </c>
      <c r="AJ63" s="37">
        <f t="shared" ref="AJ63" si="146">SUM(AJ55:AJ62)</f>
        <v>3429400</v>
      </c>
      <c r="AK63" s="37">
        <f t="shared" si="142"/>
        <v>15211070</v>
      </c>
      <c r="AL63" s="37">
        <f t="shared" si="142"/>
        <v>0</v>
      </c>
      <c r="AM63" s="37">
        <f t="shared" si="142"/>
        <v>0</v>
      </c>
      <c r="AN63" s="37">
        <f t="shared" si="142"/>
        <v>0</v>
      </c>
      <c r="AO63" s="37">
        <f t="shared" ref="AO63" si="147">SUM(AO55:AO62)</f>
        <v>0</v>
      </c>
      <c r="AP63" s="37">
        <f t="shared" si="142"/>
        <v>0</v>
      </c>
      <c r="AQ63" s="37">
        <f t="shared" si="142"/>
        <v>0</v>
      </c>
      <c r="AR63" s="37">
        <f t="shared" si="142"/>
        <v>0</v>
      </c>
      <c r="AS63" s="37">
        <f t="shared" si="142"/>
        <v>0</v>
      </c>
      <c r="AT63" s="37">
        <f t="shared" ref="AT63" si="148">SUM(AT55:AT62)</f>
        <v>0</v>
      </c>
      <c r="AU63" s="37">
        <f t="shared" si="142"/>
        <v>0</v>
      </c>
      <c r="AV63" s="37">
        <f t="shared" si="142"/>
        <v>0</v>
      </c>
      <c r="AW63" s="37">
        <f t="shared" si="142"/>
        <v>500000</v>
      </c>
      <c r="AX63" s="37">
        <f t="shared" si="142"/>
        <v>1018400</v>
      </c>
      <c r="AY63" s="37">
        <f t="shared" si="142"/>
        <v>0</v>
      </c>
      <c r="AZ63" s="37">
        <f t="shared" si="142"/>
        <v>0</v>
      </c>
      <c r="BA63" s="37">
        <f t="shared" si="142"/>
        <v>0</v>
      </c>
      <c r="BB63" s="37">
        <f t="shared" ref="BB63" si="149">SUM(BB55:BB62)</f>
        <v>0</v>
      </c>
      <c r="BC63" s="37">
        <f t="shared" si="142"/>
        <v>1518400</v>
      </c>
      <c r="BD63" s="37">
        <f t="shared" si="142"/>
        <v>930000</v>
      </c>
      <c r="BE63" s="37">
        <f t="shared" si="142"/>
        <v>5975950</v>
      </c>
      <c r="BF63" s="37">
        <f t="shared" si="142"/>
        <v>8185100</v>
      </c>
      <c r="BG63" s="37">
        <f t="shared" si="142"/>
        <v>2581500</v>
      </c>
      <c r="BH63" s="37">
        <f t="shared" si="142"/>
        <v>2142000</v>
      </c>
      <c r="BI63" s="144">
        <f>SUM(BI55:BI62)</f>
        <v>3149520</v>
      </c>
      <c r="BJ63" s="37">
        <f t="shared" ref="BJ63" si="150">SUM(BJ55:BJ62)</f>
        <v>4260660</v>
      </c>
      <c r="BK63" s="37">
        <f t="shared" si="142"/>
        <v>27224730</v>
      </c>
    </row>
    <row r="64" spans="1:63">
      <c r="A64" s="185" t="s">
        <v>148</v>
      </c>
      <c r="B64" s="8">
        <v>1</v>
      </c>
      <c r="C64" s="1" t="s">
        <v>149</v>
      </c>
      <c r="D64" s="4" t="s">
        <v>150</v>
      </c>
      <c r="E64" s="4" t="s">
        <v>148</v>
      </c>
      <c r="F64" s="4"/>
      <c r="G64" s="4">
        <v>155000</v>
      </c>
      <c r="H64" s="4"/>
      <c r="I64" s="4"/>
      <c r="J64" s="4">
        <v>-155000</v>
      </c>
      <c r="K64" s="4"/>
      <c r="L64" s="4"/>
      <c r="M64" s="9">
        <f t="shared" ref="M64:M67" si="151">SUM(F64:L64)</f>
        <v>0</v>
      </c>
      <c r="N64" s="4"/>
      <c r="O64" s="4"/>
      <c r="P64" s="4"/>
      <c r="Q64" s="4"/>
      <c r="R64" s="4"/>
      <c r="S64" s="4"/>
      <c r="T64" s="4"/>
      <c r="U64" s="9">
        <f t="shared" ref="U64:U67" si="152">SUM(N64:T64)</f>
        <v>0</v>
      </c>
      <c r="V64" s="20"/>
      <c r="W64" s="20"/>
      <c r="X64" s="20"/>
      <c r="Y64" s="20"/>
      <c r="Z64" s="20"/>
      <c r="AA64" s="20"/>
      <c r="AB64" s="20"/>
      <c r="AC64" s="9">
        <f t="shared" ref="AC64:AC67" si="153">SUM(V64:AB64)</f>
        <v>0</v>
      </c>
      <c r="AD64" s="20"/>
      <c r="AE64" s="20">
        <v>195000</v>
      </c>
      <c r="AF64" s="20"/>
      <c r="AG64" s="20"/>
      <c r="AH64" s="20">
        <v>-195000</v>
      </c>
      <c r="AI64" s="20"/>
      <c r="AJ64" s="20"/>
      <c r="AK64" s="21">
        <f t="shared" ref="AK64:AK67" si="154">SUM(AD64:AJ64)</f>
        <v>0</v>
      </c>
      <c r="AL64" s="25">
        <v>0</v>
      </c>
      <c r="AM64" s="20"/>
      <c r="AN64" s="20"/>
      <c r="AO64" s="20"/>
      <c r="AP64" s="21">
        <f t="shared" ref="AP64:AP67" si="155">SUM(AL64:AO64)</f>
        <v>0</v>
      </c>
      <c r="AQ64" s="25"/>
      <c r="AR64" s="20"/>
      <c r="AS64" s="20"/>
      <c r="AT64" s="20"/>
      <c r="AU64" s="21">
        <f t="shared" ref="AU64:AU67" si="156">SUM(AQ64:AT64)</f>
        <v>0</v>
      </c>
      <c r="AV64" s="25"/>
      <c r="AW64" s="25"/>
      <c r="AX64" s="25"/>
      <c r="AY64" s="25"/>
      <c r="AZ64" s="20"/>
      <c r="BA64" s="20"/>
      <c r="BB64" s="20"/>
      <c r="BC64" s="21">
        <f t="shared" ref="BC64:BC67" si="157">SUM(AV64:BB64)</f>
        <v>0</v>
      </c>
      <c r="BD64" s="4">
        <f t="shared" ref="BD64:BF67" si="158">F64+N64+V64+AD64+AV64</f>
        <v>0</v>
      </c>
      <c r="BE64" s="4">
        <f t="shared" si="158"/>
        <v>350000</v>
      </c>
      <c r="BF64" s="4">
        <f t="shared" si="158"/>
        <v>0</v>
      </c>
      <c r="BG64" s="4">
        <f t="shared" ref="BG64:BJ67" si="159">I64+Q64+Y64+AG64+AL64+AQ64+AY64</f>
        <v>0</v>
      </c>
      <c r="BH64" s="94">
        <f t="shared" si="159"/>
        <v>-350000</v>
      </c>
      <c r="BI64" s="94">
        <f t="shared" si="159"/>
        <v>0</v>
      </c>
      <c r="BJ64" s="94">
        <f t="shared" si="159"/>
        <v>0</v>
      </c>
      <c r="BK64" s="9">
        <f t="shared" ref="BK64:BK67" si="160">SUM(BD64:BJ64)</f>
        <v>0</v>
      </c>
    </row>
    <row r="65" spans="1:63">
      <c r="A65" s="186"/>
      <c r="B65" s="8">
        <v>2</v>
      </c>
      <c r="C65" s="1" t="s">
        <v>151</v>
      </c>
      <c r="D65" s="4" t="s">
        <v>152</v>
      </c>
      <c r="E65" s="4" t="s">
        <v>153</v>
      </c>
      <c r="F65" s="4">
        <v>155000</v>
      </c>
      <c r="G65" s="4">
        <v>153000</v>
      </c>
      <c r="H65" s="4">
        <v>187500</v>
      </c>
      <c r="I65" s="4">
        <v>8000</v>
      </c>
      <c r="J65" s="4"/>
      <c r="K65" s="4"/>
      <c r="L65" s="4"/>
      <c r="M65" s="9">
        <f t="shared" si="151"/>
        <v>503500</v>
      </c>
      <c r="N65" s="4"/>
      <c r="O65" s="4"/>
      <c r="P65" s="4"/>
      <c r="Q65" s="4"/>
      <c r="R65" s="4"/>
      <c r="S65" s="4"/>
      <c r="T65" s="4"/>
      <c r="U65" s="9">
        <f t="shared" si="152"/>
        <v>0</v>
      </c>
      <c r="V65" s="20"/>
      <c r="W65" s="20"/>
      <c r="X65" s="20"/>
      <c r="Y65" s="20"/>
      <c r="Z65" s="20"/>
      <c r="AA65" s="20"/>
      <c r="AB65" s="20"/>
      <c r="AC65" s="9">
        <f t="shared" si="153"/>
        <v>0</v>
      </c>
      <c r="AD65" s="20">
        <v>195000</v>
      </c>
      <c r="AE65" s="25">
        <v>295650</v>
      </c>
      <c r="AF65" s="25">
        <v>223100</v>
      </c>
      <c r="AG65" s="24">
        <v>170000</v>
      </c>
      <c r="AH65" s="20"/>
      <c r="AI65" s="20"/>
      <c r="AJ65" s="20"/>
      <c r="AK65" s="21">
        <f t="shared" si="154"/>
        <v>883750</v>
      </c>
      <c r="AL65" s="25">
        <v>380000</v>
      </c>
      <c r="AM65" s="20">
        <f>34000+102000+105000+105000+70000</f>
        <v>416000</v>
      </c>
      <c r="AN65" s="20">
        <f>481600+112400+56200</f>
        <v>650200</v>
      </c>
      <c r="AO65" s="20">
        <v>681200</v>
      </c>
      <c r="AP65" s="21">
        <f t="shared" si="155"/>
        <v>2127400</v>
      </c>
      <c r="AQ65" s="25"/>
      <c r="AR65" s="20"/>
      <c r="AS65" s="20"/>
      <c r="AT65" s="20"/>
      <c r="AU65" s="21">
        <f t="shared" si="156"/>
        <v>0</v>
      </c>
      <c r="AV65" s="25"/>
      <c r="AW65" s="24">
        <v>100000</v>
      </c>
      <c r="AX65" s="25">
        <v>230000</v>
      </c>
      <c r="AY65" s="25"/>
      <c r="AZ65" s="20"/>
      <c r="BA65" s="20"/>
      <c r="BB65" s="20"/>
      <c r="BC65" s="21">
        <f t="shared" si="157"/>
        <v>330000</v>
      </c>
      <c r="BD65" s="4">
        <f t="shared" si="158"/>
        <v>350000</v>
      </c>
      <c r="BE65" s="4">
        <f t="shared" si="158"/>
        <v>548650</v>
      </c>
      <c r="BF65" s="4">
        <f t="shared" si="158"/>
        <v>640600</v>
      </c>
      <c r="BG65" s="4">
        <f t="shared" si="159"/>
        <v>558000</v>
      </c>
      <c r="BH65" s="94">
        <f t="shared" si="159"/>
        <v>416000</v>
      </c>
      <c r="BI65" s="94">
        <f t="shared" si="159"/>
        <v>650200</v>
      </c>
      <c r="BJ65" s="94">
        <f t="shared" si="159"/>
        <v>681200</v>
      </c>
      <c r="BK65" s="9">
        <f t="shared" si="160"/>
        <v>3844650</v>
      </c>
    </row>
    <row r="66" spans="1:63">
      <c r="A66" s="186"/>
      <c r="B66" s="8">
        <v>3</v>
      </c>
      <c r="C66" s="1" t="s">
        <v>154</v>
      </c>
      <c r="D66" s="4" t="s">
        <v>155</v>
      </c>
      <c r="E66" s="4" t="s">
        <v>153</v>
      </c>
      <c r="F66" s="4">
        <v>155000</v>
      </c>
      <c r="G66" s="4"/>
      <c r="H66" s="4">
        <v>22000</v>
      </c>
      <c r="I66" s="4">
        <f>128000+10000+14000</f>
        <v>152000</v>
      </c>
      <c r="J66" s="4"/>
      <c r="K66" s="4"/>
      <c r="L66" s="4"/>
      <c r="M66" s="9">
        <f t="shared" si="151"/>
        <v>329000</v>
      </c>
      <c r="N66" s="4"/>
      <c r="O66" s="4"/>
      <c r="P66" s="4"/>
      <c r="Q66" s="4"/>
      <c r="R66" s="4"/>
      <c r="S66" s="4"/>
      <c r="T66" s="4"/>
      <c r="U66" s="9">
        <f t="shared" si="152"/>
        <v>0</v>
      </c>
      <c r="V66" s="20"/>
      <c r="W66" s="20"/>
      <c r="X66" s="20"/>
      <c r="Y66" s="20"/>
      <c r="Z66" s="20"/>
      <c r="AA66" s="20"/>
      <c r="AB66" s="20"/>
      <c r="AC66" s="9">
        <f t="shared" si="153"/>
        <v>0</v>
      </c>
      <c r="AD66" s="20">
        <v>195000</v>
      </c>
      <c r="AE66" s="25">
        <v>111550</v>
      </c>
      <c r="AF66" s="25">
        <v>586850</v>
      </c>
      <c r="AG66" s="25">
        <v>180000</v>
      </c>
      <c r="AH66" s="20"/>
      <c r="AI66" s="20"/>
      <c r="AJ66" s="20"/>
      <c r="AK66" s="21">
        <f t="shared" si="154"/>
        <v>1073400</v>
      </c>
      <c r="AL66" s="24">
        <v>577500</v>
      </c>
      <c r="AM66" s="20">
        <f>189000+185500+196000+199500+133000</f>
        <v>903000</v>
      </c>
      <c r="AN66" s="20">
        <f>837900+197600+98800</f>
        <v>1134300</v>
      </c>
      <c r="AO66" s="20">
        <v>1185600</v>
      </c>
      <c r="AP66" s="21">
        <f t="shared" si="155"/>
        <v>3800400</v>
      </c>
      <c r="AQ66" s="25"/>
      <c r="AR66" s="20"/>
      <c r="AS66" s="20"/>
      <c r="AT66" s="20"/>
      <c r="AU66" s="21">
        <f t="shared" si="156"/>
        <v>0</v>
      </c>
      <c r="AV66" s="25"/>
      <c r="AW66" s="25"/>
      <c r="AX66" s="25"/>
      <c r="AY66" s="25"/>
      <c r="AZ66" s="20"/>
      <c r="BA66" s="20"/>
      <c r="BB66" s="20"/>
      <c r="BC66" s="21">
        <f t="shared" si="157"/>
        <v>0</v>
      </c>
      <c r="BD66" s="4">
        <f t="shared" si="158"/>
        <v>350000</v>
      </c>
      <c r="BE66" s="4">
        <f t="shared" si="158"/>
        <v>111550</v>
      </c>
      <c r="BF66" s="4">
        <f t="shared" si="158"/>
        <v>608850</v>
      </c>
      <c r="BG66" s="4">
        <f t="shared" si="159"/>
        <v>909500</v>
      </c>
      <c r="BH66" s="94">
        <f t="shared" si="159"/>
        <v>903000</v>
      </c>
      <c r="BI66" s="94">
        <f t="shared" si="159"/>
        <v>1134300</v>
      </c>
      <c r="BJ66" s="94">
        <f t="shared" si="159"/>
        <v>1185600</v>
      </c>
      <c r="BK66" s="9">
        <f t="shared" si="160"/>
        <v>5202800</v>
      </c>
    </row>
    <row r="67" spans="1:63" ht="31.5">
      <c r="A67" s="187"/>
      <c r="B67" s="8">
        <v>4</v>
      </c>
      <c r="C67" s="1" t="s">
        <v>156</v>
      </c>
      <c r="D67" s="5" t="s">
        <v>411</v>
      </c>
      <c r="E67" s="4" t="s">
        <v>153</v>
      </c>
      <c r="F67" s="4"/>
      <c r="G67" s="4"/>
      <c r="H67" s="4"/>
      <c r="I67" s="4"/>
      <c r="J67" s="4"/>
      <c r="K67" s="4"/>
      <c r="L67" s="4"/>
      <c r="M67" s="9">
        <f t="shared" si="151"/>
        <v>0</v>
      </c>
      <c r="N67" s="4"/>
      <c r="O67" s="4"/>
      <c r="P67" s="4"/>
      <c r="Q67" s="4"/>
      <c r="R67" s="4"/>
      <c r="S67" s="4"/>
      <c r="T67" s="4"/>
      <c r="U67" s="9">
        <f t="shared" si="152"/>
        <v>0</v>
      </c>
      <c r="V67" s="20"/>
      <c r="W67" s="20"/>
      <c r="X67" s="20"/>
      <c r="Y67" s="20"/>
      <c r="Z67" s="20"/>
      <c r="AA67" s="20"/>
      <c r="AB67" s="20"/>
      <c r="AC67" s="9">
        <f t="shared" si="153"/>
        <v>0</v>
      </c>
      <c r="AD67" s="20"/>
      <c r="AE67" s="24">
        <v>195000</v>
      </c>
      <c r="AF67" s="20">
        <v>-195000</v>
      </c>
      <c r="AG67" s="20"/>
      <c r="AH67" s="20"/>
      <c r="AI67" s="20"/>
      <c r="AJ67" s="20"/>
      <c r="AK67" s="21">
        <f t="shared" si="154"/>
        <v>0</v>
      </c>
      <c r="AL67" s="25">
        <v>0</v>
      </c>
      <c r="AM67" s="20"/>
      <c r="AN67" s="20"/>
      <c r="AO67" s="20"/>
      <c r="AP67" s="21">
        <f t="shared" si="155"/>
        <v>0</v>
      </c>
      <c r="AQ67" s="25"/>
      <c r="AR67" s="20"/>
      <c r="AS67" s="20"/>
      <c r="AT67" s="20"/>
      <c r="AU67" s="21">
        <f t="shared" si="156"/>
        <v>0</v>
      </c>
      <c r="AV67" s="25"/>
      <c r="AW67" s="25"/>
      <c r="AX67" s="25"/>
      <c r="AY67" s="25"/>
      <c r="AZ67" s="20"/>
      <c r="BA67" s="20"/>
      <c r="BB67" s="20"/>
      <c r="BC67" s="21">
        <f t="shared" si="157"/>
        <v>0</v>
      </c>
      <c r="BD67" s="4">
        <f t="shared" si="158"/>
        <v>0</v>
      </c>
      <c r="BE67" s="4">
        <f t="shared" si="158"/>
        <v>195000</v>
      </c>
      <c r="BF67" s="4">
        <f t="shared" si="158"/>
        <v>-195000</v>
      </c>
      <c r="BG67" s="4">
        <f t="shared" si="159"/>
        <v>0</v>
      </c>
      <c r="BH67" s="94">
        <f t="shared" si="159"/>
        <v>0</v>
      </c>
      <c r="BI67" s="94">
        <f t="shared" si="159"/>
        <v>0</v>
      </c>
      <c r="BJ67" s="94">
        <f t="shared" si="159"/>
        <v>0</v>
      </c>
      <c r="BK67" s="9">
        <f t="shared" si="160"/>
        <v>0</v>
      </c>
    </row>
    <row r="68" spans="1:63" s="38" customFormat="1">
      <c r="A68" s="34"/>
      <c r="B68" s="34"/>
      <c r="C68" s="35" t="s">
        <v>157</v>
      </c>
      <c r="D68" s="37"/>
      <c r="E68" s="37"/>
      <c r="F68" s="37">
        <f>SUM(F64:F67)</f>
        <v>310000</v>
      </c>
      <c r="G68" s="37">
        <f t="shared" ref="G68:BK68" si="161">SUM(G64:G67)</f>
        <v>308000</v>
      </c>
      <c r="H68" s="37">
        <f t="shared" si="161"/>
        <v>209500</v>
      </c>
      <c r="I68" s="37">
        <f t="shared" si="161"/>
        <v>160000</v>
      </c>
      <c r="J68" s="37">
        <f t="shared" si="161"/>
        <v>-155000</v>
      </c>
      <c r="K68" s="37">
        <f t="shared" si="161"/>
        <v>0</v>
      </c>
      <c r="L68" s="37">
        <f t="shared" ref="L68" si="162">SUM(L64:L67)</f>
        <v>0</v>
      </c>
      <c r="M68" s="37">
        <f t="shared" si="161"/>
        <v>832500</v>
      </c>
      <c r="N68" s="37">
        <f t="shared" si="161"/>
        <v>0</v>
      </c>
      <c r="O68" s="37">
        <f t="shared" si="161"/>
        <v>0</v>
      </c>
      <c r="P68" s="37">
        <f t="shared" si="161"/>
        <v>0</v>
      </c>
      <c r="Q68" s="37">
        <f t="shared" si="161"/>
        <v>0</v>
      </c>
      <c r="R68" s="37">
        <f t="shared" si="161"/>
        <v>0</v>
      </c>
      <c r="S68" s="37">
        <f t="shared" si="161"/>
        <v>0</v>
      </c>
      <c r="T68" s="37">
        <f t="shared" ref="T68" si="163">SUM(T64:T67)</f>
        <v>0</v>
      </c>
      <c r="U68" s="37">
        <f t="shared" si="161"/>
        <v>0</v>
      </c>
      <c r="V68" s="37">
        <f t="shared" si="161"/>
        <v>0</v>
      </c>
      <c r="W68" s="37">
        <f t="shared" si="161"/>
        <v>0</v>
      </c>
      <c r="X68" s="37">
        <f t="shared" si="161"/>
        <v>0</v>
      </c>
      <c r="Y68" s="37">
        <f t="shared" si="161"/>
        <v>0</v>
      </c>
      <c r="Z68" s="37">
        <f t="shared" si="161"/>
        <v>0</v>
      </c>
      <c r="AA68" s="37">
        <f t="shared" si="161"/>
        <v>0</v>
      </c>
      <c r="AB68" s="37">
        <f t="shared" ref="AB68" si="164">SUM(AB64:AB67)</f>
        <v>0</v>
      </c>
      <c r="AC68" s="37">
        <f t="shared" si="161"/>
        <v>0</v>
      </c>
      <c r="AD68" s="37">
        <f t="shared" si="161"/>
        <v>390000</v>
      </c>
      <c r="AE68" s="37">
        <f t="shared" si="161"/>
        <v>797200</v>
      </c>
      <c r="AF68" s="37">
        <f t="shared" si="161"/>
        <v>614950</v>
      </c>
      <c r="AG68" s="37">
        <f t="shared" si="161"/>
        <v>350000</v>
      </c>
      <c r="AH68" s="37">
        <f t="shared" si="161"/>
        <v>-195000</v>
      </c>
      <c r="AI68" s="37">
        <f t="shared" si="161"/>
        <v>0</v>
      </c>
      <c r="AJ68" s="37">
        <f t="shared" ref="AJ68" si="165">SUM(AJ64:AJ67)</f>
        <v>0</v>
      </c>
      <c r="AK68" s="37">
        <f t="shared" si="161"/>
        <v>1957150</v>
      </c>
      <c r="AL68" s="37">
        <f t="shared" si="161"/>
        <v>957500</v>
      </c>
      <c r="AM68" s="37">
        <f t="shared" si="161"/>
        <v>1319000</v>
      </c>
      <c r="AN68" s="37">
        <f t="shared" si="161"/>
        <v>1784500</v>
      </c>
      <c r="AO68" s="37">
        <f t="shared" ref="AO68" si="166">SUM(AO64:AO67)</f>
        <v>1866800</v>
      </c>
      <c r="AP68" s="37">
        <f t="shared" si="161"/>
        <v>5927800</v>
      </c>
      <c r="AQ68" s="37">
        <f t="shared" si="161"/>
        <v>0</v>
      </c>
      <c r="AR68" s="37">
        <f t="shared" si="161"/>
        <v>0</v>
      </c>
      <c r="AS68" s="37">
        <f t="shared" si="161"/>
        <v>0</v>
      </c>
      <c r="AT68" s="37">
        <f t="shared" ref="AT68" si="167">SUM(AT64:AT67)</f>
        <v>0</v>
      </c>
      <c r="AU68" s="37">
        <f t="shared" si="161"/>
        <v>0</v>
      </c>
      <c r="AV68" s="37">
        <f t="shared" si="161"/>
        <v>0</v>
      </c>
      <c r="AW68" s="37">
        <f t="shared" si="161"/>
        <v>100000</v>
      </c>
      <c r="AX68" s="37">
        <f t="shared" si="161"/>
        <v>230000</v>
      </c>
      <c r="AY68" s="37">
        <f t="shared" si="161"/>
        <v>0</v>
      </c>
      <c r="AZ68" s="37">
        <f t="shared" si="161"/>
        <v>0</v>
      </c>
      <c r="BA68" s="37">
        <f t="shared" si="161"/>
        <v>0</v>
      </c>
      <c r="BB68" s="37">
        <f t="shared" ref="BB68" si="168">SUM(BB64:BB67)</f>
        <v>0</v>
      </c>
      <c r="BC68" s="37">
        <f t="shared" si="161"/>
        <v>330000</v>
      </c>
      <c r="BD68" s="37">
        <f t="shared" si="161"/>
        <v>700000</v>
      </c>
      <c r="BE68" s="37">
        <f t="shared" si="161"/>
        <v>1205200</v>
      </c>
      <c r="BF68" s="37">
        <f t="shared" si="161"/>
        <v>1054450</v>
      </c>
      <c r="BG68" s="37">
        <f t="shared" si="161"/>
        <v>1467500</v>
      </c>
      <c r="BH68" s="37">
        <f t="shared" si="161"/>
        <v>969000</v>
      </c>
      <c r="BI68" s="144">
        <f>SUM(BI64:BI67)</f>
        <v>1784500</v>
      </c>
      <c r="BJ68" s="37">
        <f t="shared" ref="BJ68" si="169">SUM(BJ64:BJ67)</f>
        <v>1866800</v>
      </c>
      <c r="BK68" s="37">
        <f t="shared" si="161"/>
        <v>9047450</v>
      </c>
    </row>
    <row r="69" spans="1:63">
      <c r="A69" s="148" t="s">
        <v>493</v>
      </c>
      <c r="B69" s="8">
        <v>1</v>
      </c>
      <c r="C69" s="1" t="s">
        <v>494</v>
      </c>
      <c r="D69" s="5"/>
      <c r="E69" s="4" t="s">
        <v>493</v>
      </c>
      <c r="F69" s="4"/>
      <c r="G69" s="4"/>
      <c r="H69" s="5"/>
      <c r="I69" s="4"/>
      <c r="J69" s="4"/>
      <c r="K69" s="4"/>
      <c r="L69" s="4"/>
      <c r="M69" s="9">
        <f>SUM(F69:L69)</f>
        <v>0</v>
      </c>
      <c r="N69" s="4"/>
      <c r="O69" s="4"/>
      <c r="P69" s="4"/>
      <c r="Q69" s="4"/>
      <c r="R69" s="4"/>
      <c r="S69" s="4"/>
      <c r="T69" s="4"/>
      <c r="U69" s="9">
        <f>SUM(N69:T69)</f>
        <v>0</v>
      </c>
      <c r="V69" s="20"/>
      <c r="W69" s="22"/>
      <c r="X69" s="20"/>
      <c r="Y69" s="20"/>
      <c r="Z69" s="20"/>
      <c r="AA69" s="20"/>
      <c r="AB69" s="20"/>
      <c r="AC69" s="9">
        <f>SUM(V69:AB69)</f>
        <v>0</v>
      </c>
      <c r="AD69" s="20"/>
      <c r="AE69" s="24"/>
      <c r="AF69" s="20"/>
      <c r="AG69" s="20"/>
      <c r="AH69" s="20"/>
      <c r="AI69" s="20"/>
      <c r="AJ69" s="20">
        <v>571500</v>
      </c>
      <c r="AK69" s="21">
        <f>SUM(AD69:AJ69)</f>
        <v>571500</v>
      </c>
      <c r="AL69" s="25"/>
      <c r="AM69" s="20"/>
      <c r="AN69" s="20"/>
      <c r="AO69" s="20"/>
      <c r="AP69" s="21">
        <f>SUM(AL69:AO69)</f>
        <v>0</v>
      </c>
      <c r="AQ69" s="25"/>
      <c r="AR69" s="20"/>
      <c r="AS69" s="20"/>
      <c r="AT69" s="20"/>
      <c r="AU69" s="21">
        <f>SUM(AQ69:AT69)</f>
        <v>0</v>
      </c>
      <c r="AV69" s="25"/>
      <c r="AW69" s="25"/>
      <c r="AX69" s="25"/>
      <c r="AY69" s="25"/>
      <c r="AZ69" s="20"/>
      <c r="BA69" s="20"/>
      <c r="BB69" s="20"/>
      <c r="BC69" s="21">
        <f>SUM(AV69:BB69)</f>
        <v>0</v>
      </c>
      <c r="BD69" s="4">
        <f>F69+N69+V69+AD69+AV69</f>
        <v>0</v>
      </c>
      <c r="BE69" s="4">
        <f>G69+O69+W69+AE69+AW69</f>
        <v>0</v>
      </c>
      <c r="BF69" s="4">
        <f>H69+P69+X69+AF69+AX69</f>
        <v>0</v>
      </c>
      <c r="BG69" s="4">
        <f>I69+Q69+Y69+AG69+AL69+AQ69+AY69</f>
        <v>0</v>
      </c>
      <c r="BH69" s="94">
        <f>J69+R69+Z69+AH69+AM69+AR69+AZ69</f>
        <v>0</v>
      </c>
      <c r="BI69" s="94">
        <f>K69+S69+AA69+AI69+AN69+AS69+BA69</f>
        <v>0</v>
      </c>
      <c r="BJ69" s="94">
        <f>L69+T69+AB69+AJ69+AO69+AT69+BB69</f>
        <v>571500</v>
      </c>
      <c r="BK69" s="9">
        <f>SUM(BD69:BJ69)</f>
        <v>571500</v>
      </c>
    </row>
    <row r="70" spans="1:63" s="38" customFormat="1">
      <c r="A70" s="34"/>
      <c r="B70" s="34"/>
      <c r="C70" s="35" t="s">
        <v>495</v>
      </c>
      <c r="D70" s="37"/>
      <c r="E70" s="37"/>
      <c r="F70" s="37">
        <f>SUM(F69)</f>
        <v>0</v>
      </c>
      <c r="G70" s="37">
        <f t="shared" ref="G70:K70" si="170">SUM(G69)</f>
        <v>0</v>
      </c>
      <c r="H70" s="37">
        <f t="shared" si="170"/>
        <v>0</v>
      </c>
      <c r="I70" s="37">
        <f t="shared" si="170"/>
        <v>0</v>
      </c>
      <c r="J70" s="37">
        <f t="shared" si="170"/>
        <v>0</v>
      </c>
      <c r="K70" s="37">
        <f t="shared" si="170"/>
        <v>0</v>
      </c>
      <c r="L70" s="37">
        <f t="shared" ref="L70:S72" si="171">SUM(L69)</f>
        <v>0</v>
      </c>
      <c r="M70" s="37">
        <f t="shared" si="171"/>
        <v>0</v>
      </c>
      <c r="N70" s="37">
        <f t="shared" si="171"/>
        <v>0</v>
      </c>
      <c r="O70" s="37">
        <f t="shared" si="171"/>
        <v>0</v>
      </c>
      <c r="P70" s="37">
        <f t="shared" si="171"/>
        <v>0</v>
      </c>
      <c r="Q70" s="37">
        <f t="shared" si="171"/>
        <v>0</v>
      </c>
      <c r="R70" s="37">
        <f t="shared" si="171"/>
        <v>0</v>
      </c>
      <c r="S70" s="37">
        <f t="shared" si="171"/>
        <v>0</v>
      </c>
      <c r="T70" s="37">
        <f t="shared" ref="T70:AA72" si="172">SUM(T69)</f>
        <v>0</v>
      </c>
      <c r="U70" s="37">
        <f t="shared" si="172"/>
        <v>0</v>
      </c>
      <c r="V70" s="37">
        <f t="shared" si="172"/>
        <v>0</v>
      </c>
      <c r="W70" s="37">
        <f t="shared" si="172"/>
        <v>0</v>
      </c>
      <c r="X70" s="37">
        <f t="shared" si="172"/>
        <v>0</v>
      </c>
      <c r="Y70" s="37">
        <f t="shared" si="172"/>
        <v>0</v>
      </c>
      <c r="Z70" s="37">
        <f t="shared" si="172"/>
        <v>0</v>
      </c>
      <c r="AA70" s="37">
        <f t="shared" si="172"/>
        <v>0</v>
      </c>
      <c r="AB70" s="37">
        <f t="shared" ref="AB70:AI72" si="173">SUM(AB69)</f>
        <v>0</v>
      </c>
      <c r="AC70" s="37">
        <f t="shared" si="173"/>
        <v>0</v>
      </c>
      <c r="AD70" s="37">
        <f t="shared" si="173"/>
        <v>0</v>
      </c>
      <c r="AE70" s="37">
        <f t="shared" si="173"/>
        <v>0</v>
      </c>
      <c r="AF70" s="37">
        <f t="shared" si="173"/>
        <v>0</v>
      </c>
      <c r="AG70" s="37">
        <f t="shared" si="173"/>
        <v>0</v>
      </c>
      <c r="AH70" s="37">
        <f t="shared" si="173"/>
        <v>0</v>
      </c>
      <c r="AI70" s="37">
        <f t="shared" si="173"/>
        <v>0</v>
      </c>
      <c r="AJ70" s="37">
        <f t="shared" ref="AJ70:AN72" si="174">SUM(AJ69)</f>
        <v>571500</v>
      </c>
      <c r="AK70" s="37">
        <f t="shared" si="174"/>
        <v>571500</v>
      </c>
      <c r="AL70" s="37">
        <f t="shared" si="174"/>
        <v>0</v>
      </c>
      <c r="AM70" s="37">
        <f t="shared" si="174"/>
        <v>0</v>
      </c>
      <c r="AN70" s="37">
        <f t="shared" si="174"/>
        <v>0</v>
      </c>
      <c r="AO70" s="37">
        <f t="shared" ref="AO70:AS72" si="175">SUM(AO69)</f>
        <v>0</v>
      </c>
      <c r="AP70" s="37">
        <f t="shared" si="175"/>
        <v>0</v>
      </c>
      <c r="AQ70" s="37">
        <f t="shared" si="175"/>
        <v>0</v>
      </c>
      <c r="AR70" s="37">
        <f t="shared" si="175"/>
        <v>0</v>
      </c>
      <c r="AS70" s="37">
        <f t="shared" si="175"/>
        <v>0</v>
      </c>
      <c r="AT70" s="37">
        <f t="shared" ref="AT70:BA72" si="176">SUM(AT69)</f>
        <v>0</v>
      </c>
      <c r="AU70" s="37">
        <f t="shared" si="176"/>
        <v>0</v>
      </c>
      <c r="AV70" s="37">
        <f t="shared" si="176"/>
        <v>0</v>
      </c>
      <c r="AW70" s="37">
        <f t="shared" si="176"/>
        <v>0</v>
      </c>
      <c r="AX70" s="37">
        <f t="shared" si="176"/>
        <v>0</v>
      </c>
      <c r="AY70" s="37">
        <f t="shared" si="176"/>
        <v>0</v>
      </c>
      <c r="AZ70" s="37">
        <f t="shared" si="176"/>
        <v>0</v>
      </c>
      <c r="BA70" s="37">
        <f t="shared" si="176"/>
        <v>0</v>
      </c>
      <c r="BB70" s="37">
        <f t="shared" ref="BB70:BI72" si="177">SUM(BB69)</f>
        <v>0</v>
      </c>
      <c r="BC70" s="37">
        <f t="shared" si="177"/>
        <v>0</v>
      </c>
      <c r="BD70" s="37">
        <f t="shared" si="177"/>
        <v>0</v>
      </c>
      <c r="BE70" s="37">
        <f t="shared" si="177"/>
        <v>0</v>
      </c>
      <c r="BF70" s="37">
        <f t="shared" si="177"/>
        <v>0</v>
      </c>
      <c r="BG70" s="37">
        <f t="shared" si="177"/>
        <v>0</v>
      </c>
      <c r="BH70" s="37">
        <f t="shared" si="177"/>
        <v>0</v>
      </c>
      <c r="BI70" s="37">
        <f t="shared" si="177"/>
        <v>0</v>
      </c>
      <c r="BJ70" s="37">
        <f t="shared" ref="BJ70:BK72" si="178">SUM(BJ69)</f>
        <v>571500</v>
      </c>
      <c r="BK70" s="37">
        <f t="shared" si="178"/>
        <v>571500</v>
      </c>
    </row>
    <row r="71" spans="1:63">
      <c r="A71" s="123" t="s">
        <v>28</v>
      </c>
      <c r="B71" s="8">
        <v>1</v>
      </c>
      <c r="C71" s="1" t="s">
        <v>3</v>
      </c>
      <c r="D71" s="5" t="s">
        <v>412</v>
      </c>
      <c r="E71" s="4" t="s">
        <v>28</v>
      </c>
      <c r="F71" s="4"/>
      <c r="G71" s="4"/>
      <c r="H71" s="5"/>
      <c r="I71" s="4"/>
      <c r="J71" s="4"/>
      <c r="K71" s="4"/>
      <c r="L71" s="4"/>
      <c r="M71" s="9">
        <f>SUM(F71:L71)</f>
        <v>0</v>
      </c>
      <c r="N71" s="4"/>
      <c r="O71" s="4"/>
      <c r="P71" s="4"/>
      <c r="Q71" s="4"/>
      <c r="R71" s="4"/>
      <c r="S71" s="4"/>
      <c r="T71" s="4"/>
      <c r="U71" s="9">
        <f>SUM(N71:T71)</f>
        <v>0</v>
      </c>
      <c r="V71" s="20"/>
      <c r="W71" s="22">
        <v>290000</v>
      </c>
      <c r="X71" s="20"/>
      <c r="Y71" s="20"/>
      <c r="Z71" s="20"/>
      <c r="AA71" s="20"/>
      <c r="AB71" s="20">
        <f>630000+210000</f>
        <v>840000</v>
      </c>
      <c r="AC71" s="9">
        <f>SUM(V71:AB71)</f>
        <v>1130000</v>
      </c>
      <c r="AD71" s="20"/>
      <c r="AE71" s="24">
        <v>195000</v>
      </c>
      <c r="AF71" s="20"/>
      <c r="AG71" s="20"/>
      <c r="AH71" s="20"/>
      <c r="AI71" s="20"/>
      <c r="AJ71" s="20"/>
      <c r="AK71" s="21">
        <f>SUM(AD71:AJ71)</f>
        <v>195000</v>
      </c>
      <c r="AL71" s="25"/>
      <c r="AM71" s="20"/>
      <c r="AN71" s="20"/>
      <c r="AO71" s="20"/>
      <c r="AP71" s="21">
        <f>SUM(AL71:AO71)</f>
        <v>0</v>
      </c>
      <c r="AQ71" s="25"/>
      <c r="AR71" s="20"/>
      <c r="AS71" s="20"/>
      <c r="AT71" s="20"/>
      <c r="AU71" s="21">
        <f>SUM(AQ71:AT71)</f>
        <v>0</v>
      </c>
      <c r="AV71" s="25"/>
      <c r="AW71" s="25"/>
      <c r="AX71" s="25"/>
      <c r="AY71" s="25"/>
      <c r="AZ71" s="20"/>
      <c r="BA71" s="20"/>
      <c r="BB71" s="20"/>
      <c r="BC71" s="21">
        <f>SUM(AV71:BB71)</f>
        <v>0</v>
      </c>
      <c r="BD71" s="4">
        <f>F71+N71+V71+AD71+AV71</f>
        <v>0</v>
      </c>
      <c r="BE71" s="4">
        <f>G71+O71+W71+AE71+AW71</f>
        <v>485000</v>
      </c>
      <c r="BF71" s="4">
        <f>H71+P71+X71+AF71+AX71</f>
        <v>0</v>
      </c>
      <c r="BG71" s="4">
        <f>I71+Q71+Y71+AG71+AL71+AQ71+AY71</f>
        <v>0</v>
      </c>
      <c r="BH71" s="94">
        <f>J71+R71+Z71+AH71+AM71+AR71+AZ71</f>
        <v>0</v>
      </c>
      <c r="BI71" s="94">
        <f>K71+S71+AA71+AI71+AN71+AS71+BA71</f>
        <v>0</v>
      </c>
      <c r="BJ71" s="94">
        <f>L71+T71+AB71+AJ71+AO71+AT71+BB71</f>
        <v>840000</v>
      </c>
      <c r="BK71" s="9">
        <f>SUM(BD71:BJ71)</f>
        <v>1325000</v>
      </c>
    </row>
    <row r="72" spans="1:63" s="38" customFormat="1">
      <c r="A72" s="34"/>
      <c r="B72" s="34"/>
      <c r="C72" s="35" t="s">
        <v>158</v>
      </c>
      <c r="D72" s="37"/>
      <c r="E72" s="37"/>
      <c r="F72" s="37">
        <f>SUM(F71)</f>
        <v>0</v>
      </c>
      <c r="G72" s="37">
        <f t="shared" ref="G72:BK72" si="179">SUM(G71)</f>
        <v>0</v>
      </c>
      <c r="H72" s="37">
        <f t="shared" si="179"/>
        <v>0</v>
      </c>
      <c r="I72" s="37">
        <f t="shared" si="179"/>
        <v>0</v>
      </c>
      <c r="J72" s="37">
        <f t="shared" si="179"/>
        <v>0</v>
      </c>
      <c r="K72" s="37">
        <f t="shared" si="179"/>
        <v>0</v>
      </c>
      <c r="L72" s="37">
        <f t="shared" si="171"/>
        <v>0</v>
      </c>
      <c r="M72" s="37">
        <f t="shared" si="179"/>
        <v>0</v>
      </c>
      <c r="N72" s="37">
        <f t="shared" si="179"/>
        <v>0</v>
      </c>
      <c r="O72" s="37">
        <f t="shared" si="179"/>
        <v>0</v>
      </c>
      <c r="P72" s="37">
        <f t="shared" si="179"/>
        <v>0</v>
      </c>
      <c r="Q72" s="37">
        <f t="shared" si="179"/>
        <v>0</v>
      </c>
      <c r="R72" s="37">
        <f t="shared" si="179"/>
        <v>0</v>
      </c>
      <c r="S72" s="37">
        <f t="shared" si="179"/>
        <v>0</v>
      </c>
      <c r="T72" s="37">
        <f t="shared" si="172"/>
        <v>0</v>
      </c>
      <c r="U72" s="37">
        <f t="shared" si="179"/>
        <v>0</v>
      </c>
      <c r="V72" s="37">
        <f t="shared" si="179"/>
        <v>0</v>
      </c>
      <c r="W72" s="37">
        <f t="shared" si="179"/>
        <v>290000</v>
      </c>
      <c r="X72" s="37">
        <f t="shared" si="179"/>
        <v>0</v>
      </c>
      <c r="Y72" s="37">
        <f t="shared" si="179"/>
        <v>0</v>
      </c>
      <c r="Z72" s="37">
        <f t="shared" si="179"/>
        <v>0</v>
      </c>
      <c r="AA72" s="37">
        <f t="shared" si="179"/>
        <v>0</v>
      </c>
      <c r="AB72" s="37">
        <f t="shared" si="173"/>
        <v>840000</v>
      </c>
      <c r="AC72" s="37">
        <f t="shared" si="179"/>
        <v>1130000</v>
      </c>
      <c r="AD72" s="37">
        <f t="shared" si="179"/>
        <v>0</v>
      </c>
      <c r="AE72" s="37">
        <f t="shared" si="179"/>
        <v>195000</v>
      </c>
      <c r="AF72" s="37">
        <f t="shared" si="179"/>
        <v>0</v>
      </c>
      <c r="AG72" s="37">
        <f t="shared" si="179"/>
        <v>0</v>
      </c>
      <c r="AH72" s="37">
        <f t="shared" si="179"/>
        <v>0</v>
      </c>
      <c r="AI72" s="37">
        <f t="shared" si="179"/>
        <v>0</v>
      </c>
      <c r="AJ72" s="37">
        <f t="shared" si="174"/>
        <v>0</v>
      </c>
      <c r="AK72" s="37">
        <f t="shared" si="179"/>
        <v>195000</v>
      </c>
      <c r="AL72" s="37">
        <f t="shared" si="179"/>
        <v>0</v>
      </c>
      <c r="AM72" s="37">
        <f t="shared" si="179"/>
        <v>0</v>
      </c>
      <c r="AN72" s="37">
        <f t="shared" si="179"/>
        <v>0</v>
      </c>
      <c r="AO72" s="37">
        <f t="shared" si="175"/>
        <v>0</v>
      </c>
      <c r="AP72" s="37">
        <f t="shared" si="179"/>
        <v>0</v>
      </c>
      <c r="AQ72" s="37">
        <f t="shared" si="179"/>
        <v>0</v>
      </c>
      <c r="AR72" s="37">
        <f t="shared" si="179"/>
        <v>0</v>
      </c>
      <c r="AS72" s="37">
        <f t="shared" si="179"/>
        <v>0</v>
      </c>
      <c r="AT72" s="37">
        <f t="shared" si="176"/>
        <v>0</v>
      </c>
      <c r="AU72" s="37">
        <f t="shared" si="179"/>
        <v>0</v>
      </c>
      <c r="AV72" s="37">
        <f t="shared" si="179"/>
        <v>0</v>
      </c>
      <c r="AW72" s="37">
        <f t="shared" si="179"/>
        <v>0</v>
      </c>
      <c r="AX72" s="37">
        <f t="shared" si="179"/>
        <v>0</v>
      </c>
      <c r="AY72" s="37">
        <f t="shared" si="179"/>
        <v>0</v>
      </c>
      <c r="AZ72" s="37">
        <f t="shared" si="179"/>
        <v>0</v>
      </c>
      <c r="BA72" s="37">
        <f t="shared" si="179"/>
        <v>0</v>
      </c>
      <c r="BB72" s="37">
        <f t="shared" si="177"/>
        <v>0</v>
      </c>
      <c r="BC72" s="37">
        <f t="shared" si="179"/>
        <v>0</v>
      </c>
      <c r="BD72" s="37">
        <f t="shared" si="179"/>
        <v>0</v>
      </c>
      <c r="BE72" s="37">
        <f t="shared" si="179"/>
        <v>485000</v>
      </c>
      <c r="BF72" s="37">
        <f t="shared" si="179"/>
        <v>0</v>
      </c>
      <c r="BG72" s="37">
        <f t="shared" si="179"/>
        <v>0</v>
      </c>
      <c r="BH72" s="37">
        <f t="shared" si="179"/>
        <v>0</v>
      </c>
      <c r="BI72" s="37">
        <f t="shared" si="179"/>
        <v>0</v>
      </c>
      <c r="BJ72" s="37">
        <f t="shared" si="178"/>
        <v>840000</v>
      </c>
      <c r="BK72" s="37">
        <f t="shared" si="179"/>
        <v>1325000</v>
      </c>
    </row>
    <row r="73" spans="1:63" ht="36" customHeight="1">
      <c r="A73" s="185" t="s">
        <v>159</v>
      </c>
      <c r="B73" s="8">
        <v>1</v>
      </c>
      <c r="C73" s="1" t="s">
        <v>160</v>
      </c>
      <c r="D73" s="4" t="s">
        <v>161</v>
      </c>
      <c r="E73" s="4" t="s">
        <v>159</v>
      </c>
      <c r="F73" s="4"/>
      <c r="G73" s="4"/>
      <c r="H73" s="4">
        <v>155000</v>
      </c>
      <c r="I73" s="4"/>
      <c r="J73" s="4"/>
      <c r="K73" s="4"/>
      <c r="L73" s="4"/>
      <c r="M73" s="9">
        <f t="shared" ref="M73:M81" si="180">SUM(F73:L73)</f>
        <v>155000</v>
      </c>
      <c r="N73" s="4"/>
      <c r="O73" s="4"/>
      <c r="P73" s="4"/>
      <c r="Q73" s="4"/>
      <c r="R73" s="4"/>
      <c r="S73" s="4"/>
      <c r="T73" s="4"/>
      <c r="U73" s="9">
        <f t="shared" ref="U73:U81" si="181">SUM(N73:T73)</f>
        <v>0</v>
      </c>
      <c r="V73" s="20"/>
      <c r="W73" s="20"/>
      <c r="X73" s="20"/>
      <c r="Y73" s="20"/>
      <c r="Z73" s="20"/>
      <c r="AA73" s="20"/>
      <c r="AB73" s="20"/>
      <c r="AC73" s="9">
        <f t="shared" ref="AC73:AC81" si="182">SUM(V73:AB73)</f>
        <v>0</v>
      </c>
      <c r="AD73" s="20"/>
      <c r="AE73" s="20"/>
      <c r="AF73" s="20"/>
      <c r="AG73" s="20"/>
      <c r="AH73" s="20"/>
      <c r="AI73" s="20"/>
      <c r="AJ73" s="20"/>
      <c r="AK73" s="21">
        <f t="shared" ref="AK73:AK81" si="183">SUM(AD73:AJ73)</f>
        <v>0</v>
      </c>
      <c r="AL73" s="25"/>
      <c r="AM73" s="20"/>
      <c r="AN73" s="20"/>
      <c r="AO73" s="20"/>
      <c r="AP73" s="21">
        <f t="shared" ref="AP73:AP81" si="184">SUM(AL73:AO73)</f>
        <v>0</v>
      </c>
      <c r="AQ73" s="25"/>
      <c r="AR73" s="20"/>
      <c r="AS73" s="20"/>
      <c r="AT73" s="20"/>
      <c r="AU73" s="21">
        <f t="shared" ref="AU73:AU81" si="185">SUM(AQ73:AT73)</f>
        <v>0</v>
      </c>
      <c r="AV73" s="25"/>
      <c r="AW73" s="25"/>
      <c r="AX73" s="25"/>
      <c r="AY73" s="25"/>
      <c r="AZ73" s="20"/>
      <c r="BA73" s="20"/>
      <c r="BB73" s="20"/>
      <c r="BC73" s="21">
        <f t="shared" ref="BC73:BC81" si="186">SUM(AV73:BB73)</f>
        <v>0</v>
      </c>
      <c r="BD73" s="4">
        <f t="shared" ref="BD73:BD81" si="187">F73+N73+V73+AD73+AV73</f>
        <v>0</v>
      </c>
      <c r="BE73" s="4">
        <f t="shared" ref="BE73:BE81" si="188">G73+O73+W73+AE73+AW73</f>
        <v>0</v>
      </c>
      <c r="BF73" s="4">
        <f t="shared" ref="BF73:BF81" si="189">H73+P73+X73+AF73+AX73</f>
        <v>155000</v>
      </c>
      <c r="BG73" s="4">
        <f t="shared" ref="BG73:BG81" si="190">I73+Q73+Y73+AG73+AL73+AQ73+AY73</f>
        <v>0</v>
      </c>
      <c r="BH73" s="94">
        <f t="shared" ref="BH73:BH81" si="191">J73+R73+Z73+AH73+AM73+AR73+AZ73</f>
        <v>0</v>
      </c>
      <c r="BI73" s="94">
        <f t="shared" ref="BI73:BI81" si="192">K73+S73+AA73+AI73+AN73+AS73+BA73</f>
        <v>0</v>
      </c>
      <c r="BJ73" s="94">
        <f t="shared" ref="BJ73:BJ81" si="193">L73+T73+AB73+AJ73+AO73+AT73+BB73</f>
        <v>0</v>
      </c>
      <c r="BK73" s="9">
        <f t="shared" ref="BK73:BK81" si="194">SUM(BD73:BJ73)</f>
        <v>155000</v>
      </c>
    </row>
    <row r="74" spans="1:63">
      <c r="A74" s="186"/>
      <c r="B74" s="8">
        <v>2</v>
      </c>
      <c r="C74" s="1" t="s">
        <v>162</v>
      </c>
      <c r="D74" s="4" t="s">
        <v>163</v>
      </c>
      <c r="E74" s="4" t="s">
        <v>159</v>
      </c>
      <c r="F74" s="4"/>
      <c r="G74" s="4">
        <v>430000</v>
      </c>
      <c r="H74" s="4">
        <f>60500+60500+286000+100000</f>
        <v>507000</v>
      </c>
      <c r="I74" s="4">
        <v>136500</v>
      </c>
      <c r="J74" s="4"/>
      <c r="K74" s="4"/>
      <c r="L74" s="4"/>
      <c r="M74" s="9">
        <f t="shared" si="180"/>
        <v>1073500</v>
      </c>
      <c r="N74" s="4"/>
      <c r="O74" s="4"/>
      <c r="P74" s="4"/>
      <c r="Q74" s="4"/>
      <c r="R74" s="4"/>
      <c r="S74" s="4"/>
      <c r="T74" s="4"/>
      <c r="U74" s="9">
        <f t="shared" si="181"/>
        <v>0</v>
      </c>
      <c r="V74" s="20"/>
      <c r="W74" s="20"/>
      <c r="X74" s="20"/>
      <c r="Y74" s="20"/>
      <c r="Z74" s="20"/>
      <c r="AA74" s="20"/>
      <c r="AB74" s="20"/>
      <c r="AC74" s="9">
        <f t="shared" si="182"/>
        <v>0</v>
      </c>
      <c r="AD74" s="20"/>
      <c r="AE74" s="20"/>
      <c r="AF74" s="20"/>
      <c r="AG74" s="20"/>
      <c r="AH74" s="20"/>
      <c r="AI74" s="20"/>
      <c r="AJ74" s="20"/>
      <c r="AK74" s="21">
        <f t="shared" si="183"/>
        <v>0</v>
      </c>
      <c r="AL74" s="25"/>
      <c r="AM74" s="20"/>
      <c r="AN74" s="20"/>
      <c r="AO74" s="20"/>
      <c r="AP74" s="21">
        <f t="shared" si="184"/>
        <v>0</v>
      </c>
      <c r="AQ74" s="25"/>
      <c r="AR74" s="20"/>
      <c r="AS74" s="20"/>
      <c r="AT74" s="20"/>
      <c r="AU74" s="21">
        <f t="shared" si="185"/>
        <v>0</v>
      </c>
      <c r="AV74" s="25"/>
      <c r="AW74" s="25"/>
      <c r="AX74" s="25"/>
      <c r="AY74" s="25"/>
      <c r="AZ74" s="20"/>
      <c r="BA74" s="20"/>
      <c r="BB74" s="20"/>
      <c r="BC74" s="21">
        <f t="shared" si="186"/>
        <v>0</v>
      </c>
      <c r="BD74" s="4">
        <f t="shared" si="187"/>
        <v>0</v>
      </c>
      <c r="BE74" s="4">
        <f t="shared" si="188"/>
        <v>430000</v>
      </c>
      <c r="BF74" s="4">
        <f t="shared" si="189"/>
        <v>507000</v>
      </c>
      <c r="BG74" s="4">
        <f t="shared" si="190"/>
        <v>136500</v>
      </c>
      <c r="BH74" s="94">
        <f t="shared" si="191"/>
        <v>0</v>
      </c>
      <c r="BI74" s="94">
        <f t="shared" si="192"/>
        <v>0</v>
      </c>
      <c r="BJ74" s="94">
        <f t="shared" si="193"/>
        <v>0</v>
      </c>
      <c r="BK74" s="9">
        <f t="shared" si="194"/>
        <v>1073500</v>
      </c>
    </row>
    <row r="75" spans="1:63">
      <c r="A75" s="186"/>
      <c r="B75" s="8">
        <v>3</v>
      </c>
      <c r="C75" s="1" t="s">
        <v>164</v>
      </c>
      <c r="D75" s="4" t="s">
        <v>165</v>
      </c>
      <c r="E75" s="4" t="s">
        <v>159</v>
      </c>
      <c r="F75" s="4"/>
      <c r="G75" s="4">
        <v>942500</v>
      </c>
      <c r="H75" s="4">
        <v>87500</v>
      </c>
      <c r="I75" s="4"/>
      <c r="J75" s="4"/>
      <c r="K75" s="4"/>
      <c r="L75" s="4"/>
      <c r="M75" s="9">
        <f t="shared" si="180"/>
        <v>1030000</v>
      </c>
      <c r="N75" s="4"/>
      <c r="O75" s="4"/>
      <c r="P75" s="4"/>
      <c r="Q75" s="4"/>
      <c r="R75" s="4"/>
      <c r="S75" s="4"/>
      <c r="T75" s="4"/>
      <c r="U75" s="9">
        <f t="shared" si="181"/>
        <v>0</v>
      </c>
      <c r="V75" s="20"/>
      <c r="W75" s="22">
        <v>794000</v>
      </c>
      <c r="X75" s="20"/>
      <c r="Y75" s="20"/>
      <c r="Z75" s="20"/>
      <c r="AA75" s="20"/>
      <c r="AB75" s="20"/>
      <c r="AC75" s="9">
        <f t="shared" si="182"/>
        <v>794000</v>
      </c>
      <c r="AD75" s="20"/>
      <c r="AE75" s="20"/>
      <c r="AF75" s="25"/>
      <c r="AG75" s="25"/>
      <c r="AH75" s="20"/>
      <c r="AI75" s="20"/>
      <c r="AJ75" s="20"/>
      <c r="AK75" s="21">
        <f t="shared" si="183"/>
        <v>0</v>
      </c>
      <c r="AL75" s="25"/>
      <c r="AM75" s="20"/>
      <c r="AN75" s="20"/>
      <c r="AO75" s="20"/>
      <c r="AP75" s="21">
        <f t="shared" si="184"/>
        <v>0</v>
      </c>
      <c r="AQ75" s="25"/>
      <c r="AR75" s="20"/>
      <c r="AS75" s="20"/>
      <c r="AT75" s="20"/>
      <c r="AU75" s="21">
        <f t="shared" si="185"/>
        <v>0</v>
      </c>
      <c r="AV75" s="25"/>
      <c r="AW75" s="25"/>
      <c r="AX75" s="25"/>
      <c r="AY75" s="25"/>
      <c r="AZ75" s="20"/>
      <c r="BA75" s="20"/>
      <c r="BB75" s="20"/>
      <c r="BC75" s="21">
        <f t="shared" si="186"/>
        <v>0</v>
      </c>
      <c r="BD75" s="4">
        <f t="shared" si="187"/>
        <v>0</v>
      </c>
      <c r="BE75" s="4">
        <f t="shared" si="188"/>
        <v>1736500</v>
      </c>
      <c r="BF75" s="4">
        <f t="shared" si="189"/>
        <v>87500</v>
      </c>
      <c r="BG75" s="4">
        <f t="shared" si="190"/>
        <v>0</v>
      </c>
      <c r="BH75" s="94">
        <f t="shared" si="191"/>
        <v>0</v>
      </c>
      <c r="BI75" s="94">
        <f t="shared" si="192"/>
        <v>0</v>
      </c>
      <c r="BJ75" s="94">
        <f t="shared" si="193"/>
        <v>0</v>
      </c>
      <c r="BK75" s="9">
        <f t="shared" si="194"/>
        <v>1824000</v>
      </c>
    </row>
    <row r="76" spans="1:63">
      <c r="A76" s="186"/>
      <c r="B76" s="8">
        <v>4</v>
      </c>
      <c r="C76" s="1" t="s">
        <v>166</v>
      </c>
      <c r="D76" s="4" t="s">
        <v>167</v>
      </c>
      <c r="E76" s="4" t="s">
        <v>159</v>
      </c>
      <c r="F76" s="4"/>
      <c r="G76" s="4"/>
      <c r="H76" s="4">
        <f>155000+104500+93500+110000+20000</f>
        <v>483000</v>
      </c>
      <c r="I76" s="4">
        <v>884000</v>
      </c>
      <c r="J76" s="4">
        <f>70000+210000+210000+210000+140000</f>
        <v>840000</v>
      </c>
      <c r="K76" s="4">
        <f>1000000+220000+110000</f>
        <v>1330000</v>
      </c>
      <c r="L76" s="4">
        <v>1320000</v>
      </c>
      <c r="M76" s="9">
        <f t="shared" si="180"/>
        <v>4857000</v>
      </c>
      <c r="N76" s="4"/>
      <c r="O76" s="4"/>
      <c r="P76" s="4"/>
      <c r="Q76" s="4"/>
      <c r="R76" s="4"/>
      <c r="S76" s="4"/>
      <c r="T76" s="4"/>
      <c r="U76" s="9">
        <f t="shared" si="181"/>
        <v>0</v>
      </c>
      <c r="V76" s="20"/>
      <c r="W76" s="20"/>
      <c r="X76" s="20"/>
      <c r="Y76" s="20"/>
      <c r="Z76" s="20"/>
      <c r="AA76" s="20"/>
      <c r="AB76" s="20"/>
      <c r="AC76" s="9">
        <f t="shared" si="182"/>
        <v>0</v>
      </c>
      <c r="AD76" s="20"/>
      <c r="AE76" s="20"/>
      <c r="AF76" s="20"/>
      <c r="AG76" s="20"/>
      <c r="AH76" s="20"/>
      <c r="AI76" s="20"/>
      <c r="AJ76" s="20"/>
      <c r="AK76" s="21">
        <f t="shared" si="183"/>
        <v>0</v>
      </c>
      <c r="AL76" s="25"/>
      <c r="AM76" s="20"/>
      <c r="AN76" s="20"/>
      <c r="AO76" s="20"/>
      <c r="AP76" s="21">
        <f t="shared" si="184"/>
        <v>0</v>
      </c>
      <c r="AQ76" s="25"/>
      <c r="AR76" s="20"/>
      <c r="AS76" s="20"/>
      <c r="AT76" s="20"/>
      <c r="AU76" s="21">
        <f t="shared" si="185"/>
        <v>0</v>
      </c>
      <c r="AV76" s="25"/>
      <c r="AW76" s="25"/>
      <c r="AX76" s="25"/>
      <c r="AY76" s="25"/>
      <c r="AZ76" s="20"/>
      <c r="BA76" s="20"/>
      <c r="BB76" s="20"/>
      <c r="BC76" s="21">
        <f t="shared" si="186"/>
        <v>0</v>
      </c>
      <c r="BD76" s="4">
        <f t="shared" si="187"/>
        <v>0</v>
      </c>
      <c r="BE76" s="4">
        <f t="shared" si="188"/>
        <v>0</v>
      </c>
      <c r="BF76" s="4">
        <f t="shared" si="189"/>
        <v>483000</v>
      </c>
      <c r="BG76" s="4">
        <f t="shared" si="190"/>
        <v>884000</v>
      </c>
      <c r="BH76" s="94">
        <f t="shared" si="191"/>
        <v>840000</v>
      </c>
      <c r="BI76" s="94">
        <f t="shared" si="192"/>
        <v>1330000</v>
      </c>
      <c r="BJ76" s="94">
        <f t="shared" si="193"/>
        <v>1320000</v>
      </c>
      <c r="BK76" s="9">
        <f t="shared" si="194"/>
        <v>4857000</v>
      </c>
    </row>
    <row r="77" spans="1:63">
      <c r="A77" s="186"/>
      <c r="B77" s="8">
        <v>5</v>
      </c>
      <c r="C77" s="1" t="s">
        <v>168</v>
      </c>
      <c r="D77" s="4" t="s">
        <v>169</v>
      </c>
      <c r="E77" s="4" t="s">
        <v>159</v>
      </c>
      <c r="F77" s="4"/>
      <c r="G77" s="4">
        <v>155000</v>
      </c>
      <c r="H77" s="4">
        <v>469000</v>
      </c>
      <c r="I77" s="4">
        <v>632000</v>
      </c>
      <c r="J77" s="4">
        <f>38500+126000+129500+112000+70000</f>
        <v>476000</v>
      </c>
      <c r="K77" s="4">
        <v>35000</v>
      </c>
      <c r="L77" s="4"/>
      <c r="M77" s="9">
        <f t="shared" si="180"/>
        <v>1767000</v>
      </c>
      <c r="N77" s="4"/>
      <c r="O77" s="4"/>
      <c r="P77" s="4"/>
      <c r="Q77" s="4"/>
      <c r="R77" s="4"/>
      <c r="S77" s="4"/>
      <c r="T77" s="4"/>
      <c r="U77" s="9">
        <f t="shared" si="181"/>
        <v>0</v>
      </c>
      <c r="V77" s="20"/>
      <c r="W77" s="20"/>
      <c r="X77" s="20"/>
      <c r="Y77" s="20"/>
      <c r="Z77" s="20"/>
      <c r="AA77" s="20"/>
      <c r="AB77" s="20"/>
      <c r="AC77" s="9">
        <f t="shared" si="182"/>
        <v>0</v>
      </c>
      <c r="AD77" s="20"/>
      <c r="AE77" s="20"/>
      <c r="AF77" s="20"/>
      <c r="AG77" s="20"/>
      <c r="AH77" s="20"/>
      <c r="AI77" s="20"/>
      <c r="AJ77" s="20"/>
      <c r="AK77" s="21">
        <f t="shared" si="183"/>
        <v>0</v>
      </c>
      <c r="AL77" s="25"/>
      <c r="AM77" s="20"/>
      <c r="AN77" s="20"/>
      <c r="AO77" s="20"/>
      <c r="AP77" s="21">
        <f t="shared" si="184"/>
        <v>0</v>
      </c>
      <c r="AQ77" s="25"/>
      <c r="AR77" s="20"/>
      <c r="AS77" s="20"/>
      <c r="AT77" s="20"/>
      <c r="AU77" s="21">
        <f t="shared" si="185"/>
        <v>0</v>
      </c>
      <c r="AV77" s="25"/>
      <c r="AW77" s="25"/>
      <c r="AX77" s="25"/>
      <c r="AY77" s="25"/>
      <c r="AZ77" s="20"/>
      <c r="BA77" s="20"/>
      <c r="BB77" s="20"/>
      <c r="BC77" s="21">
        <f t="shared" si="186"/>
        <v>0</v>
      </c>
      <c r="BD77" s="4">
        <f t="shared" si="187"/>
        <v>0</v>
      </c>
      <c r="BE77" s="4">
        <f t="shared" si="188"/>
        <v>155000</v>
      </c>
      <c r="BF77" s="4">
        <f t="shared" si="189"/>
        <v>469000</v>
      </c>
      <c r="BG77" s="4">
        <f t="shared" si="190"/>
        <v>632000</v>
      </c>
      <c r="BH77" s="94">
        <f t="shared" si="191"/>
        <v>476000</v>
      </c>
      <c r="BI77" s="94">
        <f t="shared" si="192"/>
        <v>35000</v>
      </c>
      <c r="BJ77" s="94">
        <f t="shared" si="193"/>
        <v>0</v>
      </c>
      <c r="BK77" s="9">
        <f t="shared" si="194"/>
        <v>1767000</v>
      </c>
    </row>
    <row r="78" spans="1:63">
      <c r="A78" s="186"/>
      <c r="B78" s="8">
        <v>6</v>
      </c>
      <c r="C78" s="1" t="s">
        <v>170</v>
      </c>
      <c r="D78" s="4" t="s">
        <v>171</v>
      </c>
      <c r="E78" s="4" t="s">
        <v>159</v>
      </c>
      <c r="F78" s="4"/>
      <c r="G78" s="4"/>
      <c r="H78" s="4"/>
      <c r="I78" s="4"/>
      <c r="J78" s="4"/>
      <c r="K78" s="4"/>
      <c r="L78" s="4"/>
      <c r="M78" s="9">
        <f t="shared" si="180"/>
        <v>0</v>
      </c>
      <c r="N78" s="4"/>
      <c r="O78" s="4"/>
      <c r="P78" s="4"/>
      <c r="Q78" s="4"/>
      <c r="R78" s="4"/>
      <c r="S78" s="4"/>
      <c r="T78" s="4"/>
      <c r="U78" s="9">
        <f t="shared" si="181"/>
        <v>0</v>
      </c>
      <c r="V78" s="20"/>
      <c r="W78" s="20"/>
      <c r="X78" s="20"/>
      <c r="Y78" s="20"/>
      <c r="Z78" s="20"/>
      <c r="AA78" s="20"/>
      <c r="AB78" s="20"/>
      <c r="AC78" s="9">
        <f t="shared" si="182"/>
        <v>0</v>
      </c>
      <c r="AD78" s="20"/>
      <c r="AE78" s="25">
        <v>232800</v>
      </c>
      <c r="AF78" s="25">
        <v>424050</v>
      </c>
      <c r="AG78" s="25">
        <v>229000</v>
      </c>
      <c r="AH78" s="20">
        <f>59500+31500+168000+126000+42000</f>
        <v>427000</v>
      </c>
      <c r="AI78" s="20">
        <f>411600+138600+46200</f>
        <v>596400</v>
      </c>
      <c r="AJ78" s="20">
        <v>596750</v>
      </c>
      <c r="AK78" s="21">
        <f t="shared" si="183"/>
        <v>2506000</v>
      </c>
      <c r="AL78" s="25"/>
      <c r="AM78" s="20"/>
      <c r="AN78" s="20"/>
      <c r="AO78" s="20"/>
      <c r="AP78" s="21">
        <f t="shared" si="184"/>
        <v>0</v>
      </c>
      <c r="AQ78" s="25"/>
      <c r="AR78" s="20"/>
      <c r="AS78" s="20"/>
      <c r="AT78" s="20"/>
      <c r="AU78" s="21">
        <f t="shared" si="185"/>
        <v>0</v>
      </c>
      <c r="AV78" s="25"/>
      <c r="AW78" s="25"/>
      <c r="AX78" s="25"/>
      <c r="AY78" s="25"/>
      <c r="AZ78" s="20"/>
      <c r="BA78" s="20"/>
      <c r="BB78" s="20"/>
      <c r="BC78" s="21">
        <f t="shared" si="186"/>
        <v>0</v>
      </c>
      <c r="BD78" s="4">
        <f t="shared" si="187"/>
        <v>0</v>
      </c>
      <c r="BE78" s="4">
        <f t="shared" si="188"/>
        <v>232800</v>
      </c>
      <c r="BF78" s="4">
        <f t="shared" si="189"/>
        <v>424050</v>
      </c>
      <c r="BG78" s="4">
        <f t="shared" si="190"/>
        <v>229000</v>
      </c>
      <c r="BH78" s="94">
        <f t="shared" si="191"/>
        <v>427000</v>
      </c>
      <c r="BI78" s="94">
        <f t="shared" si="192"/>
        <v>596400</v>
      </c>
      <c r="BJ78" s="94">
        <f t="shared" si="193"/>
        <v>596750</v>
      </c>
      <c r="BK78" s="9">
        <f t="shared" si="194"/>
        <v>2506000</v>
      </c>
    </row>
    <row r="79" spans="1:63">
      <c r="A79" s="186"/>
      <c r="B79" s="8">
        <v>7</v>
      </c>
      <c r="C79" s="1" t="s">
        <v>172</v>
      </c>
      <c r="D79" s="4" t="s">
        <v>165</v>
      </c>
      <c r="E79" s="4" t="s">
        <v>159</v>
      </c>
      <c r="F79" s="4"/>
      <c r="G79" s="4"/>
      <c r="H79" s="4">
        <v>155000</v>
      </c>
      <c r="I79" s="4">
        <v>-155000</v>
      </c>
      <c r="J79" s="4"/>
      <c r="K79" s="4"/>
      <c r="L79" s="4"/>
      <c r="M79" s="9">
        <f t="shared" si="180"/>
        <v>0</v>
      </c>
      <c r="N79" s="4"/>
      <c r="O79" s="4"/>
      <c r="P79" s="4"/>
      <c r="Q79" s="4"/>
      <c r="R79" s="4"/>
      <c r="S79" s="4"/>
      <c r="T79" s="4"/>
      <c r="U79" s="9">
        <f t="shared" si="181"/>
        <v>0</v>
      </c>
      <c r="V79" s="20"/>
      <c r="W79" s="20"/>
      <c r="X79" s="20"/>
      <c r="Y79" s="20"/>
      <c r="Z79" s="20"/>
      <c r="AA79" s="20"/>
      <c r="AB79" s="20"/>
      <c r="AC79" s="9">
        <f t="shared" si="182"/>
        <v>0</v>
      </c>
      <c r="AD79" s="20"/>
      <c r="AE79" s="20"/>
      <c r="AF79" s="20"/>
      <c r="AG79" s="20"/>
      <c r="AH79" s="20"/>
      <c r="AI79" s="20"/>
      <c r="AJ79" s="20"/>
      <c r="AK79" s="21">
        <f t="shared" si="183"/>
        <v>0</v>
      </c>
      <c r="AL79" s="25"/>
      <c r="AM79" s="20"/>
      <c r="AN79" s="20"/>
      <c r="AO79" s="20"/>
      <c r="AP79" s="21">
        <f t="shared" si="184"/>
        <v>0</v>
      </c>
      <c r="AQ79" s="25"/>
      <c r="AR79" s="20"/>
      <c r="AS79" s="20"/>
      <c r="AT79" s="20"/>
      <c r="AU79" s="21">
        <f t="shared" si="185"/>
        <v>0</v>
      </c>
      <c r="AV79" s="25"/>
      <c r="AW79" s="25"/>
      <c r="AX79" s="25"/>
      <c r="AY79" s="25"/>
      <c r="AZ79" s="20"/>
      <c r="BA79" s="20"/>
      <c r="BB79" s="20"/>
      <c r="BC79" s="21">
        <f t="shared" si="186"/>
        <v>0</v>
      </c>
      <c r="BD79" s="4">
        <f t="shared" si="187"/>
        <v>0</v>
      </c>
      <c r="BE79" s="4">
        <f t="shared" si="188"/>
        <v>0</v>
      </c>
      <c r="BF79" s="4">
        <f t="shared" si="189"/>
        <v>155000</v>
      </c>
      <c r="BG79" s="4">
        <f t="shared" si="190"/>
        <v>-155000</v>
      </c>
      <c r="BH79" s="94">
        <f t="shared" si="191"/>
        <v>0</v>
      </c>
      <c r="BI79" s="94">
        <f t="shared" si="192"/>
        <v>0</v>
      </c>
      <c r="BJ79" s="94">
        <f t="shared" si="193"/>
        <v>0</v>
      </c>
      <c r="BK79" s="9">
        <f t="shared" si="194"/>
        <v>0</v>
      </c>
    </row>
    <row r="80" spans="1:63" ht="31.5">
      <c r="A80" s="186"/>
      <c r="B80" s="8">
        <v>8</v>
      </c>
      <c r="C80" s="1" t="s">
        <v>173</v>
      </c>
      <c r="D80" s="4" t="s">
        <v>174</v>
      </c>
      <c r="E80" s="4" t="s">
        <v>159</v>
      </c>
      <c r="F80" s="4"/>
      <c r="G80" s="4"/>
      <c r="H80" s="4">
        <v>155000</v>
      </c>
      <c r="I80" s="4"/>
      <c r="J80" s="4"/>
      <c r="K80" s="4"/>
      <c r="L80" s="4"/>
      <c r="M80" s="9">
        <f t="shared" si="180"/>
        <v>155000</v>
      </c>
      <c r="N80" s="4"/>
      <c r="O80" s="4"/>
      <c r="P80" s="4"/>
      <c r="Q80" s="4"/>
      <c r="R80" s="4"/>
      <c r="S80" s="4"/>
      <c r="T80" s="4"/>
      <c r="U80" s="9">
        <f t="shared" si="181"/>
        <v>0</v>
      </c>
      <c r="V80" s="20"/>
      <c r="W80" s="20"/>
      <c r="X80" s="20"/>
      <c r="Y80" s="20"/>
      <c r="Z80" s="20"/>
      <c r="AA80" s="20"/>
      <c r="AB80" s="20"/>
      <c r="AC80" s="9">
        <f t="shared" si="182"/>
        <v>0</v>
      </c>
      <c r="AD80" s="20"/>
      <c r="AE80" s="20"/>
      <c r="AF80" s="20"/>
      <c r="AG80" s="20"/>
      <c r="AH80" s="20"/>
      <c r="AI80" s="20"/>
      <c r="AJ80" s="20"/>
      <c r="AK80" s="21">
        <f t="shared" si="183"/>
        <v>0</v>
      </c>
      <c r="AL80" s="25"/>
      <c r="AM80" s="20"/>
      <c r="AN80" s="20"/>
      <c r="AO80" s="20"/>
      <c r="AP80" s="21">
        <f t="shared" si="184"/>
        <v>0</v>
      </c>
      <c r="AQ80" s="25"/>
      <c r="AR80" s="20"/>
      <c r="AS80" s="20"/>
      <c r="AT80" s="20"/>
      <c r="AU80" s="21">
        <f t="shared" si="185"/>
        <v>0</v>
      </c>
      <c r="AV80" s="25"/>
      <c r="AW80" s="25"/>
      <c r="AX80" s="25"/>
      <c r="AY80" s="25"/>
      <c r="AZ80" s="20"/>
      <c r="BA80" s="20"/>
      <c r="BB80" s="20"/>
      <c r="BC80" s="21">
        <f t="shared" si="186"/>
        <v>0</v>
      </c>
      <c r="BD80" s="4">
        <f t="shared" si="187"/>
        <v>0</v>
      </c>
      <c r="BE80" s="4">
        <f t="shared" si="188"/>
        <v>0</v>
      </c>
      <c r="BF80" s="4">
        <f t="shared" si="189"/>
        <v>155000</v>
      </c>
      <c r="BG80" s="4">
        <f t="shared" si="190"/>
        <v>0</v>
      </c>
      <c r="BH80" s="94">
        <f t="shared" si="191"/>
        <v>0</v>
      </c>
      <c r="BI80" s="94">
        <f t="shared" si="192"/>
        <v>0</v>
      </c>
      <c r="BJ80" s="94">
        <f t="shared" si="193"/>
        <v>0</v>
      </c>
      <c r="BK80" s="9">
        <f t="shared" si="194"/>
        <v>155000</v>
      </c>
    </row>
    <row r="81" spans="1:63">
      <c r="A81" s="187"/>
      <c r="B81" s="8">
        <v>9</v>
      </c>
      <c r="C81" s="1" t="s">
        <v>175</v>
      </c>
      <c r="D81" s="4" t="s">
        <v>163</v>
      </c>
      <c r="E81" s="4" t="s">
        <v>159</v>
      </c>
      <c r="F81" s="4"/>
      <c r="G81" s="4"/>
      <c r="H81" s="4">
        <v>155000</v>
      </c>
      <c r="I81" s="4">
        <v>776500</v>
      </c>
      <c r="J81" s="4">
        <f>200000+273000+210000+140000</f>
        <v>823000</v>
      </c>
      <c r="K81" s="4">
        <v>160000</v>
      </c>
      <c r="L81" s="4"/>
      <c r="M81" s="9">
        <f t="shared" si="180"/>
        <v>1914500</v>
      </c>
      <c r="N81" s="4"/>
      <c r="O81" s="4"/>
      <c r="P81" s="4"/>
      <c r="Q81" s="4"/>
      <c r="R81" s="4"/>
      <c r="S81" s="4"/>
      <c r="T81" s="4"/>
      <c r="U81" s="9">
        <f t="shared" si="181"/>
        <v>0</v>
      </c>
      <c r="V81" s="20"/>
      <c r="W81" s="20"/>
      <c r="X81" s="20"/>
      <c r="Y81" s="20"/>
      <c r="Z81" s="20"/>
      <c r="AA81" s="20"/>
      <c r="AB81" s="20"/>
      <c r="AC81" s="9">
        <f t="shared" si="182"/>
        <v>0</v>
      </c>
      <c r="AD81" s="20"/>
      <c r="AE81" s="20"/>
      <c r="AF81" s="20"/>
      <c r="AG81" s="20"/>
      <c r="AH81" s="20"/>
      <c r="AI81" s="20"/>
      <c r="AJ81" s="20"/>
      <c r="AK81" s="21">
        <f t="shared" si="183"/>
        <v>0</v>
      </c>
      <c r="AL81" s="25"/>
      <c r="AM81" s="20"/>
      <c r="AN81" s="20"/>
      <c r="AO81" s="20"/>
      <c r="AP81" s="21">
        <f t="shared" si="184"/>
        <v>0</v>
      </c>
      <c r="AQ81" s="25"/>
      <c r="AR81" s="20"/>
      <c r="AS81" s="20"/>
      <c r="AT81" s="20"/>
      <c r="AU81" s="21">
        <f t="shared" si="185"/>
        <v>0</v>
      </c>
      <c r="AV81" s="25"/>
      <c r="AW81" s="25"/>
      <c r="AX81" s="25"/>
      <c r="AY81" s="25"/>
      <c r="AZ81" s="20"/>
      <c r="BA81" s="20"/>
      <c r="BB81" s="20"/>
      <c r="BC81" s="21">
        <f t="shared" si="186"/>
        <v>0</v>
      </c>
      <c r="BD81" s="4">
        <f t="shared" si="187"/>
        <v>0</v>
      </c>
      <c r="BE81" s="4">
        <f t="shared" si="188"/>
        <v>0</v>
      </c>
      <c r="BF81" s="4">
        <f t="shared" si="189"/>
        <v>155000</v>
      </c>
      <c r="BG81" s="4">
        <f t="shared" si="190"/>
        <v>776500</v>
      </c>
      <c r="BH81" s="94">
        <f t="shared" si="191"/>
        <v>823000</v>
      </c>
      <c r="BI81" s="94">
        <f t="shared" si="192"/>
        <v>160000</v>
      </c>
      <c r="BJ81" s="94">
        <f t="shared" si="193"/>
        <v>0</v>
      </c>
      <c r="BK81" s="9">
        <f t="shared" si="194"/>
        <v>1914500</v>
      </c>
    </row>
    <row r="82" spans="1:63" s="38" customFormat="1">
      <c r="A82" s="34"/>
      <c r="B82" s="34"/>
      <c r="C82" s="35" t="s">
        <v>176</v>
      </c>
      <c r="D82" s="37"/>
      <c r="E82" s="37"/>
      <c r="F82" s="37">
        <f>SUM(F73:F81)</f>
        <v>0</v>
      </c>
      <c r="G82" s="37">
        <f t="shared" ref="G82:BK82" si="195">SUM(G73:G81)</f>
        <v>1527500</v>
      </c>
      <c r="H82" s="37">
        <f t="shared" si="195"/>
        <v>2166500</v>
      </c>
      <c r="I82" s="37">
        <f t="shared" si="195"/>
        <v>2274000</v>
      </c>
      <c r="J82" s="37">
        <f t="shared" si="195"/>
        <v>2139000</v>
      </c>
      <c r="K82" s="37">
        <f t="shared" si="195"/>
        <v>1525000</v>
      </c>
      <c r="L82" s="37">
        <f t="shared" ref="L82" si="196">SUM(L73:L81)</f>
        <v>1320000</v>
      </c>
      <c r="M82" s="37">
        <f t="shared" si="195"/>
        <v>10952000</v>
      </c>
      <c r="N82" s="37">
        <f t="shared" si="195"/>
        <v>0</v>
      </c>
      <c r="O82" s="37">
        <f t="shared" si="195"/>
        <v>0</v>
      </c>
      <c r="P82" s="37">
        <f t="shared" si="195"/>
        <v>0</v>
      </c>
      <c r="Q82" s="37">
        <f t="shared" si="195"/>
        <v>0</v>
      </c>
      <c r="R82" s="37">
        <f t="shared" si="195"/>
        <v>0</v>
      </c>
      <c r="S82" s="37">
        <f t="shared" si="195"/>
        <v>0</v>
      </c>
      <c r="T82" s="37">
        <f t="shared" ref="T82" si="197">SUM(T73:T81)</f>
        <v>0</v>
      </c>
      <c r="U82" s="37">
        <f t="shared" si="195"/>
        <v>0</v>
      </c>
      <c r="V82" s="37">
        <f t="shared" si="195"/>
        <v>0</v>
      </c>
      <c r="W82" s="37">
        <f t="shared" si="195"/>
        <v>794000</v>
      </c>
      <c r="X82" s="37">
        <f t="shared" si="195"/>
        <v>0</v>
      </c>
      <c r="Y82" s="37">
        <f t="shared" si="195"/>
        <v>0</v>
      </c>
      <c r="Z82" s="37">
        <f t="shared" si="195"/>
        <v>0</v>
      </c>
      <c r="AA82" s="37">
        <f t="shared" si="195"/>
        <v>0</v>
      </c>
      <c r="AB82" s="37">
        <f t="shared" ref="AB82" si="198">SUM(AB73:AB81)</f>
        <v>0</v>
      </c>
      <c r="AC82" s="37">
        <f t="shared" si="195"/>
        <v>794000</v>
      </c>
      <c r="AD82" s="37">
        <f t="shared" si="195"/>
        <v>0</v>
      </c>
      <c r="AE82" s="37">
        <f t="shared" si="195"/>
        <v>232800</v>
      </c>
      <c r="AF82" s="37">
        <f t="shared" si="195"/>
        <v>424050</v>
      </c>
      <c r="AG82" s="37">
        <f t="shared" si="195"/>
        <v>229000</v>
      </c>
      <c r="AH82" s="37">
        <f t="shared" si="195"/>
        <v>427000</v>
      </c>
      <c r="AI82" s="37">
        <f t="shared" si="195"/>
        <v>596400</v>
      </c>
      <c r="AJ82" s="37">
        <f t="shared" ref="AJ82" si="199">SUM(AJ73:AJ81)</f>
        <v>596750</v>
      </c>
      <c r="AK82" s="37">
        <f t="shared" si="195"/>
        <v>2506000</v>
      </c>
      <c r="AL82" s="37">
        <f t="shared" si="195"/>
        <v>0</v>
      </c>
      <c r="AM82" s="37">
        <f t="shared" si="195"/>
        <v>0</v>
      </c>
      <c r="AN82" s="37">
        <f t="shared" si="195"/>
        <v>0</v>
      </c>
      <c r="AO82" s="37">
        <f t="shared" ref="AO82" si="200">SUM(AO73:AO81)</f>
        <v>0</v>
      </c>
      <c r="AP82" s="37">
        <f t="shared" si="195"/>
        <v>0</v>
      </c>
      <c r="AQ82" s="37">
        <f t="shared" si="195"/>
        <v>0</v>
      </c>
      <c r="AR82" s="37">
        <f t="shared" si="195"/>
        <v>0</v>
      </c>
      <c r="AS82" s="37">
        <f t="shared" si="195"/>
        <v>0</v>
      </c>
      <c r="AT82" s="37">
        <f t="shared" ref="AT82" si="201">SUM(AT73:AT81)</f>
        <v>0</v>
      </c>
      <c r="AU82" s="37">
        <f t="shared" si="195"/>
        <v>0</v>
      </c>
      <c r="AV82" s="37">
        <f t="shared" si="195"/>
        <v>0</v>
      </c>
      <c r="AW82" s="37">
        <f t="shared" si="195"/>
        <v>0</v>
      </c>
      <c r="AX82" s="37">
        <f t="shared" si="195"/>
        <v>0</v>
      </c>
      <c r="AY82" s="37">
        <f t="shared" si="195"/>
        <v>0</v>
      </c>
      <c r="AZ82" s="37">
        <f t="shared" si="195"/>
        <v>0</v>
      </c>
      <c r="BA82" s="37">
        <f t="shared" si="195"/>
        <v>0</v>
      </c>
      <c r="BB82" s="37">
        <f t="shared" ref="BB82" si="202">SUM(BB73:BB81)</f>
        <v>0</v>
      </c>
      <c r="BC82" s="37">
        <f t="shared" si="195"/>
        <v>0</v>
      </c>
      <c r="BD82" s="37">
        <f t="shared" si="195"/>
        <v>0</v>
      </c>
      <c r="BE82" s="37">
        <f t="shared" si="195"/>
        <v>2554300</v>
      </c>
      <c r="BF82" s="37">
        <f t="shared" si="195"/>
        <v>2590550</v>
      </c>
      <c r="BG82" s="37">
        <f t="shared" si="195"/>
        <v>2503000</v>
      </c>
      <c r="BH82" s="37">
        <f t="shared" si="195"/>
        <v>2566000</v>
      </c>
      <c r="BI82" s="144">
        <f>SUM(BI73:BI81)</f>
        <v>2121400</v>
      </c>
      <c r="BJ82" s="37">
        <f t="shared" ref="BJ82" si="203">SUM(BJ73:BJ81)</f>
        <v>1916750</v>
      </c>
      <c r="BK82" s="37">
        <f t="shared" si="195"/>
        <v>14252000</v>
      </c>
    </row>
    <row r="83" spans="1:63" ht="31.5">
      <c r="A83" s="123" t="s">
        <v>34</v>
      </c>
      <c r="B83" s="8">
        <v>1</v>
      </c>
      <c r="C83" s="1" t="s">
        <v>60</v>
      </c>
      <c r="D83" s="4" t="s">
        <v>33</v>
      </c>
      <c r="E83" s="4" t="s">
        <v>34</v>
      </c>
      <c r="F83" s="4"/>
      <c r="G83" s="4">
        <v>155000</v>
      </c>
      <c r="H83" s="4">
        <f>180000-155000</f>
        <v>25000</v>
      </c>
      <c r="I83" s="4">
        <v>160000</v>
      </c>
      <c r="J83" s="4">
        <f>590000+49000+378000</f>
        <v>1017000</v>
      </c>
      <c r="K83" s="4">
        <f>803000+185000+92500</f>
        <v>1080500</v>
      </c>
      <c r="L83" s="4">
        <v>1092000</v>
      </c>
      <c r="M83" s="9">
        <f>SUM(F83:L83)</f>
        <v>3529500</v>
      </c>
      <c r="N83" s="4"/>
      <c r="O83" s="4"/>
      <c r="P83" s="4"/>
      <c r="Q83" s="4"/>
      <c r="R83" s="4"/>
      <c r="S83" s="4"/>
      <c r="T83" s="4"/>
      <c r="U83" s="9">
        <f>SUM(N83:T83)</f>
        <v>0</v>
      </c>
      <c r="V83" s="20"/>
      <c r="W83" s="20"/>
      <c r="X83" s="20"/>
      <c r="Y83" s="20"/>
      <c r="Z83" s="20"/>
      <c r="AA83" s="20"/>
      <c r="AB83" s="20"/>
      <c r="AC83" s="9">
        <f>SUM(V83:AB83)</f>
        <v>0</v>
      </c>
      <c r="AD83" s="20"/>
      <c r="AE83" s="20"/>
      <c r="AF83" s="20"/>
      <c r="AG83" s="20"/>
      <c r="AH83" s="20"/>
      <c r="AI83" s="20"/>
      <c r="AJ83" s="20"/>
      <c r="AK83" s="21">
        <f>SUM(AD83:AJ83)</f>
        <v>0</v>
      </c>
      <c r="AL83" s="25"/>
      <c r="AM83" s="20"/>
      <c r="AN83" s="20"/>
      <c r="AO83" s="20"/>
      <c r="AP83" s="21">
        <f>SUM(AL83:AO83)</f>
        <v>0</v>
      </c>
      <c r="AQ83" s="25"/>
      <c r="AR83" s="20"/>
      <c r="AS83" s="20"/>
      <c r="AT83" s="20"/>
      <c r="AU83" s="21">
        <f>SUM(AQ83:AT83)</f>
        <v>0</v>
      </c>
      <c r="AV83" s="25"/>
      <c r="AW83" s="25"/>
      <c r="AX83" s="25"/>
      <c r="AY83" s="25"/>
      <c r="AZ83" s="20"/>
      <c r="BA83" s="20"/>
      <c r="BB83" s="20"/>
      <c r="BC83" s="21">
        <f>SUM(AV83:BB83)</f>
        <v>0</v>
      </c>
      <c r="BD83" s="4">
        <f>F83+N83+V83+AD83+AV83</f>
        <v>0</v>
      </c>
      <c r="BE83" s="4">
        <f>G83+O83+W83+AE83+AW83</f>
        <v>155000</v>
      </c>
      <c r="BF83" s="4">
        <f>H83+P83+X83+AF83+AX83</f>
        <v>25000</v>
      </c>
      <c r="BG83" s="4">
        <f>I83+Q83+Y83+AG83+AL83+AQ83+AY83</f>
        <v>160000</v>
      </c>
      <c r="BH83" s="94">
        <f>J83+R83+Z83+AH83+AM83+AR83+AZ83</f>
        <v>1017000</v>
      </c>
      <c r="BI83" s="94">
        <f>K83+S83+AA83+AI83+AN83+AS83+BA83</f>
        <v>1080500</v>
      </c>
      <c r="BJ83" s="94">
        <f>L83+T83+AB83+AJ83+AO83+AT83+BB83</f>
        <v>1092000</v>
      </c>
      <c r="BK83" s="9">
        <f>SUM(BD83:BJ83)</f>
        <v>3529500</v>
      </c>
    </row>
    <row r="84" spans="1:63" s="38" customFormat="1">
      <c r="A84" s="34"/>
      <c r="B84" s="34"/>
      <c r="C84" s="35" t="s">
        <v>177</v>
      </c>
      <c r="D84" s="37"/>
      <c r="E84" s="37"/>
      <c r="F84" s="37">
        <f>SUM(F83)</f>
        <v>0</v>
      </c>
      <c r="G84" s="37">
        <f t="shared" ref="G84:BK84" si="204">SUM(G83)</f>
        <v>155000</v>
      </c>
      <c r="H84" s="37">
        <f t="shared" si="204"/>
        <v>25000</v>
      </c>
      <c r="I84" s="37">
        <f t="shared" si="204"/>
        <v>160000</v>
      </c>
      <c r="J84" s="37">
        <f t="shared" si="204"/>
        <v>1017000</v>
      </c>
      <c r="K84" s="37">
        <f t="shared" si="204"/>
        <v>1080500</v>
      </c>
      <c r="L84" s="37">
        <f t="shared" ref="L84" si="205">SUM(L83)</f>
        <v>1092000</v>
      </c>
      <c r="M84" s="37">
        <f t="shared" si="204"/>
        <v>3529500</v>
      </c>
      <c r="N84" s="37">
        <f t="shared" si="204"/>
        <v>0</v>
      </c>
      <c r="O84" s="37">
        <f t="shared" si="204"/>
        <v>0</v>
      </c>
      <c r="P84" s="37">
        <f t="shared" si="204"/>
        <v>0</v>
      </c>
      <c r="Q84" s="37">
        <f t="shared" si="204"/>
        <v>0</v>
      </c>
      <c r="R84" s="37">
        <f t="shared" si="204"/>
        <v>0</v>
      </c>
      <c r="S84" s="37">
        <f t="shared" si="204"/>
        <v>0</v>
      </c>
      <c r="T84" s="37">
        <f t="shared" ref="T84" si="206">SUM(T83)</f>
        <v>0</v>
      </c>
      <c r="U84" s="37">
        <f t="shared" si="204"/>
        <v>0</v>
      </c>
      <c r="V84" s="37">
        <f t="shared" si="204"/>
        <v>0</v>
      </c>
      <c r="W84" s="37">
        <f t="shared" si="204"/>
        <v>0</v>
      </c>
      <c r="X84" s="37">
        <f t="shared" si="204"/>
        <v>0</v>
      </c>
      <c r="Y84" s="37">
        <f t="shared" si="204"/>
        <v>0</v>
      </c>
      <c r="Z84" s="37">
        <f t="shared" si="204"/>
        <v>0</v>
      </c>
      <c r="AA84" s="37">
        <f t="shared" si="204"/>
        <v>0</v>
      </c>
      <c r="AB84" s="37">
        <f t="shared" ref="AB84" si="207">SUM(AB83)</f>
        <v>0</v>
      </c>
      <c r="AC84" s="37">
        <f t="shared" si="204"/>
        <v>0</v>
      </c>
      <c r="AD84" s="37">
        <f t="shared" si="204"/>
        <v>0</v>
      </c>
      <c r="AE84" s="37">
        <f t="shared" si="204"/>
        <v>0</v>
      </c>
      <c r="AF84" s="37">
        <f t="shared" si="204"/>
        <v>0</v>
      </c>
      <c r="AG84" s="37">
        <f t="shared" si="204"/>
        <v>0</v>
      </c>
      <c r="AH84" s="37">
        <f t="shared" si="204"/>
        <v>0</v>
      </c>
      <c r="AI84" s="37">
        <f t="shared" si="204"/>
        <v>0</v>
      </c>
      <c r="AJ84" s="37">
        <f t="shared" ref="AJ84" si="208">SUM(AJ83)</f>
        <v>0</v>
      </c>
      <c r="AK84" s="37">
        <f t="shared" si="204"/>
        <v>0</v>
      </c>
      <c r="AL84" s="37">
        <f t="shared" si="204"/>
        <v>0</v>
      </c>
      <c r="AM84" s="37">
        <f t="shared" si="204"/>
        <v>0</v>
      </c>
      <c r="AN84" s="37">
        <f t="shared" si="204"/>
        <v>0</v>
      </c>
      <c r="AO84" s="37">
        <f t="shared" ref="AO84" si="209">SUM(AO83)</f>
        <v>0</v>
      </c>
      <c r="AP84" s="37">
        <f t="shared" si="204"/>
        <v>0</v>
      </c>
      <c r="AQ84" s="37">
        <f t="shared" si="204"/>
        <v>0</v>
      </c>
      <c r="AR84" s="37">
        <f t="shared" si="204"/>
        <v>0</v>
      </c>
      <c r="AS84" s="37">
        <f t="shared" si="204"/>
        <v>0</v>
      </c>
      <c r="AT84" s="37">
        <f t="shared" ref="AT84" si="210">SUM(AT83)</f>
        <v>0</v>
      </c>
      <c r="AU84" s="37">
        <f t="shared" si="204"/>
        <v>0</v>
      </c>
      <c r="AV84" s="37">
        <f t="shared" si="204"/>
        <v>0</v>
      </c>
      <c r="AW84" s="37">
        <f t="shared" si="204"/>
        <v>0</v>
      </c>
      <c r="AX84" s="37">
        <f t="shared" si="204"/>
        <v>0</v>
      </c>
      <c r="AY84" s="37">
        <f t="shared" si="204"/>
        <v>0</v>
      </c>
      <c r="AZ84" s="37">
        <f t="shared" si="204"/>
        <v>0</v>
      </c>
      <c r="BA84" s="37">
        <f t="shared" si="204"/>
        <v>0</v>
      </c>
      <c r="BB84" s="37">
        <f t="shared" ref="BB84" si="211">SUM(BB83)</f>
        <v>0</v>
      </c>
      <c r="BC84" s="37">
        <f t="shared" si="204"/>
        <v>0</v>
      </c>
      <c r="BD84" s="37">
        <f t="shared" si="204"/>
        <v>0</v>
      </c>
      <c r="BE84" s="37">
        <f t="shared" si="204"/>
        <v>155000</v>
      </c>
      <c r="BF84" s="37">
        <f t="shared" si="204"/>
        <v>25000</v>
      </c>
      <c r="BG84" s="37">
        <f t="shared" si="204"/>
        <v>160000</v>
      </c>
      <c r="BH84" s="37">
        <f t="shared" si="204"/>
        <v>1017000</v>
      </c>
      <c r="BI84" s="144">
        <f>SUM(BI83)</f>
        <v>1080500</v>
      </c>
      <c r="BJ84" s="37">
        <f t="shared" ref="BJ84" si="212">SUM(BJ83)</f>
        <v>1092000</v>
      </c>
      <c r="BK84" s="37">
        <f t="shared" si="204"/>
        <v>3529500</v>
      </c>
    </row>
    <row r="85" spans="1:63">
      <c r="A85" s="185" t="s">
        <v>17</v>
      </c>
      <c r="B85" s="8">
        <v>1</v>
      </c>
      <c r="C85" s="1" t="s">
        <v>178</v>
      </c>
      <c r="D85" s="4" t="s">
        <v>179</v>
      </c>
      <c r="E85" s="4" t="s">
        <v>17</v>
      </c>
      <c r="F85" s="4">
        <v>155000</v>
      </c>
      <c r="G85" s="4">
        <v>1164000</v>
      </c>
      <c r="H85" s="4">
        <f>110000+110000+330000+110000+80000</f>
        <v>740000</v>
      </c>
      <c r="I85" s="4">
        <f>20000+60000</f>
        <v>80000</v>
      </c>
      <c r="J85" s="4"/>
      <c r="K85" s="4"/>
      <c r="L85" s="4"/>
      <c r="M85" s="9">
        <f t="shared" ref="M85:M115" si="213">SUM(F85:L85)</f>
        <v>2139000</v>
      </c>
      <c r="N85" s="77">
        <v>290000</v>
      </c>
      <c r="O85" s="77">
        <v>2150000</v>
      </c>
      <c r="P85" s="77">
        <v>1650000</v>
      </c>
      <c r="Q85" s="77">
        <v>200000</v>
      </c>
      <c r="R85" s="4"/>
      <c r="S85" s="4"/>
      <c r="T85" s="4"/>
      <c r="U85" s="9">
        <f t="shared" ref="U85:U115" si="214">SUM(N85:T85)</f>
        <v>4290000</v>
      </c>
      <c r="V85" s="20"/>
      <c r="W85" s="20"/>
      <c r="X85" s="4">
        <v>590000</v>
      </c>
      <c r="Y85" s="23"/>
      <c r="Z85" s="23"/>
      <c r="AA85" s="23"/>
      <c r="AB85" s="23"/>
      <c r="AC85" s="9">
        <f t="shared" ref="AC85:AC115" si="215">SUM(V85:AB85)</f>
        <v>590000</v>
      </c>
      <c r="AD85" s="20">
        <v>195000</v>
      </c>
      <c r="AE85" s="25">
        <v>1676350</v>
      </c>
      <c r="AF85" s="25">
        <f>792000+30000</f>
        <v>822000</v>
      </c>
      <c r="AG85" s="24">
        <v>30000</v>
      </c>
      <c r="AH85" s="20"/>
      <c r="AI85" s="20"/>
      <c r="AJ85" s="20"/>
      <c r="AK85" s="21">
        <f t="shared" ref="AK85:AK115" si="216">SUM(AD85:AJ85)</f>
        <v>2723350</v>
      </c>
      <c r="AL85" s="25">
        <v>0</v>
      </c>
      <c r="AM85" s="20"/>
      <c r="AN85" s="20"/>
      <c r="AO85" s="20"/>
      <c r="AP85" s="21">
        <f t="shared" ref="AP85:AP115" si="217">SUM(AL85:AO85)</f>
        <v>0</v>
      </c>
      <c r="AQ85" s="24">
        <v>900000</v>
      </c>
      <c r="AR85" s="20">
        <f>300000+300000+300000+300000+200000</f>
        <v>1400000</v>
      </c>
      <c r="AS85" s="20">
        <f>1902000+765000</f>
        <v>2667000</v>
      </c>
      <c r="AT85" s="20">
        <f>255000+765000+510000+255000+255000+510000+255000</f>
        <v>2805000</v>
      </c>
      <c r="AU85" s="21">
        <f t="shared" ref="AU85:AU115" si="218">SUM(AQ85:AT85)</f>
        <v>7772000</v>
      </c>
      <c r="AV85" s="25"/>
      <c r="AW85" s="24">
        <f>100000+248400</f>
        <v>348400</v>
      </c>
      <c r="AX85" s="25"/>
      <c r="AY85" s="25"/>
      <c r="AZ85" s="20"/>
      <c r="BA85" s="20"/>
      <c r="BB85" s="20"/>
      <c r="BC85" s="21">
        <f t="shared" ref="BC85:BC115" si="219">SUM(AV85:BB85)</f>
        <v>348400</v>
      </c>
      <c r="BD85" s="4">
        <f t="shared" ref="BD85:BD115" si="220">F85+N85+V85+AD85+AV85</f>
        <v>640000</v>
      </c>
      <c r="BE85" s="4">
        <f t="shared" ref="BE85:BE115" si="221">G85+O85+W85+AE85+AW85</f>
        <v>5338750</v>
      </c>
      <c r="BF85" s="4">
        <f t="shared" ref="BF85:BF115" si="222">H85+P85+X85+AF85+AX85</f>
        <v>3802000</v>
      </c>
      <c r="BG85" s="4">
        <f t="shared" ref="BG85:BG115" si="223">I85+Q85+Y85+AG85+AL85+AQ85+AY85</f>
        <v>1210000</v>
      </c>
      <c r="BH85" s="94">
        <f t="shared" ref="BH85:BH115" si="224">J85+R85+Z85+AH85+AM85+AR85+AZ85</f>
        <v>1400000</v>
      </c>
      <c r="BI85" s="94">
        <f t="shared" ref="BI85:BI115" si="225">K85+S85+AA85+AI85+AN85+AS85+BA85</f>
        <v>2667000</v>
      </c>
      <c r="BJ85" s="94">
        <f t="shared" ref="BJ85:BJ115" si="226">L85+T85+AB85+AJ85+AO85+AT85+BB85</f>
        <v>2805000</v>
      </c>
      <c r="BK85" s="9">
        <f t="shared" ref="BK85:BK115" si="227">SUM(BD85:BJ85)</f>
        <v>17862750</v>
      </c>
    </row>
    <row r="86" spans="1:63">
      <c r="A86" s="186"/>
      <c r="B86" s="8">
        <v>2</v>
      </c>
      <c r="C86" s="1" t="s">
        <v>180</v>
      </c>
      <c r="D86" s="4" t="s">
        <v>181</v>
      </c>
      <c r="E86" s="4" t="s">
        <v>17</v>
      </c>
      <c r="F86" s="4"/>
      <c r="G86" s="4"/>
      <c r="H86" s="4">
        <v>155000</v>
      </c>
      <c r="I86" s="4">
        <f>156000+16000</f>
        <v>172000</v>
      </c>
      <c r="J86" s="4"/>
      <c r="K86" s="4"/>
      <c r="L86" s="4"/>
      <c r="M86" s="9">
        <f t="shared" si="213"/>
        <v>327000</v>
      </c>
      <c r="N86" s="77"/>
      <c r="O86" s="77"/>
      <c r="P86" s="77">
        <v>390000</v>
      </c>
      <c r="Q86" s="77"/>
      <c r="R86" s="4"/>
      <c r="S86" s="4"/>
      <c r="T86" s="4"/>
      <c r="U86" s="9">
        <f t="shared" si="214"/>
        <v>390000</v>
      </c>
      <c r="V86" s="20"/>
      <c r="W86" s="20"/>
      <c r="X86" s="4"/>
      <c r="Y86" s="20"/>
      <c r="Z86" s="20"/>
      <c r="AA86" s="20"/>
      <c r="AB86" s="20"/>
      <c r="AC86" s="9">
        <f t="shared" si="215"/>
        <v>0</v>
      </c>
      <c r="AD86" s="20"/>
      <c r="AE86" s="25">
        <v>195000</v>
      </c>
      <c r="AF86" s="25">
        <f>165550+208000</f>
        <v>373550</v>
      </c>
      <c r="AG86" s="24">
        <v>30000</v>
      </c>
      <c r="AH86" s="20"/>
      <c r="AI86" s="20"/>
      <c r="AJ86" s="20"/>
      <c r="AK86" s="21">
        <f t="shared" si="216"/>
        <v>598550</v>
      </c>
      <c r="AL86" s="25">
        <v>945000</v>
      </c>
      <c r="AM86" s="20">
        <f>315000+315000+315000</f>
        <v>945000</v>
      </c>
      <c r="AN86" s="20"/>
      <c r="AO86" s="20"/>
      <c r="AP86" s="21">
        <f t="shared" si="217"/>
        <v>1890000</v>
      </c>
      <c r="AQ86" s="25"/>
      <c r="AR86" s="20"/>
      <c r="AS86" s="20"/>
      <c r="AT86" s="20"/>
      <c r="AU86" s="21">
        <f t="shared" si="218"/>
        <v>0</v>
      </c>
      <c r="AV86" s="25"/>
      <c r="AW86" s="25"/>
      <c r="AX86" s="25"/>
      <c r="AY86" s="25"/>
      <c r="AZ86" s="20"/>
      <c r="BA86" s="20"/>
      <c r="BB86" s="20"/>
      <c r="BC86" s="21">
        <f t="shared" si="219"/>
        <v>0</v>
      </c>
      <c r="BD86" s="4">
        <f t="shared" si="220"/>
        <v>0</v>
      </c>
      <c r="BE86" s="4">
        <f t="shared" si="221"/>
        <v>195000</v>
      </c>
      <c r="BF86" s="4">
        <f t="shared" si="222"/>
        <v>918550</v>
      </c>
      <c r="BG86" s="4">
        <f t="shared" si="223"/>
        <v>1147000</v>
      </c>
      <c r="BH86" s="94">
        <f t="shared" si="224"/>
        <v>945000</v>
      </c>
      <c r="BI86" s="94">
        <f t="shared" si="225"/>
        <v>0</v>
      </c>
      <c r="BJ86" s="94">
        <f t="shared" si="226"/>
        <v>0</v>
      </c>
      <c r="BK86" s="9">
        <f t="shared" si="227"/>
        <v>3205550</v>
      </c>
    </row>
    <row r="87" spans="1:63">
      <c r="A87" s="186"/>
      <c r="B87" s="8">
        <v>3</v>
      </c>
      <c r="C87" s="1" t="s">
        <v>182</v>
      </c>
      <c r="D87" s="4" t="s">
        <v>183</v>
      </c>
      <c r="E87" s="4" t="s">
        <v>17</v>
      </c>
      <c r="F87" s="4"/>
      <c r="G87" s="4"/>
      <c r="H87" s="4"/>
      <c r="I87" s="4"/>
      <c r="J87" s="4"/>
      <c r="K87" s="4"/>
      <c r="L87" s="4"/>
      <c r="M87" s="9">
        <f t="shared" si="213"/>
        <v>0</v>
      </c>
      <c r="N87" s="77"/>
      <c r="O87" s="77"/>
      <c r="P87" s="77">
        <v>290000</v>
      </c>
      <c r="Q87" s="77">
        <v>-290000</v>
      </c>
      <c r="R87" s="4"/>
      <c r="S87" s="4"/>
      <c r="T87" s="4"/>
      <c r="U87" s="9">
        <f t="shared" si="214"/>
        <v>0</v>
      </c>
      <c r="V87" s="20"/>
      <c r="W87" s="20"/>
      <c r="X87" s="4"/>
      <c r="Y87" s="20"/>
      <c r="Z87" s="20"/>
      <c r="AA87" s="20"/>
      <c r="AB87" s="20"/>
      <c r="AC87" s="9">
        <f t="shared" si="215"/>
        <v>0</v>
      </c>
      <c r="AD87" s="20"/>
      <c r="AE87" s="25"/>
      <c r="AF87" s="25">
        <v>225000</v>
      </c>
      <c r="AG87" s="24">
        <v>963000</v>
      </c>
      <c r="AH87" s="20">
        <f>70000+630000+140000</f>
        <v>840000</v>
      </c>
      <c r="AI87" s="20">
        <f>1122400+289000+144500</f>
        <v>1555900</v>
      </c>
      <c r="AJ87" s="20">
        <v>1455000</v>
      </c>
      <c r="AK87" s="21">
        <f t="shared" si="216"/>
        <v>5038900</v>
      </c>
      <c r="AL87" s="25">
        <v>0</v>
      </c>
      <c r="AM87" s="20"/>
      <c r="AN87" s="20"/>
      <c r="AO87" s="20"/>
      <c r="AP87" s="21">
        <f t="shared" si="217"/>
        <v>0</v>
      </c>
      <c r="AQ87" s="25"/>
      <c r="AR87" s="20"/>
      <c r="AS87" s="20"/>
      <c r="AT87" s="20"/>
      <c r="AU87" s="21">
        <f t="shared" si="218"/>
        <v>0</v>
      </c>
      <c r="AV87" s="25"/>
      <c r="AW87" s="25"/>
      <c r="AX87" s="25"/>
      <c r="AY87" s="25"/>
      <c r="AZ87" s="20"/>
      <c r="BA87" s="20"/>
      <c r="BB87" s="20"/>
      <c r="BC87" s="21">
        <f t="shared" si="219"/>
        <v>0</v>
      </c>
      <c r="BD87" s="4">
        <f t="shared" si="220"/>
        <v>0</v>
      </c>
      <c r="BE87" s="4">
        <f t="shared" si="221"/>
        <v>0</v>
      </c>
      <c r="BF87" s="4">
        <f t="shared" si="222"/>
        <v>515000</v>
      </c>
      <c r="BG87" s="4">
        <f t="shared" si="223"/>
        <v>673000</v>
      </c>
      <c r="BH87" s="94">
        <f t="shared" si="224"/>
        <v>840000</v>
      </c>
      <c r="BI87" s="94">
        <f t="shared" si="225"/>
        <v>1555900</v>
      </c>
      <c r="BJ87" s="94">
        <f t="shared" si="226"/>
        <v>1455000</v>
      </c>
      <c r="BK87" s="9">
        <f t="shared" si="227"/>
        <v>5038900</v>
      </c>
    </row>
    <row r="88" spans="1:63">
      <c r="A88" s="186"/>
      <c r="B88" s="8">
        <v>4</v>
      </c>
      <c r="C88" s="1" t="s">
        <v>184</v>
      </c>
      <c r="D88" s="4" t="s">
        <v>185</v>
      </c>
      <c r="E88" s="4" t="s">
        <v>17</v>
      </c>
      <c r="F88" s="4"/>
      <c r="G88" s="4">
        <v>323000</v>
      </c>
      <c r="H88" s="4">
        <f>93500+55000+253000+71500+55000+20000+60000</f>
        <v>608000</v>
      </c>
      <c r="I88" s="4">
        <v>649000</v>
      </c>
      <c r="J88" s="4">
        <f>59500+147000+154000+157500</f>
        <v>518000</v>
      </c>
      <c r="K88" s="4">
        <f>808000+162000+81000</f>
        <v>1051000</v>
      </c>
      <c r="L88" s="4">
        <v>838000</v>
      </c>
      <c r="M88" s="9">
        <f t="shared" si="213"/>
        <v>3987000</v>
      </c>
      <c r="N88" s="4"/>
      <c r="O88" s="4"/>
      <c r="P88" s="4"/>
      <c r="Q88" s="4"/>
      <c r="R88" s="4"/>
      <c r="S88" s="4"/>
      <c r="T88" s="4"/>
      <c r="U88" s="9">
        <f t="shared" si="214"/>
        <v>0</v>
      </c>
      <c r="V88" s="20"/>
      <c r="W88" s="20"/>
      <c r="X88" s="4"/>
      <c r="Y88" s="20"/>
      <c r="Z88" s="20"/>
      <c r="AA88" s="20"/>
      <c r="AB88" s="20"/>
      <c r="AC88" s="9">
        <f t="shared" si="215"/>
        <v>0</v>
      </c>
      <c r="AD88" s="20"/>
      <c r="AE88" s="20"/>
      <c r="AF88" s="20"/>
      <c r="AG88" s="20"/>
      <c r="AH88" s="20"/>
      <c r="AI88" s="20"/>
      <c r="AJ88" s="20"/>
      <c r="AK88" s="21">
        <f t="shared" si="216"/>
        <v>0</v>
      </c>
      <c r="AL88" s="25">
        <v>0</v>
      </c>
      <c r="AM88" s="20"/>
      <c r="AN88" s="20"/>
      <c r="AO88" s="20"/>
      <c r="AP88" s="21">
        <f t="shared" si="217"/>
        <v>0</v>
      </c>
      <c r="AQ88" s="25"/>
      <c r="AR88" s="20"/>
      <c r="AS88" s="20"/>
      <c r="AT88" s="20"/>
      <c r="AU88" s="21">
        <f t="shared" si="218"/>
        <v>0</v>
      </c>
      <c r="AV88" s="25"/>
      <c r="AW88" s="25"/>
      <c r="AX88" s="25"/>
      <c r="AY88" s="25"/>
      <c r="AZ88" s="20"/>
      <c r="BA88" s="20"/>
      <c r="BB88" s="20"/>
      <c r="BC88" s="21">
        <f t="shared" si="219"/>
        <v>0</v>
      </c>
      <c r="BD88" s="4">
        <f t="shared" si="220"/>
        <v>0</v>
      </c>
      <c r="BE88" s="4">
        <f t="shared" si="221"/>
        <v>323000</v>
      </c>
      <c r="BF88" s="4">
        <f t="shared" si="222"/>
        <v>608000</v>
      </c>
      <c r="BG88" s="4">
        <f t="shared" si="223"/>
        <v>649000</v>
      </c>
      <c r="BH88" s="94">
        <f t="shared" si="224"/>
        <v>518000</v>
      </c>
      <c r="BI88" s="94">
        <f t="shared" si="225"/>
        <v>1051000</v>
      </c>
      <c r="BJ88" s="94">
        <f t="shared" si="226"/>
        <v>838000</v>
      </c>
      <c r="BK88" s="9">
        <f t="shared" si="227"/>
        <v>3987000</v>
      </c>
    </row>
    <row r="89" spans="1:63">
      <c r="A89" s="186"/>
      <c r="B89" s="8">
        <v>5</v>
      </c>
      <c r="C89" s="42" t="s">
        <v>186</v>
      </c>
      <c r="D89" s="43" t="s">
        <v>187</v>
      </c>
      <c r="E89" s="4" t="s">
        <v>17</v>
      </c>
      <c r="F89" s="4"/>
      <c r="G89" s="4"/>
      <c r="H89" s="4"/>
      <c r="I89" s="4"/>
      <c r="J89" s="4"/>
      <c r="K89" s="4"/>
      <c r="L89" s="4"/>
      <c r="M89" s="9">
        <f t="shared" si="213"/>
        <v>0</v>
      </c>
      <c r="N89" s="4"/>
      <c r="O89" s="4"/>
      <c r="P89" s="4"/>
      <c r="Q89" s="4"/>
      <c r="R89" s="4"/>
      <c r="S89" s="4"/>
      <c r="T89" s="4"/>
      <c r="U89" s="9">
        <f t="shared" si="214"/>
        <v>0</v>
      </c>
      <c r="V89" s="20"/>
      <c r="W89" s="20"/>
      <c r="X89" s="4">
        <v>290000</v>
      </c>
      <c r="Y89" s="20"/>
      <c r="Z89" s="20"/>
      <c r="AA89" s="20"/>
      <c r="AB89" s="20">
        <v>232000</v>
      </c>
      <c r="AC89" s="9">
        <f t="shared" si="215"/>
        <v>522000</v>
      </c>
      <c r="AD89" s="20"/>
      <c r="AE89" s="20"/>
      <c r="AF89" s="20"/>
      <c r="AG89" s="20"/>
      <c r="AH89" s="20"/>
      <c r="AI89" s="20"/>
      <c r="AJ89" s="20"/>
      <c r="AK89" s="21">
        <f t="shared" si="216"/>
        <v>0</v>
      </c>
      <c r="AL89" s="25">
        <v>0</v>
      </c>
      <c r="AM89" s="20"/>
      <c r="AN89" s="20"/>
      <c r="AO89" s="20"/>
      <c r="AP89" s="21">
        <f t="shared" si="217"/>
        <v>0</v>
      </c>
      <c r="AQ89" s="25"/>
      <c r="AR89" s="20"/>
      <c r="AS89" s="20"/>
      <c r="AT89" s="20"/>
      <c r="AU89" s="21">
        <f t="shared" si="218"/>
        <v>0</v>
      </c>
      <c r="AV89" s="25"/>
      <c r="AW89" s="25"/>
      <c r="AX89" s="25"/>
      <c r="AY89" s="25"/>
      <c r="AZ89" s="20"/>
      <c r="BA89" s="20"/>
      <c r="BB89" s="20"/>
      <c r="BC89" s="21">
        <f t="shared" si="219"/>
        <v>0</v>
      </c>
      <c r="BD89" s="4">
        <f t="shared" si="220"/>
        <v>0</v>
      </c>
      <c r="BE89" s="4">
        <f t="shared" si="221"/>
        <v>0</v>
      </c>
      <c r="BF89" s="4">
        <f t="shared" si="222"/>
        <v>290000</v>
      </c>
      <c r="BG89" s="4">
        <f t="shared" si="223"/>
        <v>0</v>
      </c>
      <c r="BH89" s="94">
        <f t="shared" si="224"/>
        <v>0</v>
      </c>
      <c r="BI89" s="94">
        <f t="shared" si="225"/>
        <v>0</v>
      </c>
      <c r="BJ89" s="94">
        <f t="shared" si="226"/>
        <v>232000</v>
      </c>
      <c r="BK89" s="9">
        <f t="shared" si="227"/>
        <v>522000</v>
      </c>
    </row>
    <row r="90" spans="1:63">
      <c r="A90" s="186"/>
      <c r="B90" s="8">
        <v>6</v>
      </c>
      <c r="C90" s="1" t="s">
        <v>188</v>
      </c>
      <c r="D90" s="4" t="s">
        <v>413</v>
      </c>
      <c r="E90" s="4" t="s">
        <v>17</v>
      </c>
      <c r="F90" s="4"/>
      <c r="G90" s="4"/>
      <c r="H90" s="4"/>
      <c r="I90" s="4"/>
      <c r="J90" s="4"/>
      <c r="K90" s="4"/>
      <c r="L90" s="4"/>
      <c r="M90" s="9">
        <f t="shared" si="213"/>
        <v>0</v>
      </c>
      <c r="N90" s="76"/>
      <c r="O90" s="76">
        <v>290000</v>
      </c>
      <c r="P90" s="76">
        <v>1620000</v>
      </c>
      <c r="Q90" s="76"/>
      <c r="R90" s="4"/>
      <c r="S90" s="4"/>
      <c r="T90" s="4"/>
      <c r="U90" s="9">
        <f t="shared" si="214"/>
        <v>1910000</v>
      </c>
      <c r="V90" s="20"/>
      <c r="W90" s="20"/>
      <c r="X90" s="20"/>
      <c r="Y90" s="20"/>
      <c r="Z90" s="20"/>
      <c r="AA90" s="20"/>
      <c r="AB90" s="20"/>
      <c r="AC90" s="9">
        <f t="shared" si="215"/>
        <v>0</v>
      </c>
      <c r="AD90" s="20"/>
      <c r="AE90" s="25">
        <v>616950</v>
      </c>
      <c r="AF90" s="25">
        <v>708100</v>
      </c>
      <c r="AG90" s="24">
        <v>898000</v>
      </c>
      <c r="AH90" s="20">
        <f>140000+210000+210000+210000+140000</f>
        <v>910000</v>
      </c>
      <c r="AI90" s="20">
        <f>863000+194000+97000</f>
        <v>1154000</v>
      </c>
      <c r="AJ90" s="20">
        <v>1262250</v>
      </c>
      <c r="AK90" s="21">
        <f t="shared" si="216"/>
        <v>5549300</v>
      </c>
      <c r="AL90" s="25">
        <v>0</v>
      </c>
      <c r="AM90" s="20"/>
      <c r="AN90" s="20"/>
      <c r="AO90" s="20"/>
      <c r="AP90" s="21">
        <f t="shared" si="217"/>
        <v>0</v>
      </c>
      <c r="AQ90" s="25"/>
      <c r="AR90" s="20"/>
      <c r="AS90" s="20"/>
      <c r="AT90" s="20"/>
      <c r="AU90" s="21">
        <f t="shared" si="218"/>
        <v>0</v>
      </c>
      <c r="AV90" s="25"/>
      <c r="AW90" s="25"/>
      <c r="AX90" s="25"/>
      <c r="AY90" s="25"/>
      <c r="AZ90" s="20"/>
      <c r="BA90" s="20"/>
      <c r="BB90" s="20"/>
      <c r="BC90" s="21">
        <f t="shared" si="219"/>
        <v>0</v>
      </c>
      <c r="BD90" s="4">
        <f t="shared" si="220"/>
        <v>0</v>
      </c>
      <c r="BE90" s="4">
        <f t="shared" si="221"/>
        <v>906950</v>
      </c>
      <c r="BF90" s="4">
        <f t="shared" si="222"/>
        <v>2328100</v>
      </c>
      <c r="BG90" s="4">
        <f t="shared" si="223"/>
        <v>898000</v>
      </c>
      <c r="BH90" s="94">
        <f t="shared" si="224"/>
        <v>910000</v>
      </c>
      <c r="BI90" s="94">
        <f t="shared" si="225"/>
        <v>1154000</v>
      </c>
      <c r="BJ90" s="94">
        <f t="shared" si="226"/>
        <v>1262250</v>
      </c>
      <c r="BK90" s="9">
        <f t="shared" si="227"/>
        <v>7459300</v>
      </c>
    </row>
    <row r="91" spans="1:63" ht="47.25">
      <c r="A91" s="186"/>
      <c r="B91" s="8">
        <v>7</v>
      </c>
      <c r="C91" s="1" t="s">
        <v>189</v>
      </c>
      <c r="D91" s="4" t="s">
        <v>190</v>
      </c>
      <c r="E91" s="4" t="s">
        <v>17</v>
      </c>
      <c r="F91" s="4"/>
      <c r="G91" s="4">
        <v>287500</v>
      </c>
      <c r="H91" s="4">
        <f>137000+74000+352000</f>
        <v>563000</v>
      </c>
      <c r="I91" s="4"/>
      <c r="J91" s="4"/>
      <c r="K91" s="4"/>
      <c r="L91" s="4"/>
      <c r="M91" s="9">
        <f t="shared" si="213"/>
        <v>850500</v>
      </c>
      <c r="N91" s="76"/>
      <c r="O91" s="76">
        <v>410000</v>
      </c>
      <c r="P91" s="76">
        <v>940000</v>
      </c>
      <c r="Q91" s="76">
        <v>400000</v>
      </c>
      <c r="R91" s="4"/>
      <c r="S91" s="4"/>
      <c r="T91" s="4"/>
      <c r="U91" s="9">
        <f t="shared" si="214"/>
        <v>1750000</v>
      </c>
      <c r="V91" s="20"/>
      <c r="W91" s="20"/>
      <c r="X91" s="20"/>
      <c r="Y91" s="20"/>
      <c r="Z91" s="20"/>
      <c r="AA91" s="20"/>
      <c r="AB91" s="20"/>
      <c r="AC91" s="9">
        <f t="shared" si="215"/>
        <v>0</v>
      </c>
      <c r="AD91" s="20"/>
      <c r="AE91" s="20"/>
      <c r="AF91" s="25">
        <v>350200</v>
      </c>
      <c r="AG91" s="24">
        <v>1040000</v>
      </c>
      <c r="AH91" s="20">
        <f>70000+210000+210000+210000+140000</f>
        <v>840000</v>
      </c>
      <c r="AI91" s="20">
        <f>860500+194000+97000</f>
        <v>1151500</v>
      </c>
      <c r="AJ91" s="20">
        <v>1164000</v>
      </c>
      <c r="AK91" s="21">
        <f t="shared" si="216"/>
        <v>4545700</v>
      </c>
      <c r="AL91" s="25">
        <v>0</v>
      </c>
      <c r="AM91" s="20"/>
      <c r="AN91" s="20"/>
      <c r="AO91" s="20"/>
      <c r="AP91" s="21">
        <f t="shared" si="217"/>
        <v>0</v>
      </c>
      <c r="AQ91" s="25"/>
      <c r="AR91" s="20"/>
      <c r="AS91" s="20"/>
      <c r="AT91" s="20"/>
      <c r="AU91" s="21">
        <f t="shared" si="218"/>
        <v>0</v>
      </c>
      <c r="AV91" s="25"/>
      <c r="AW91" s="25"/>
      <c r="AX91" s="25"/>
      <c r="AY91" s="25"/>
      <c r="AZ91" s="20"/>
      <c r="BA91" s="20"/>
      <c r="BB91" s="20"/>
      <c r="BC91" s="21">
        <f t="shared" si="219"/>
        <v>0</v>
      </c>
      <c r="BD91" s="4">
        <f t="shared" si="220"/>
        <v>0</v>
      </c>
      <c r="BE91" s="4">
        <f t="shared" si="221"/>
        <v>697500</v>
      </c>
      <c r="BF91" s="4">
        <f t="shared" si="222"/>
        <v>1853200</v>
      </c>
      <c r="BG91" s="4">
        <f t="shared" si="223"/>
        <v>1440000</v>
      </c>
      <c r="BH91" s="94">
        <f t="shared" si="224"/>
        <v>840000</v>
      </c>
      <c r="BI91" s="94">
        <f t="shared" si="225"/>
        <v>1151500</v>
      </c>
      <c r="BJ91" s="94">
        <f t="shared" si="226"/>
        <v>1164000</v>
      </c>
      <c r="BK91" s="9">
        <f t="shared" si="227"/>
        <v>7146200</v>
      </c>
    </row>
    <row r="92" spans="1:63" ht="31.5">
      <c r="A92" s="186"/>
      <c r="B92" s="8">
        <v>8</v>
      </c>
      <c r="C92" s="1" t="s">
        <v>191</v>
      </c>
      <c r="D92" s="4" t="s">
        <v>185</v>
      </c>
      <c r="E92" s="4" t="s">
        <v>17</v>
      </c>
      <c r="F92" s="4">
        <v>155000</v>
      </c>
      <c r="G92" s="4">
        <v>490500</v>
      </c>
      <c r="H92" s="4">
        <f>93500+99000+396000+99000</f>
        <v>687500</v>
      </c>
      <c r="I92" s="4">
        <f>60000+20000+20000</f>
        <v>100000</v>
      </c>
      <c r="J92" s="4"/>
      <c r="K92" s="4"/>
      <c r="L92" s="4"/>
      <c r="M92" s="9">
        <f t="shared" si="213"/>
        <v>1433000</v>
      </c>
      <c r="N92" s="4"/>
      <c r="O92" s="4"/>
      <c r="P92" s="4"/>
      <c r="Q92" s="4"/>
      <c r="R92" s="4"/>
      <c r="S92" s="4"/>
      <c r="T92" s="4"/>
      <c r="U92" s="9">
        <f t="shared" si="214"/>
        <v>0</v>
      </c>
      <c r="V92" s="20"/>
      <c r="W92" s="20"/>
      <c r="X92" s="20"/>
      <c r="Y92" s="20"/>
      <c r="Z92" s="20"/>
      <c r="AA92" s="20"/>
      <c r="AB92" s="20"/>
      <c r="AC92" s="9">
        <f t="shared" si="215"/>
        <v>0</v>
      </c>
      <c r="AD92" s="20">
        <v>195000</v>
      </c>
      <c r="AE92" s="25">
        <v>662850</v>
      </c>
      <c r="AF92" s="25">
        <v>522700</v>
      </c>
      <c r="AG92" s="24">
        <v>144000</v>
      </c>
      <c r="AH92" s="20"/>
      <c r="AI92" s="20"/>
      <c r="AJ92" s="20"/>
      <c r="AK92" s="21">
        <f t="shared" si="216"/>
        <v>1524550</v>
      </c>
      <c r="AL92" s="25">
        <v>781000</v>
      </c>
      <c r="AM92" s="20">
        <f>71000+212000+185500+175500+128500</f>
        <v>772500</v>
      </c>
      <c r="AN92" s="20">
        <f>923900+175000+87000</f>
        <v>1185900</v>
      </c>
      <c r="AO92" s="20">
        <v>992120</v>
      </c>
      <c r="AP92" s="21">
        <f t="shared" si="217"/>
        <v>3731520</v>
      </c>
      <c r="AQ92" s="25"/>
      <c r="AR92" s="20"/>
      <c r="AS92" s="20"/>
      <c r="AT92" s="20"/>
      <c r="AU92" s="21">
        <f t="shared" si="218"/>
        <v>0</v>
      </c>
      <c r="AV92" s="25"/>
      <c r="AW92" s="25"/>
      <c r="AX92" s="25"/>
      <c r="AY92" s="25"/>
      <c r="AZ92" s="20"/>
      <c r="BA92" s="20"/>
      <c r="BB92" s="20"/>
      <c r="BC92" s="21">
        <f t="shared" si="219"/>
        <v>0</v>
      </c>
      <c r="BD92" s="4">
        <f t="shared" si="220"/>
        <v>350000</v>
      </c>
      <c r="BE92" s="4">
        <f t="shared" si="221"/>
        <v>1153350</v>
      </c>
      <c r="BF92" s="4">
        <f t="shared" si="222"/>
        <v>1210200</v>
      </c>
      <c r="BG92" s="4">
        <f t="shared" si="223"/>
        <v>1025000</v>
      </c>
      <c r="BH92" s="94">
        <f t="shared" si="224"/>
        <v>772500</v>
      </c>
      <c r="BI92" s="94">
        <f t="shared" si="225"/>
        <v>1185900</v>
      </c>
      <c r="BJ92" s="94">
        <f t="shared" si="226"/>
        <v>992120</v>
      </c>
      <c r="BK92" s="9">
        <f t="shared" si="227"/>
        <v>6689070</v>
      </c>
    </row>
    <row r="93" spans="1:63">
      <c r="A93" s="186"/>
      <c r="B93" s="8">
        <v>9</v>
      </c>
      <c r="C93" s="1" t="s">
        <v>192</v>
      </c>
      <c r="D93" s="4" t="s">
        <v>193</v>
      </c>
      <c r="E93" s="4" t="s">
        <v>17</v>
      </c>
      <c r="F93" s="4"/>
      <c r="G93" s="4">
        <v>804000</v>
      </c>
      <c r="H93" s="4">
        <f>99000+99000+297000</f>
        <v>495000</v>
      </c>
      <c r="I93" s="4">
        <f>20000+160000</f>
        <v>180000</v>
      </c>
      <c r="J93" s="4"/>
      <c r="K93" s="4"/>
      <c r="L93" s="4"/>
      <c r="M93" s="9">
        <f t="shared" si="213"/>
        <v>1479000</v>
      </c>
      <c r="N93" s="76"/>
      <c r="O93" s="76">
        <v>1050000</v>
      </c>
      <c r="P93" s="76">
        <v>760000</v>
      </c>
      <c r="Q93" s="76">
        <v>1025000</v>
      </c>
      <c r="R93" s="4">
        <f>225000+225000+225000+225000+150000</f>
        <v>1050000</v>
      </c>
      <c r="S93" s="4">
        <f>1575000+560000</f>
        <v>2135000</v>
      </c>
      <c r="T93" s="4">
        <f>570000+550000+350000+300000+300000+150000</f>
        <v>2220000</v>
      </c>
      <c r="U93" s="9">
        <f t="shared" si="214"/>
        <v>8240000</v>
      </c>
      <c r="V93" s="20"/>
      <c r="W93" s="20"/>
      <c r="X93" s="20"/>
      <c r="Y93" s="20"/>
      <c r="Z93" s="20"/>
      <c r="AA93" s="20"/>
      <c r="AB93" s="20"/>
      <c r="AC93" s="9">
        <f t="shared" si="215"/>
        <v>0</v>
      </c>
      <c r="AD93" s="20"/>
      <c r="AE93" s="25">
        <v>1339600</v>
      </c>
      <c r="AF93" s="25">
        <v>582000</v>
      </c>
      <c r="AG93" s="24">
        <v>270000</v>
      </c>
      <c r="AH93" s="20"/>
      <c r="AI93" s="20"/>
      <c r="AJ93" s="20"/>
      <c r="AK93" s="21">
        <f t="shared" si="216"/>
        <v>2191600</v>
      </c>
      <c r="AL93" s="25">
        <v>0</v>
      </c>
      <c r="AM93" s="20"/>
      <c r="AN93" s="20"/>
      <c r="AO93" s="20"/>
      <c r="AP93" s="21">
        <f t="shared" si="217"/>
        <v>0</v>
      </c>
      <c r="AQ93" s="25"/>
      <c r="AR93" s="20"/>
      <c r="AS93" s="20"/>
      <c r="AT93" s="20"/>
      <c r="AU93" s="21">
        <f t="shared" si="218"/>
        <v>0</v>
      </c>
      <c r="AV93" s="25"/>
      <c r="AW93" s="25"/>
      <c r="AX93" s="25">
        <v>366800</v>
      </c>
      <c r="AY93" s="25"/>
      <c r="AZ93" s="20"/>
      <c r="BA93" s="20"/>
      <c r="BB93" s="20"/>
      <c r="BC93" s="21">
        <f t="shared" si="219"/>
        <v>366800</v>
      </c>
      <c r="BD93" s="4">
        <f t="shared" si="220"/>
        <v>0</v>
      </c>
      <c r="BE93" s="4">
        <f t="shared" si="221"/>
        <v>3193600</v>
      </c>
      <c r="BF93" s="4">
        <f t="shared" si="222"/>
        <v>2203800</v>
      </c>
      <c r="BG93" s="4">
        <f t="shared" si="223"/>
        <v>1475000</v>
      </c>
      <c r="BH93" s="94">
        <f t="shared" si="224"/>
        <v>1050000</v>
      </c>
      <c r="BI93" s="94">
        <f t="shared" si="225"/>
        <v>2135000</v>
      </c>
      <c r="BJ93" s="94">
        <f t="shared" si="226"/>
        <v>2220000</v>
      </c>
      <c r="BK93" s="9">
        <f t="shared" si="227"/>
        <v>12277400</v>
      </c>
    </row>
    <row r="94" spans="1:63" ht="33" customHeight="1">
      <c r="A94" s="186"/>
      <c r="B94" s="8">
        <v>10</v>
      </c>
      <c r="C94" s="1" t="s">
        <v>194</v>
      </c>
      <c r="D94" s="4" t="s">
        <v>187</v>
      </c>
      <c r="E94" s="4" t="s">
        <v>17</v>
      </c>
      <c r="F94" s="4"/>
      <c r="G94" s="4">
        <v>155000</v>
      </c>
      <c r="H94" s="4">
        <v>151000</v>
      </c>
      <c r="I94" s="4"/>
      <c r="J94" s="4"/>
      <c r="K94" s="4"/>
      <c r="L94" s="4"/>
      <c r="M94" s="9">
        <f t="shared" si="213"/>
        <v>306000</v>
      </c>
      <c r="N94" s="4"/>
      <c r="O94" s="4"/>
      <c r="P94" s="4"/>
      <c r="Q94" s="4"/>
      <c r="R94" s="4"/>
      <c r="S94" s="4"/>
      <c r="T94" s="4"/>
      <c r="U94" s="9">
        <f t="shared" si="214"/>
        <v>0</v>
      </c>
      <c r="V94" s="20"/>
      <c r="W94" s="20"/>
      <c r="X94" s="20"/>
      <c r="Y94" s="20"/>
      <c r="Z94" s="20"/>
      <c r="AA94" s="20"/>
      <c r="AB94" s="20"/>
      <c r="AC94" s="9">
        <f t="shared" si="215"/>
        <v>0</v>
      </c>
      <c r="AD94" s="20"/>
      <c r="AE94" s="20"/>
      <c r="AF94" s="20"/>
      <c r="AG94" s="20"/>
      <c r="AH94" s="20"/>
      <c r="AI94" s="20"/>
      <c r="AJ94" s="20"/>
      <c r="AK94" s="21">
        <f t="shared" si="216"/>
        <v>0</v>
      </c>
      <c r="AL94" s="24">
        <v>0</v>
      </c>
      <c r="AM94" s="20"/>
      <c r="AN94" s="20"/>
      <c r="AO94" s="20"/>
      <c r="AP94" s="21">
        <f t="shared" si="217"/>
        <v>0</v>
      </c>
      <c r="AQ94" s="24"/>
      <c r="AR94" s="20"/>
      <c r="AS94" s="20"/>
      <c r="AT94" s="20"/>
      <c r="AU94" s="21">
        <f t="shared" si="218"/>
        <v>0</v>
      </c>
      <c r="AV94" s="24"/>
      <c r="AW94" s="24"/>
      <c r="AX94" s="24"/>
      <c r="AY94" s="24"/>
      <c r="AZ94" s="20"/>
      <c r="BA94" s="20"/>
      <c r="BB94" s="20"/>
      <c r="BC94" s="21">
        <f t="shared" si="219"/>
        <v>0</v>
      </c>
      <c r="BD94" s="4">
        <f t="shared" si="220"/>
        <v>0</v>
      </c>
      <c r="BE94" s="4">
        <f t="shared" si="221"/>
        <v>155000</v>
      </c>
      <c r="BF94" s="4">
        <f t="shared" si="222"/>
        <v>151000</v>
      </c>
      <c r="BG94" s="4">
        <f t="shared" si="223"/>
        <v>0</v>
      </c>
      <c r="BH94" s="94">
        <f t="shared" si="224"/>
        <v>0</v>
      </c>
      <c r="BI94" s="94">
        <f t="shared" si="225"/>
        <v>0</v>
      </c>
      <c r="BJ94" s="94">
        <f t="shared" si="226"/>
        <v>0</v>
      </c>
      <c r="BK94" s="9">
        <f t="shared" si="227"/>
        <v>306000</v>
      </c>
    </row>
    <row r="95" spans="1:63">
      <c r="A95" s="186"/>
      <c r="B95" s="8">
        <v>11</v>
      </c>
      <c r="C95" s="1" t="s">
        <v>195</v>
      </c>
      <c r="D95" s="4" t="s">
        <v>196</v>
      </c>
      <c r="E95" s="4" t="s">
        <v>17</v>
      </c>
      <c r="F95" s="4"/>
      <c r="G95" s="4">
        <v>155000</v>
      </c>
      <c r="H95" s="4">
        <v>154000</v>
      </c>
      <c r="I95" s="4"/>
      <c r="J95" s="4"/>
      <c r="K95" s="4"/>
      <c r="L95" s="4"/>
      <c r="M95" s="9">
        <f t="shared" si="213"/>
        <v>309000</v>
      </c>
      <c r="N95" s="76"/>
      <c r="O95" s="76">
        <v>790000</v>
      </c>
      <c r="P95" s="76">
        <v>1260000</v>
      </c>
      <c r="Q95" s="76">
        <v>975000</v>
      </c>
      <c r="R95" s="4">
        <f>215000+225000+225000+225000+150000</f>
        <v>1040000</v>
      </c>
      <c r="S95" s="4">
        <v>2195000</v>
      </c>
      <c r="T95" s="4">
        <f>600000+600000+600000+200000+200000</f>
        <v>2200000</v>
      </c>
      <c r="U95" s="9">
        <f t="shared" si="214"/>
        <v>8460000</v>
      </c>
      <c r="V95" s="20"/>
      <c r="W95" s="20"/>
      <c r="X95" s="20"/>
      <c r="Y95" s="20"/>
      <c r="Z95" s="20"/>
      <c r="AA95" s="20"/>
      <c r="AB95" s="20"/>
      <c r="AC95" s="9">
        <f t="shared" si="215"/>
        <v>0</v>
      </c>
      <c r="AD95" s="20"/>
      <c r="AE95" s="25">
        <v>447200</v>
      </c>
      <c r="AF95" s="25">
        <v>504400</v>
      </c>
      <c r="AG95" s="24">
        <v>270000</v>
      </c>
      <c r="AH95" s="20"/>
      <c r="AI95" s="20"/>
      <c r="AJ95" s="20"/>
      <c r="AK95" s="21">
        <f t="shared" si="216"/>
        <v>1221600</v>
      </c>
      <c r="AL95" s="25">
        <v>0</v>
      </c>
      <c r="AM95" s="20"/>
      <c r="AN95" s="20"/>
      <c r="AO95" s="20"/>
      <c r="AP95" s="21">
        <f t="shared" si="217"/>
        <v>0</v>
      </c>
      <c r="AQ95" s="25"/>
      <c r="AR95" s="20"/>
      <c r="AS95" s="20"/>
      <c r="AT95" s="20"/>
      <c r="AU95" s="21">
        <f t="shared" si="218"/>
        <v>0</v>
      </c>
      <c r="AV95" s="25"/>
      <c r="AW95" s="25"/>
      <c r="AX95" s="25"/>
      <c r="AY95" s="25"/>
      <c r="AZ95" s="20"/>
      <c r="BA95" s="20"/>
      <c r="BB95" s="20"/>
      <c r="BC95" s="21">
        <f t="shared" si="219"/>
        <v>0</v>
      </c>
      <c r="BD95" s="4">
        <f t="shared" si="220"/>
        <v>0</v>
      </c>
      <c r="BE95" s="4">
        <f t="shared" si="221"/>
        <v>1392200</v>
      </c>
      <c r="BF95" s="4">
        <f t="shared" si="222"/>
        <v>1918400</v>
      </c>
      <c r="BG95" s="4">
        <f t="shared" si="223"/>
        <v>1245000</v>
      </c>
      <c r="BH95" s="94">
        <f t="shared" si="224"/>
        <v>1040000</v>
      </c>
      <c r="BI95" s="94">
        <f t="shared" si="225"/>
        <v>2195000</v>
      </c>
      <c r="BJ95" s="94">
        <f t="shared" si="226"/>
        <v>2200000</v>
      </c>
      <c r="BK95" s="9">
        <f t="shared" si="227"/>
        <v>9990600</v>
      </c>
    </row>
    <row r="96" spans="1:63">
      <c r="A96" s="186"/>
      <c r="B96" s="8">
        <v>12</v>
      </c>
      <c r="C96" s="1" t="s">
        <v>197</v>
      </c>
      <c r="D96" s="4" t="s">
        <v>187</v>
      </c>
      <c r="E96" s="4" t="s">
        <v>17</v>
      </c>
      <c r="F96" s="4"/>
      <c r="G96" s="4">
        <v>512500</v>
      </c>
      <c r="H96" s="4">
        <f>104500+110000+110000</f>
        <v>324500</v>
      </c>
      <c r="I96" s="4">
        <v>200000</v>
      </c>
      <c r="J96" s="4"/>
      <c r="K96" s="4"/>
      <c r="L96" s="4"/>
      <c r="M96" s="9">
        <f t="shared" si="213"/>
        <v>1037000</v>
      </c>
      <c r="N96" s="76"/>
      <c r="O96" s="76">
        <v>1300000</v>
      </c>
      <c r="P96" s="76">
        <v>1480000</v>
      </c>
      <c r="Q96" s="76">
        <v>250000</v>
      </c>
      <c r="R96" s="4"/>
      <c r="S96" s="4"/>
      <c r="T96" s="4"/>
      <c r="U96" s="9">
        <f t="shared" si="214"/>
        <v>3030000</v>
      </c>
      <c r="V96" s="20"/>
      <c r="W96" s="20">
        <v>290000</v>
      </c>
      <c r="X96" s="20"/>
      <c r="Y96" s="22">
        <v>1072000</v>
      </c>
      <c r="Z96" s="22"/>
      <c r="AA96" s="22"/>
      <c r="AB96" s="22"/>
      <c r="AC96" s="9">
        <f t="shared" si="215"/>
        <v>1362000</v>
      </c>
      <c r="AD96" s="20"/>
      <c r="AE96" s="25">
        <v>943600</v>
      </c>
      <c r="AF96" s="20">
        <v>780850</v>
      </c>
      <c r="AG96" s="20">
        <v>150000</v>
      </c>
      <c r="AH96" s="20"/>
      <c r="AI96" s="20"/>
      <c r="AJ96" s="20"/>
      <c r="AK96" s="21">
        <f t="shared" si="216"/>
        <v>1874450</v>
      </c>
      <c r="AL96" s="25">
        <v>0</v>
      </c>
      <c r="AM96" s="20"/>
      <c r="AN96" s="20"/>
      <c r="AO96" s="20"/>
      <c r="AP96" s="21">
        <f t="shared" si="217"/>
        <v>0</v>
      </c>
      <c r="AQ96" s="24">
        <v>900000</v>
      </c>
      <c r="AR96" s="20">
        <f>300000+300000+300000+300000+200000</f>
        <v>1400000</v>
      </c>
      <c r="AS96" s="20">
        <f>2072000+765000</f>
        <v>2837000</v>
      </c>
      <c r="AT96" s="20">
        <f>255000+503000+755000+510000+765000</f>
        <v>2788000</v>
      </c>
      <c r="AU96" s="21">
        <f t="shared" si="218"/>
        <v>7925000</v>
      </c>
      <c r="AV96" s="25"/>
      <c r="AW96" s="25">
        <v>100000</v>
      </c>
      <c r="AX96" s="25">
        <v>276000</v>
      </c>
      <c r="AY96" s="25"/>
      <c r="AZ96" s="20"/>
      <c r="BA96" s="20"/>
      <c r="BB96" s="20"/>
      <c r="BC96" s="21">
        <f t="shared" si="219"/>
        <v>376000</v>
      </c>
      <c r="BD96" s="4">
        <f t="shared" si="220"/>
        <v>0</v>
      </c>
      <c r="BE96" s="4">
        <f t="shared" si="221"/>
        <v>3146100</v>
      </c>
      <c r="BF96" s="4">
        <f t="shared" si="222"/>
        <v>2861350</v>
      </c>
      <c r="BG96" s="4">
        <f t="shared" si="223"/>
        <v>2572000</v>
      </c>
      <c r="BH96" s="94">
        <f t="shared" si="224"/>
        <v>1400000</v>
      </c>
      <c r="BI96" s="94">
        <f t="shared" si="225"/>
        <v>2837000</v>
      </c>
      <c r="BJ96" s="94">
        <f t="shared" si="226"/>
        <v>2788000</v>
      </c>
      <c r="BK96" s="9">
        <f t="shared" si="227"/>
        <v>15604450</v>
      </c>
    </row>
    <row r="97" spans="1:63">
      <c r="A97" s="186"/>
      <c r="B97" s="8">
        <v>13</v>
      </c>
      <c r="C97" s="1" t="s">
        <v>198</v>
      </c>
      <c r="D97" s="4" t="s">
        <v>193</v>
      </c>
      <c r="E97" s="4" t="s">
        <v>17</v>
      </c>
      <c r="F97" s="4"/>
      <c r="G97" s="4"/>
      <c r="H97" s="4"/>
      <c r="I97" s="4"/>
      <c r="J97" s="4"/>
      <c r="K97" s="4"/>
      <c r="L97" s="4"/>
      <c r="M97" s="9">
        <f t="shared" si="213"/>
        <v>0</v>
      </c>
      <c r="N97" s="76"/>
      <c r="O97" s="76">
        <v>1210000</v>
      </c>
      <c r="P97" s="76">
        <v>1000000</v>
      </c>
      <c r="Q97" s="76">
        <v>1075000</v>
      </c>
      <c r="R97" s="4">
        <f>225000+225000+225000+225000</f>
        <v>900000</v>
      </c>
      <c r="S97" s="4">
        <f>1715000+600000</f>
        <v>2315000</v>
      </c>
      <c r="T97" s="4">
        <f>800000+400000+200000+200000+400000+200000+200000</f>
        <v>2400000</v>
      </c>
      <c r="U97" s="9">
        <f t="shared" si="214"/>
        <v>8900000</v>
      </c>
      <c r="V97" s="20"/>
      <c r="W97" s="20"/>
      <c r="X97" s="20"/>
      <c r="Y97" s="20"/>
      <c r="Z97" s="20"/>
      <c r="AA97" s="20"/>
      <c r="AB97" s="20"/>
      <c r="AC97" s="9">
        <f t="shared" si="215"/>
        <v>0</v>
      </c>
      <c r="AD97" s="20"/>
      <c r="AE97" s="25">
        <v>801250</v>
      </c>
      <c r="AF97" s="25">
        <v>582000</v>
      </c>
      <c r="AG97" s="24">
        <v>270000</v>
      </c>
      <c r="AH97" s="20"/>
      <c r="AI97" s="20"/>
      <c r="AJ97" s="20"/>
      <c r="AK97" s="21">
        <f t="shared" si="216"/>
        <v>1653250</v>
      </c>
      <c r="AL97" s="25">
        <v>0</v>
      </c>
      <c r="AM97" s="20"/>
      <c r="AN97" s="20"/>
      <c r="AO97" s="20"/>
      <c r="AP97" s="21">
        <f t="shared" si="217"/>
        <v>0</v>
      </c>
      <c r="AQ97" s="25"/>
      <c r="AR97" s="20"/>
      <c r="AS97" s="20"/>
      <c r="AT97" s="20"/>
      <c r="AU97" s="21">
        <f t="shared" si="218"/>
        <v>0</v>
      </c>
      <c r="AV97" s="25"/>
      <c r="AW97" s="25"/>
      <c r="AX97" s="25"/>
      <c r="AY97" s="25"/>
      <c r="AZ97" s="20"/>
      <c r="BA97" s="20"/>
      <c r="BB97" s="20"/>
      <c r="BC97" s="21">
        <f t="shared" si="219"/>
        <v>0</v>
      </c>
      <c r="BD97" s="4">
        <f t="shared" si="220"/>
        <v>0</v>
      </c>
      <c r="BE97" s="4">
        <f t="shared" si="221"/>
        <v>2011250</v>
      </c>
      <c r="BF97" s="4">
        <f t="shared" si="222"/>
        <v>1582000</v>
      </c>
      <c r="BG97" s="4">
        <f t="shared" si="223"/>
        <v>1345000</v>
      </c>
      <c r="BH97" s="94">
        <f t="shared" si="224"/>
        <v>900000</v>
      </c>
      <c r="BI97" s="94">
        <f t="shared" si="225"/>
        <v>2315000</v>
      </c>
      <c r="BJ97" s="94">
        <f t="shared" si="226"/>
        <v>2400000</v>
      </c>
      <c r="BK97" s="9">
        <f t="shared" si="227"/>
        <v>10553250</v>
      </c>
    </row>
    <row r="98" spans="1:63" ht="31.5">
      <c r="A98" s="186"/>
      <c r="B98" s="8">
        <v>14</v>
      </c>
      <c r="C98" s="1" t="s">
        <v>199</v>
      </c>
      <c r="D98" s="4" t="s">
        <v>185</v>
      </c>
      <c r="E98" s="4" t="s">
        <v>17</v>
      </c>
      <c r="F98" s="4"/>
      <c r="G98" s="4"/>
      <c r="H98" s="4"/>
      <c r="I98" s="4"/>
      <c r="J98" s="4"/>
      <c r="K98" s="4"/>
      <c r="L98" s="4"/>
      <c r="M98" s="9">
        <f t="shared" si="213"/>
        <v>0</v>
      </c>
      <c r="N98" s="4"/>
      <c r="O98" s="4"/>
      <c r="P98" s="4"/>
      <c r="Q98" s="4"/>
      <c r="R98" s="4"/>
      <c r="S98" s="4"/>
      <c r="T98" s="4"/>
      <c r="U98" s="9">
        <f t="shared" si="214"/>
        <v>0</v>
      </c>
      <c r="V98" s="20"/>
      <c r="W98" s="20"/>
      <c r="X98" s="20"/>
      <c r="Y98" s="20"/>
      <c r="Z98" s="20"/>
      <c r="AA98" s="20"/>
      <c r="AB98" s="20"/>
      <c r="AC98" s="9">
        <f t="shared" si="215"/>
        <v>0</v>
      </c>
      <c r="AD98" s="20"/>
      <c r="AE98" s="25"/>
      <c r="AF98" s="25">
        <v>680900</v>
      </c>
      <c r="AG98" s="24">
        <v>150000</v>
      </c>
      <c r="AH98" s="20"/>
      <c r="AI98" s="20"/>
      <c r="AJ98" s="20"/>
      <c r="AK98" s="21">
        <f t="shared" si="216"/>
        <v>830900</v>
      </c>
      <c r="AL98" s="25">
        <v>0</v>
      </c>
      <c r="AM98" s="20"/>
      <c r="AN98" s="20"/>
      <c r="AO98" s="20"/>
      <c r="AP98" s="21">
        <f t="shared" si="217"/>
        <v>0</v>
      </c>
      <c r="AQ98" s="25"/>
      <c r="AR98" s="20"/>
      <c r="AS98" s="20"/>
      <c r="AT98" s="20"/>
      <c r="AU98" s="21">
        <f t="shared" si="218"/>
        <v>0</v>
      </c>
      <c r="AV98" s="25"/>
      <c r="AW98" s="25"/>
      <c r="AX98" s="25"/>
      <c r="AY98" s="25"/>
      <c r="AZ98" s="20"/>
      <c r="BA98" s="20"/>
      <c r="BB98" s="20"/>
      <c r="BC98" s="21">
        <f t="shared" si="219"/>
        <v>0</v>
      </c>
      <c r="BD98" s="4">
        <f t="shared" si="220"/>
        <v>0</v>
      </c>
      <c r="BE98" s="4">
        <f t="shared" si="221"/>
        <v>0</v>
      </c>
      <c r="BF98" s="4">
        <f t="shared" si="222"/>
        <v>680900</v>
      </c>
      <c r="BG98" s="4">
        <f t="shared" si="223"/>
        <v>150000</v>
      </c>
      <c r="BH98" s="94">
        <f t="shared" si="224"/>
        <v>0</v>
      </c>
      <c r="BI98" s="94">
        <f t="shared" si="225"/>
        <v>0</v>
      </c>
      <c r="BJ98" s="94">
        <f t="shared" si="226"/>
        <v>0</v>
      </c>
      <c r="BK98" s="9">
        <f t="shared" si="227"/>
        <v>830900</v>
      </c>
    </row>
    <row r="99" spans="1:63">
      <c r="A99" s="186"/>
      <c r="B99" s="8">
        <v>15</v>
      </c>
      <c r="C99" s="1" t="s">
        <v>200</v>
      </c>
      <c r="D99" s="4" t="s">
        <v>201</v>
      </c>
      <c r="E99" s="4" t="s">
        <v>17</v>
      </c>
      <c r="F99" s="4"/>
      <c r="G99" s="4"/>
      <c r="H99" s="4">
        <f>155000+72000</f>
        <v>227000</v>
      </c>
      <c r="I99" s="4">
        <f>58000+42000</f>
        <v>100000</v>
      </c>
      <c r="J99" s="4"/>
      <c r="K99" s="4"/>
      <c r="L99" s="4"/>
      <c r="M99" s="9">
        <f t="shared" si="213"/>
        <v>327000</v>
      </c>
      <c r="N99" s="4"/>
      <c r="O99" s="4"/>
      <c r="P99" s="4"/>
      <c r="Q99" s="4"/>
      <c r="R99" s="4"/>
      <c r="S99" s="4"/>
      <c r="T99" s="4"/>
      <c r="U99" s="9">
        <f t="shared" si="214"/>
        <v>0</v>
      </c>
      <c r="V99" s="20"/>
      <c r="W99" s="20"/>
      <c r="X99" s="20"/>
      <c r="Y99" s="20"/>
      <c r="Z99" s="20"/>
      <c r="AA99" s="20"/>
      <c r="AB99" s="20"/>
      <c r="AC99" s="9">
        <f t="shared" si="215"/>
        <v>0</v>
      </c>
      <c r="AD99" s="20"/>
      <c r="AE99" s="20"/>
      <c r="AF99" s="25">
        <v>310500</v>
      </c>
      <c r="AG99" s="24"/>
      <c r="AH99" s="20"/>
      <c r="AI99" s="20"/>
      <c r="AJ99" s="20"/>
      <c r="AK99" s="21">
        <f t="shared" si="216"/>
        <v>310500</v>
      </c>
      <c r="AL99" s="25">
        <v>720000</v>
      </c>
      <c r="AM99" s="20">
        <f>90000+360000+270000+180000</f>
        <v>900000</v>
      </c>
      <c r="AN99" s="20">
        <f>1008000+252000+126000</f>
        <v>1386000</v>
      </c>
      <c r="AO99" s="20">
        <v>1512000</v>
      </c>
      <c r="AP99" s="21">
        <f t="shared" si="217"/>
        <v>4518000</v>
      </c>
      <c r="AQ99" s="25"/>
      <c r="AR99" s="20"/>
      <c r="AS99" s="20"/>
      <c r="AT99" s="20"/>
      <c r="AU99" s="21">
        <f t="shared" si="218"/>
        <v>0</v>
      </c>
      <c r="AV99" s="25"/>
      <c r="AW99" s="25"/>
      <c r="AX99" s="25"/>
      <c r="AY99" s="25"/>
      <c r="AZ99" s="20"/>
      <c r="BA99" s="20"/>
      <c r="BB99" s="20"/>
      <c r="BC99" s="21">
        <f t="shared" si="219"/>
        <v>0</v>
      </c>
      <c r="BD99" s="4">
        <f t="shared" si="220"/>
        <v>0</v>
      </c>
      <c r="BE99" s="4">
        <f t="shared" si="221"/>
        <v>0</v>
      </c>
      <c r="BF99" s="4">
        <f t="shared" si="222"/>
        <v>537500</v>
      </c>
      <c r="BG99" s="4">
        <f t="shared" si="223"/>
        <v>820000</v>
      </c>
      <c r="BH99" s="94">
        <f t="shared" si="224"/>
        <v>900000</v>
      </c>
      <c r="BI99" s="94">
        <f t="shared" si="225"/>
        <v>1386000</v>
      </c>
      <c r="BJ99" s="94">
        <f t="shared" si="226"/>
        <v>1512000</v>
      </c>
      <c r="BK99" s="9">
        <f t="shared" si="227"/>
        <v>5155500</v>
      </c>
    </row>
    <row r="100" spans="1:63">
      <c r="A100" s="186"/>
      <c r="B100" s="8">
        <v>16</v>
      </c>
      <c r="C100" s="1" t="s">
        <v>202</v>
      </c>
      <c r="D100" s="4" t="s">
        <v>203</v>
      </c>
      <c r="E100" s="4" t="s">
        <v>17</v>
      </c>
      <c r="F100" s="4">
        <v>155000</v>
      </c>
      <c r="G100" s="4">
        <v>699500</v>
      </c>
      <c r="H100" s="4">
        <f>198000+324500</f>
        <v>522500</v>
      </c>
      <c r="I100" s="4">
        <v>180000</v>
      </c>
      <c r="J100" s="4"/>
      <c r="K100" s="4"/>
      <c r="L100" s="4"/>
      <c r="M100" s="9">
        <f t="shared" si="213"/>
        <v>1557000</v>
      </c>
      <c r="N100" s="76"/>
      <c r="O100" s="76"/>
      <c r="P100" s="76">
        <v>290000</v>
      </c>
      <c r="Q100" s="76">
        <v>395000</v>
      </c>
      <c r="R100" s="4"/>
      <c r="S100" s="4"/>
      <c r="T100" s="4"/>
      <c r="U100" s="9">
        <f t="shared" si="214"/>
        <v>685000</v>
      </c>
      <c r="V100" s="20"/>
      <c r="W100" s="20"/>
      <c r="X100" s="20"/>
      <c r="Y100" s="20"/>
      <c r="Z100" s="20"/>
      <c r="AA100" s="20"/>
      <c r="AB100" s="20"/>
      <c r="AC100" s="9">
        <f t="shared" si="215"/>
        <v>0</v>
      </c>
      <c r="AD100" s="20"/>
      <c r="AE100" s="25">
        <v>1407050</v>
      </c>
      <c r="AF100" s="25">
        <v>582000</v>
      </c>
      <c r="AG100" s="24">
        <v>270000</v>
      </c>
      <c r="AH100" s="20"/>
      <c r="AI100" s="20"/>
      <c r="AJ100" s="20"/>
      <c r="AK100" s="21">
        <f t="shared" si="216"/>
        <v>2259050</v>
      </c>
      <c r="AL100" s="25">
        <v>945000</v>
      </c>
      <c r="AM100" s="20">
        <f>315000+315000+315000+315000+210000</f>
        <v>1470000</v>
      </c>
      <c r="AN100" s="20">
        <f>1388655+312000+156000</f>
        <v>1856655</v>
      </c>
      <c r="AO100" s="20">
        <v>1872000</v>
      </c>
      <c r="AP100" s="21">
        <f t="shared" si="217"/>
        <v>6143655</v>
      </c>
      <c r="AQ100" s="25"/>
      <c r="AR100" s="20"/>
      <c r="AS100" s="20"/>
      <c r="AT100" s="20"/>
      <c r="AU100" s="21">
        <f t="shared" si="218"/>
        <v>0</v>
      </c>
      <c r="AV100" s="25"/>
      <c r="AW100" s="24">
        <v>100000</v>
      </c>
      <c r="AX100" s="25"/>
      <c r="AY100" s="25">
        <v>208000</v>
      </c>
      <c r="AZ100" s="20"/>
      <c r="BA100" s="20"/>
      <c r="BB100" s="20"/>
      <c r="BC100" s="21">
        <f t="shared" si="219"/>
        <v>308000</v>
      </c>
      <c r="BD100" s="4">
        <f t="shared" si="220"/>
        <v>155000</v>
      </c>
      <c r="BE100" s="4">
        <f t="shared" si="221"/>
        <v>2206550</v>
      </c>
      <c r="BF100" s="4">
        <f t="shared" si="222"/>
        <v>1394500</v>
      </c>
      <c r="BG100" s="4">
        <f t="shared" si="223"/>
        <v>1998000</v>
      </c>
      <c r="BH100" s="94">
        <f t="shared" si="224"/>
        <v>1470000</v>
      </c>
      <c r="BI100" s="94">
        <f t="shared" si="225"/>
        <v>1856655</v>
      </c>
      <c r="BJ100" s="94">
        <f t="shared" si="226"/>
        <v>1872000</v>
      </c>
      <c r="BK100" s="9">
        <f t="shared" si="227"/>
        <v>10952705</v>
      </c>
    </row>
    <row r="101" spans="1:63">
      <c r="A101" s="186"/>
      <c r="B101" s="8">
        <v>17</v>
      </c>
      <c r="C101" s="1" t="s">
        <v>204</v>
      </c>
      <c r="D101" s="4" t="s">
        <v>205</v>
      </c>
      <c r="E101" s="4" t="s">
        <v>17</v>
      </c>
      <c r="F101" s="4"/>
      <c r="G101" s="4"/>
      <c r="H101" s="4">
        <v>155000</v>
      </c>
      <c r="I101" s="4"/>
      <c r="J101" s="4"/>
      <c r="K101" s="4"/>
      <c r="L101" s="4"/>
      <c r="M101" s="9">
        <f t="shared" si="213"/>
        <v>155000</v>
      </c>
      <c r="N101" s="76"/>
      <c r="O101" s="76"/>
      <c r="P101" s="76">
        <v>290000</v>
      </c>
      <c r="Q101" s="76"/>
      <c r="R101" s="4"/>
      <c r="S101" s="4"/>
      <c r="T101" s="4"/>
      <c r="U101" s="9">
        <f t="shared" si="214"/>
        <v>290000</v>
      </c>
      <c r="V101" s="20"/>
      <c r="W101" s="20"/>
      <c r="X101" s="20"/>
      <c r="Y101" s="20"/>
      <c r="Z101" s="20"/>
      <c r="AA101" s="20"/>
      <c r="AB101" s="20"/>
      <c r="AC101" s="9">
        <f t="shared" si="215"/>
        <v>0</v>
      </c>
      <c r="AD101" s="20"/>
      <c r="AE101" s="20">
        <v>195000</v>
      </c>
      <c r="AF101" s="25">
        <v>237650</v>
      </c>
      <c r="AG101" s="24"/>
      <c r="AH101" s="20"/>
      <c r="AI101" s="20"/>
      <c r="AJ101" s="20"/>
      <c r="AK101" s="21">
        <f t="shared" si="216"/>
        <v>432650</v>
      </c>
      <c r="AL101" s="25">
        <v>0</v>
      </c>
      <c r="AM101" s="20"/>
      <c r="AN101" s="20"/>
      <c r="AO101" s="20"/>
      <c r="AP101" s="21">
        <f t="shared" si="217"/>
        <v>0</v>
      </c>
      <c r="AQ101" s="25"/>
      <c r="AR101" s="20"/>
      <c r="AS101" s="20"/>
      <c r="AT101" s="20"/>
      <c r="AU101" s="21">
        <f t="shared" si="218"/>
        <v>0</v>
      </c>
      <c r="AV101" s="25"/>
      <c r="AW101" s="24"/>
      <c r="AX101" s="25"/>
      <c r="AY101" s="25"/>
      <c r="AZ101" s="20"/>
      <c r="BA101" s="20"/>
      <c r="BB101" s="20"/>
      <c r="BC101" s="21">
        <f t="shared" si="219"/>
        <v>0</v>
      </c>
      <c r="BD101" s="4">
        <f t="shared" si="220"/>
        <v>0</v>
      </c>
      <c r="BE101" s="4">
        <f t="shared" si="221"/>
        <v>195000</v>
      </c>
      <c r="BF101" s="4">
        <f t="shared" si="222"/>
        <v>682650</v>
      </c>
      <c r="BG101" s="4">
        <f t="shared" si="223"/>
        <v>0</v>
      </c>
      <c r="BH101" s="94">
        <f t="shared" si="224"/>
        <v>0</v>
      </c>
      <c r="BI101" s="94">
        <f t="shared" si="225"/>
        <v>0</v>
      </c>
      <c r="BJ101" s="94">
        <f t="shared" si="226"/>
        <v>0</v>
      </c>
      <c r="BK101" s="9">
        <f t="shared" si="227"/>
        <v>877650</v>
      </c>
    </row>
    <row r="102" spans="1:63">
      <c r="A102" s="186"/>
      <c r="B102" s="8">
        <v>18</v>
      </c>
      <c r="C102" s="1" t="s">
        <v>5</v>
      </c>
      <c r="D102" s="4" t="s">
        <v>36</v>
      </c>
      <c r="E102" s="4" t="s">
        <v>17</v>
      </c>
      <c r="F102" s="4">
        <v>155000</v>
      </c>
      <c r="G102" s="4">
        <v>925328</v>
      </c>
      <c r="H102" s="4">
        <f>104500+104500+330000+220000+110000</f>
        <v>869000</v>
      </c>
      <c r="I102" s="4">
        <f>100000+20000</f>
        <v>120000</v>
      </c>
      <c r="J102" s="4"/>
      <c r="K102" s="4"/>
      <c r="L102" s="4"/>
      <c r="M102" s="9">
        <f t="shared" si="213"/>
        <v>2069328</v>
      </c>
      <c r="N102" s="4"/>
      <c r="O102" s="4"/>
      <c r="P102" s="4"/>
      <c r="Q102" s="4"/>
      <c r="R102" s="4"/>
      <c r="S102" s="4"/>
      <c r="T102" s="4"/>
      <c r="U102" s="9">
        <f t="shared" si="214"/>
        <v>0</v>
      </c>
      <c r="V102" s="20"/>
      <c r="W102" s="20"/>
      <c r="X102" s="20"/>
      <c r="Y102" s="20"/>
      <c r="Z102" s="20"/>
      <c r="AA102" s="20"/>
      <c r="AB102" s="20"/>
      <c r="AC102" s="9">
        <f t="shared" si="215"/>
        <v>0</v>
      </c>
      <c r="AD102" s="20">
        <v>195000</v>
      </c>
      <c r="AE102" s="25">
        <v>1595650</v>
      </c>
      <c r="AF102" s="25">
        <v>1129700</v>
      </c>
      <c r="AG102" s="24">
        <v>30000</v>
      </c>
      <c r="AH102" s="20"/>
      <c r="AI102" s="20"/>
      <c r="AJ102" s="20"/>
      <c r="AK102" s="21">
        <f t="shared" si="216"/>
        <v>2950350</v>
      </c>
      <c r="AL102" s="25">
        <v>1155000</v>
      </c>
      <c r="AM102" s="20">
        <f>(105000+315000+262500)-140000+262500+175000</f>
        <v>980000</v>
      </c>
      <c r="AN102" s="20">
        <f>1282500+312000+156000</f>
        <v>1750500</v>
      </c>
      <c r="AO102" s="20">
        <v>1846000</v>
      </c>
      <c r="AP102" s="21">
        <f t="shared" si="217"/>
        <v>5731500</v>
      </c>
      <c r="AQ102" s="25"/>
      <c r="AR102" s="20"/>
      <c r="AS102" s="20"/>
      <c r="AT102" s="20"/>
      <c r="AU102" s="21">
        <f t="shared" si="218"/>
        <v>0</v>
      </c>
      <c r="AV102" s="25"/>
      <c r="AW102" s="24">
        <v>100000</v>
      </c>
      <c r="AX102" s="25">
        <f>276000+540000</f>
        <v>816000</v>
      </c>
      <c r="AY102" s="25"/>
      <c r="AZ102" s="20"/>
      <c r="BA102" s="20"/>
      <c r="BB102" s="20"/>
      <c r="BC102" s="21">
        <f t="shared" si="219"/>
        <v>916000</v>
      </c>
      <c r="BD102" s="4">
        <f t="shared" si="220"/>
        <v>350000</v>
      </c>
      <c r="BE102" s="4">
        <f t="shared" si="221"/>
        <v>2620978</v>
      </c>
      <c r="BF102" s="4">
        <f t="shared" si="222"/>
        <v>2814700</v>
      </c>
      <c r="BG102" s="4">
        <f t="shared" si="223"/>
        <v>1305000</v>
      </c>
      <c r="BH102" s="94">
        <f t="shared" si="224"/>
        <v>980000</v>
      </c>
      <c r="BI102" s="94">
        <f t="shared" si="225"/>
        <v>1750500</v>
      </c>
      <c r="BJ102" s="94">
        <f t="shared" si="226"/>
        <v>1846000</v>
      </c>
      <c r="BK102" s="9">
        <f t="shared" si="227"/>
        <v>11667178</v>
      </c>
    </row>
    <row r="103" spans="1:63" ht="31.5">
      <c r="A103" s="186"/>
      <c r="B103" s="8">
        <v>19</v>
      </c>
      <c r="C103" s="1" t="s">
        <v>206</v>
      </c>
      <c r="D103" s="4" t="s">
        <v>193</v>
      </c>
      <c r="E103" s="4" t="s">
        <v>17</v>
      </c>
      <c r="F103" s="4"/>
      <c r="G103" s="4">
        <v>821267</v>
      </c>
      <c r="H103" s="4">
        <f>99000+99000+297000</f>
        <v>495000</v>
      </c>
      <c r="I103" s="4">
        <f>160000+20000</f>
        <v>180000</v>
      </c>
      <c r="J103" s="4"/>
      <c r="K103" s="4"/>
      <c r="L103" s="4"/>
      <c r="M103" s="9">
        <f t="shared" si="213"/>
        <v>1496267</v>
      </c>
      <c r="N103" s="76"/>
      <c r="O103" s="76">
        <v>1870000</v>
      </c>
      <c r="P103" s="76">
        <v>1200000</v>
      </c>
      <c r="Q103" s="76">
        <v>350000</v>
      </c>
      <c r="R103" s="4"/>
      <c r="S103" s="4"/>
      <c r="T103" s="4"/>
      <c r="U103" s="9">
        <f t="shared" si="214"/>
        <v>3420000</v>
      </c>
      <c r="V103" s="20"/>
      <c r="W103" s="22">
        <v>920000</v>
      </c>
      <c r="X103" s="4">
        <v>434000</v>
      </c>
      <c r="Y103" s="22">
        <v>424000</v>
      </c>
      <c r="Z103" s="22"/>
      <c r="AA103" s="22"/>
      <c r="AB103" s="22"/>
      <c r="AC103" s="9">
        <f t="shared" si="215"/>
        <v>1778000</v>
      </c>
      <c r="AD103" s="20"/>
      <c r="AE103" s="25">
        <v>1203800</v>
      </c>
      <c r="AF103" s="25">
        <v>446200</v>
      </c>
      <c r="AG103" s="24">
        <v>270000</v>
      </c>
      <c r="AH103" s="20"/>
      <c r="AI103" s="20"/>
      <c r="AJ103" s="20"/>
      <c r="AK103" s="21">
        <f t="shared" si="216"/>
        <v>1920000</v>
      </c>
      <c r="AL103" s="25">
        <v>0</v>
      </c>
      <c r="AM103" s="20"/>
      <c r="AN103" s="20"/>
      <c r="AO103" s="20"/>
      <c r="AP103" s="21">
        <f t="shared" si="217"/>
        <v>0</v>
      </c>
      <c r="AQ103" s="24">
        <v>900000</v>
      </c>
      <c r="AR103" s="20">
        <f>300000+300000+300000+300000+200000</f>
        <v>1400000</v>
      </c>
      <c r="AS103" s="20">
        <f>1842500+731000</f>
        <v>2573500</v>
      </c>
      <c r="AT103" s="20">
        <f>246500+739500+493000+246500+246500+493000+246500</f>
        <v>2711500</v>
      </c>
      <c r="AU103" s="21">
        <f t="shared" si="218"/>
        <v>7585000</v>
      </c>
      <c r="AV103" s="25"/>
      <c r="AW103" s="25"/>
      <c r="AX103" s="25"/>
      <c r="AY103" s="25"/>
      <c r="AZ103" s="20"/>
      <c r="BA103" s="20"/>
      <c r="BB103" s="20"/>
      <c r="BC103" s="21">
        <f t="shared" si="219"/>
        <v>0</v>
      </c>
      <c r="BD103" s="4">
        <f t="shared" si="220"/>
        <v>0</v>
      </c>
      <c r="BE103" s="4">
        <f t="shared" si="221"/>
        <v>4815067</v>
      </c>
      <c r="BF103" s="4">
        <f t="shared" si="222"/>
        <v>2575200</v>
      </c>
      <c r="BG103" s="4">
        <f t="shared" si="223"/>
        <v>2124000</v>
      </c>
      <c r="BH103" s="94">
        <f t="shared" si="224"/>
        <v>1400000</v>
      </c>
      <c r="BI103" s="94">
        <f t="shared" si="225"/>
        <v>2573500</v>
      </c>
      <c r="BJ103" s="94">
        <f t="shared" si="226"/>
        <v>2711500</v>
      </c>
      <c r="BK103" s="9">
        <f t="shared" si="227"/>
        <v>16199267</v>
      </c>
    </row>
    <row r="104" spans="1:63" ht="31.5">
      <c r="A104" s="186"/>
      <c r="B104" s="8">
        <v>20</v>
      </c>
      <c r="C104" s="1" t="s">
        <v>207</v>
      </c>
      <c r="D104" s="5" t="s">
        <v>36</v>
      </c>
      <c r="E104" s="4" t="s">
        <v>17</v>
      </c>
      <c r="F104" s="4"/>
      <c r="G104" s="4"/>
      <c r="H104" s="4"/>
      <c r="I104" s="4"/>
      <c r="J104" s="4"/>
      <c r="K104" s="4"/>
      <c r="L104" s="4"/>
      <c r="M104" s="9">
        <f t="shared" si="213"/>
        <v>0</v>
      </c>
      <c r="N104" s="4"/>
      <c r="O104" s="4"/>
      <c r="P104" s="4"/>
      <c r="Q104" s="4"/>
      <c r="R104" s="4"/>
      <c r="S104" s="4"/>
      <c r="T104" s="4"/>
      <c r="U104" s="9">
        <f t="shared" si="214"/>
        <v>0</v>
      </c>
      <c r="V104" s="20"/>
      <c r="W104" s="20"/>
      <c r="X104" s="4"/>
      <c r="Y104" s="20"/>
      <c r="Z104" s="20"/>
      <c r="AA104" s="20"/>
      <c r="AB104" s="20"/>
      <c r="AC104" s="9">
        <f t="shared" si="215"/>
        <v>0</v>
      </c>
      <c r="AD104" s="20"/>
      <c r="AE104" s="25">
        <v>279700</v>
      </c>
      <c r="AF104" s="25">
        <v>140400</v>
      </c>
      <c r="AG104" s="24">
        <v>470000</v>
      </c>
      <c r="AH104" s="20">
        <f>72000+36000+111000+108000+72000</f>
        <v>399000</v>
      </c>
      <c r="AI104" s="20">
        <v>36000</v>
      </c>
      <c r="AJ104" s="20"/>
      <c r="AK104" s="21">
        <f t="shared" si="216"/>
        <v>1325100</v>
      </c>
      <c r="AL104" s="25">
        <v>0</v>
      </c>
      <c r="AM104" s="20"/>
      <c r="AN104" s="20"/>
      <c r="AO104" s="20"/>
      <c r="AP104" s="21">
        <f t="shared" si="217"/>
        <v>0</v>
      </c>
      <c r="AQ104" s="25"/>
      <c r="AR104" s="20"/>
      <c r="AS104" s="20"/>
      <c r="AT104" s="20"/>
      <c r="AU104" s="21">
        <f t="shared" si="218"/>
        <v>0</v>
      </c>
      <c r="AV104" s="25"/>
      <c r="AW104" s="25"/>
      <c r="AX104" s="25"/>
      <c r="AY104" s="25"/>
      <c r="AZ104" s="20"/>
      <c r="BA104" s="20"/>
      <c r="BB104" s="20"/>
      <c r="BC104" s="21">
        <f t="shared" si="219"/>
        <v>0</v>
      </c>
      <c r="BD104" s="4">
        <f t="shared" si="220"/>
        <v>0</v>
      </c>
      <c r="BE104" s="4">
        <f t="shared" si="221"/>
        <v>279700</v>
      </c>
      <c r="BF104" s="4">
        <f t="shared" si="222"/>
        <v>140400</v>
      </c>
      <c r="BG104" s="4">
        <f t="shared" si="223"/>
        <v>470000</v>
      </c>
      <c r="BH104" s="94">
        <f t="shared" si="224"/>
        <v>399000</v>
      </c>
      <c r="BI104" s="94">
        <f t="shared" si="225"/>
        <v>36000</v>
      </c>
      <c r="BJ104" s="94">
        <f t="shared" si="226"/>
        <v>0</v>
      </c>
      <c r="BK104" s="9">
        <f t="shared" si="227"/>
        <v>1325100</v>
      </c>
    </row>
    <row r="105" spans="1:63">
      <c r="A105" s="186"/>
      <c r="B105" s="8">
        <v>21</v>
      </c>
      <c r="C105" s="44" t="s">
        <v>208</v>
      </c>
      <c r="D105" s="45" t="s">
        <v>209</v>
      </c>
      <c r="E105" s="4" t="s">
        <v>17</v>
      </c>
      <c r="F105" s="4"/>
      <c r="G105" s="4"/>
      <c r="H105" s="4"/>
      <c r="I105" s="4"/>
      <c r="J105" s="4"/>
      <c r="K105" s="4"/>
      <c r="L105" s="4"/>
      <c r="M105" s="9">
        <f t="shared" si="213"/>
        <v>0</v>
      </c>
      <c r="N105" s="76"/>
      <c r="O105" s="76"/>
      <c r="P105" s="76">
        <v>530000</v>
      </c>
      <c r="Q105" s="76">
        <v>975000</v>
      </c>
      <c r="R105" s="4">
        <f>225000+225000+225000+225000+150000</f>
        <v>1050000</v>
      </c>
      <c r="S105" s="4">
        <f>1475000+480000</f>
        <v>1955000</v>
      </c>
      <c r="T105" s="4">
        <f>790000+600000+200000+400000+400000</f>
        <v>2390000</v>
      </c>
      <c r="U105" s="9">
        <f t="shared" si="214"/>
        <v>6900000</v>
      </c>
      <c r="V105" s="20"/>
      <c r="W105" s="20"/>
      <c r="X105" s="4"/>
      <c r="Y105" s="20"/>
      <c r="Z105" s="20"/>
      <c r="AA105" s="20"/>
      <c r="AB105" s="20"/>
      <c r="AC105" s="9">
        <f t="shared" si="215"/>
        <v>0</v>
      </c>
      <c r="AD105" s="20"/>
      <c r="AE105" s="25"/>
      <c r="AF105" s="25"/>
      <c r="AG105" s="25"/>
      <c r="AH105" s="20"/>
      <c r="AI105" s="20"/>
      <c r="AJ105" s="20"/>
      <c r="AK105" s="21">
        <f t="shared" si="216"/>
        <v>0</v>
      </c>
      <c r="AL105" s="25">
        <v>0</v>
      </c>
      <c r="AM105" s="20"/>
      <c r="AN105" s="20"/>
      <c r="AO105" s="20"/>
      <c r="AP105" s="21">
        <f t="shared" si="217"/>
        <v>0</v>
      </c>
      <c r="AQ105" s="25"/>
      <c r="AR105" s="20"/>
      <c r="AS105" s="20"/>
      <c r="AT105" s="20"/>
      <c r="AU105" s="21">
        <f t="shared" si="218"/>
        <v>0</v>
      </c>
      <c r="AV105" s="25"/>
      <c r="AW105" s="25"/>
      <c r="AX105" s="25"/>
      <c r="AY105" s="25"/>
      <c r="AZ105" s="20"/>
      <c r="BA105" s="20"/>
      <c r="BB105" s="20"/>
      <c r="BC105" s="21">
        <f t="shared" si="219"/>
        <v>0</v>
      </c>
      <c r="BD105" s="4">
        <f t="shared" si="220"/>
        <v>0</v>
      </c>
      <c r="BE105" s="4">
        <f t="shared" si="221"/>
        <v>0</v>
      </c>
      <c r="BF105" s="4">
        <f t="shared" si="222"/>
        <v>530000</v>
      </c>
      <c r="BG105" s="4">
        <f t="shared" si="223"/>
        <v>975000</v>
      </c>
      <c r="BH105" s="94">
        <f t="shared" si="224"/>
        <v>1050000</v>
      </c>
      <c r="BI105" s="94">
        <f t="shared" si="225"/>
        <v>1955000</v>
      </c>
      <c r="BJ105" s="94">
        <f t="shared" si="226"/>
        <v>2390000</v>
      </c>
      <c r="BK105" s="9">
        <f t="shared" si="227"/>
        <v>6900000</v>
      </c>
    </row>
    <row r="106" spans="1:63" ht="31.5">
      <c r="A106" s="186"/>
      <c r="B106" s="8">
        <v>22</v>
      </c>
      <c r="C106" s="1" t="s">
        <v>210</v>
      </c>
      <c r="D106" s="4" t="s">
        <v>211</v>
      </c>
      <c r="E106" s="4" t="s">
        <v>17</v>
      </c>
      <c r="F106" s="4">
        <v>155000</v>
      </c>
      <c r="G106" s="4">
        <v>501565</v>
      </c>
      <c r="H106" s="4">
        <f>544500+110000</f>
        <v>654500</v>
      </c>
      <c r="I106" s="4">
        <f>220000+20000</f>
        <v>240000</v>
      </c>
      <c r="J106" s="4"/>
      <c r="K106" s="4"/>
      <c r="L106" s="4"/>
      <c r="M106" s="9">
        <f t="shared" si="213"/>
        <v>1551065</v>
      </c>
      <c r="N106" s="76"/>
      <c r="O106" s="76">
        <v>290000</v>
      </c>
      <c r="P106" s="76">
        <v>870000</v>
      </c>
      <c r="Q106" s="76">
        <v>250000</v>
      </c>
      <c r="R106" s="4"/>
      <c r="S106" s="4"/>
      <c r="T106" s="4"/>
      <c r="U106" s="9">
        <f t="shared" si="214"/>
        <v>1410000</v>
      </c>
      <c r="V106" s="20"/>
      <c r="W106" s="20"/>
      <c r="X106" s="4"/>
      <c r="Y106" s="20"/>
      <c r="Z106" s="20"/>
      <c r="AA106" s="20"/>
      <c r="AB106" s="20"/>
      <c r="AC106" s="9">
        <f t="shared" si="215"/>
        <v>0</v>
      </c>
      <c r="AD106" s="20"/>
      <c r="AE106" s="25">
        <v>1475506</v>
      </c>
      <c r="AF106" s="25">
        <v>557750</v>
      </c>
      <c r="AG106" s="25">
        <v>270000</v>
      </c>
      <c r="AH106" s="20"/>
      <c r="AI106" s="20"/>
      <c r="AJ106" s="20"/>
      <c r="AK106" s="21">
        <f t="shared" si="216"/>
        <v>2303256</v>
      </c>
      <c r="AL106" s="25">
        <v>1155000</v>
      </c>
      <c r="AM106" s="20">
        <f>105000+304500+203000+399000+10500+210000</f>
        <v>1232000</v>
      </c>
      <c r="AN106" s="20">
        <f>1344000+282000+141000</f>
        <v>1767000</v>
      </c>
      <c r="AO106" s="20">
        <v>1765000</v>
      </c>
      <c r="AP106" s="21">
        <f t="shared" si="217"/>
        <v>5919000</v>
      </c>
      <c r="AQ106" s="25"/>
      <c r="AR106" s="20"/>
      <c r="AS106" s="20"/>
      <c r="AT106" s="20"/>
      <c r="AU106" s="21">
        <f t="shared" si="218"/>
        <v>0</v>
      </c>
      <c r="AV106" s="25"/>
      <c r="AW106" s="25">
        <v>100000</v>
      </c>
      <c r="AX106" s="25">
        <v>276000</v>
      </c>
      <c r="AY106" s="25"/>
      <c r="AZ106" s="20"/>
      <c r="BA106" s="20"/>
      <c r="BB106" s="20"/>
      <c r="BC106" s="21">
        <f t="shared" si="219"/>
        <v>376000</v>
      </c>
      <c r="BD106" s="4">
        <f t="shared" si="220"/>
        <v>155000</v>
      </c>
      <c r="BE106" s="4">
        <f t="shared" si="221"/>
        <v>2367071</v>
      </c>
      <c r="BF106" s="4">
        <f t="shared" si="222"/>
        <v>2358250</v>
      </c>
      <c r="BG106" s="4">
        <f t="shared" si="223"/>
        <v>1915000</v>
      </c>
      <c r="BH106" s="94">
        <f t="shared" si="224"/>
        <v>1232000</v>
      </c>
      <c r="BI106" s="94">
        <f t="shared" si="225"/>
        <v>1767000</v>
      </c>
      <c r="BJ106" s="94">
        <f t="shared" si="226"/>
        <v>1765000</v>
      </c>
      <c r="BK106" s="9">
        <f t="shared" si="227"/>
        <v>11559321</v>
      </c>
    </row>
    <row r="107" spans="1:63" ht="31.5">
      <c r="A107" s="186"/>
      <c r="B107" s="8">
        <v>23</v>
      </c>
      <c r="C107" s="1" t="s">
        <v>212</v>
      </c>
      <c r="D107" s="4" t="s">
        <v>213</v>
      </c>
      <c r="E107" s="4" t="s">
        <v>17</v>
      </c>
      <c r="F107" s="4"/>
      <c r="G107" s="4"/>
      <c r="H107" s="4">
        <v>155000</v>
      </c>
      <c r="I107" s="4"/>
      <c r="J107" s="4"/>
      <c r="K107" s="4"/>
      <c r="L107" s="4"/>
      <c r="M107" s="9">
        <f t="shared" si="213"/>
        <v>155000</v>
      </c>
      <c r="N107" s="76"/>
      <c r="O107" s="76">
        <v>890000</v>
      </c>
      <c r="P107" s="76">
        <v>580000</v>
      </c>
      <c r="Q107" s="76"/>
      <c r="R107" s="4"/>
      <c r="S107" s="4"/>
      <c r="T107" s="4"/>
      <c r="U107" s="9">
        <f t="shared" si="214"/>
        <v>1470000</v>
      </c>
      <c r="V107" s="20"/>
      <c r="W107" s="20"/>
      <c r="X107" s="4"/>
      <c r="Y107" s="20"/>
      <c r="Z107" s="20"/>
      <c r="AA107" s="20"/>
      <c r="AB107" s="20"/>
      <c r="AC107" s="9">
        <f t="shared" si="215"/>
        <v>0</v>
      </c>
      <c r="AD107" s="20"/>
      <c r="AE107" s="25">
        <v>413250</v>
      </c>
      <c r="AF107" s="25">
        <v>548050</v>
      </c>
      <c r="AG107" s="25"/>
      <c r="AH107" s="20"/>
      <c r="AI107" s="20"/>
      <c r="AJ107" s="20"/>
      <c r="AK107" s="21">
        <f t="shared" si="216"/>
        <v>961300</v>
      </c>
      <c r="AL107" s="25">
        <v>0</v>
      </c>
      <c r="AM107" s="20"/>
      <c r="AN107" s="20"/>
      <c r="AO107" s="20"/>
      <c r="AP107" s="21">
        <f t="shared" si="217"/>
        <v>0</v>
      </c>
      <c r="AQ107" s="25"/>
      <c r="AR107" s="20"/>
      <c r="AS107" s="20"/>
      <c r="AT107" s="20"/>
      <c r="AU107" s="21">
        <f t="shared" si="218"/>
        <v>0</v>
      </c>
      <c r="AV107" s="25"/>
      <c r="AW107" s="25"/>
      <c r="AX107" s="25"/>
      <c r="AY107" s="25"/>
      <c r="AZ107" s="20"/>
      <c r="BA107" s="20"/>
      <c r="BB107" s="20"/>
      <c r="BC107" s="21">
        <f t="shared" si="219"/>
        <v>0</v>
      </c>
      <c r="BD107" s="4">
        <f t="shared" si="220"/>
        <v>0</v>
      </c>
      <c r="BE107" s="4">
        <f t="shared" si="221"/>
        <v>1303250</v>
      </c>
      <c r="BF107" s="4">
        <f t="shared" si="222"/>
        <v>1283050</v>
      </c>
      <c r="BG107" s="4">
        <f t="shared" si="223"/>
        <v>0</v>
      </c>
      <c r="BH107" s="94">
        <f t="shared" si="224"/>
        <v>0</v>
      </c>
      <c r="BI107" s="94">
        <f t="shared" si="225"/>
        <v>0</v>
      </c>
      <c r="BJ107" s="94">
        <f t="shared" si="226"/>
        <v>0</v>
      </c>
      <c r="BK107" s="9">
        <f t="shared" si="227"/>
        <v>2586300</v>
      </c>
    </row>
    <row r="108" spans="1:63" ht="31.5">
      <c r="A108" s="186"/>
      <c r="B108" s="8">
        <v>24</v>
      </c>
      <c r="C108" s="1" t="s">
        <v>214</v>
      </c>
      <c r="D108" s="4" t="s">
        <v>187</v>
      </c>
      <c r="E108" s="4" t="s">
        <v>17</v>
      </c>
      <c r="F108" s="4"/>
      <c r="G108" s="4">
        <v>155000</v>
      </c>
      <c r="H108" s="4">
        <f>52983+660000</f>
        <v>712983</v>
      </c>
      <c r="I108" s="4"/>
      <c r="J108" s="4"/>
      <c r="K108" s="4"/>
      <c r="L108" s="4">
        <v>140000</v>
      </c>
      <c r="M108" s="9">
        <f t="shared" si="213"/>
        <v>1007983</v>
      </c>
      <c r="N108" s="76"/>
      <c r="O108" s="76">
        <v>1420000</v>
      </c>
      <c r="P108" s="76">
        <v>200000</v>
      </c>
      <c r="Q108" s="76"/>
      <c r="R108" s="4"/>
      <c r="S108" s="4"/>
      <c r="T108" s="4">
        <v>350000</v>
      </c>
      <c r="U108" s="9">
        <f t="shared" si="214"/>
        <v>1970000</v>
      </c>
      <c r="V108" s="20"/>
      <c r="W108" s="22">
        <v>1228000</v>
      </c>
      <c r="X108" s="4">
        <v>182000</v>
      </c>
      <c r="Y108" s="23">
        <v>720000</v>
      </c>
      <c r="Z108" s="23"/>
      <c r="AA108" s="23"/>
      <c r="AB108" s="23"/>
      <c r="AC108" s="9">
        <f t="shared" si="215"/>
        <v>2130000</v>
      </c>
      <c r="AD108" s="20"/>
      <c r="AE108" s="25">
        <v>592700</v>
      </c>
      <c r="AF108" s="25">
        <v>530500</v>
      </c>
      <c r="AG108" s="25">
        <v>900000</v>
      </c>
      <c r="AH108" s="20">
        <f>210000+210000+210000+350000</f>
        <v>980000</v>
      </c>
      <c r="AI108" s="20">
        <f>883000+180150+92000</f>
        <v>1155150</v>
      </c>
      <c r="AJ108" s="20">
        <v>1117250</v>
      </c>
      <c r="AK108" s="21">
        <f t="shared" si="216"/>
        <v>5275600</v>
      </c>
      <c r="AL108" s="25">
        <v>0</v>
      </c>
      <c r="AM108" s="20"/>
      <c r="AN108" s="20"/>
      <c r="AO108" s="20"/>
      <c r="AP108" s="21">
        <f t="shared" si="217"/>
        <v>0</v>
      </c>
      <c r="AQ108" s="25"/>
      <c r="AR108" s="20"/>
      <c r="AS108" s="20"/>
      <c r="AT108" s="20"/>
      <c r="AU108" s="21">
        <f t="shared" si="218"/>
        <v>0</v>
      </c>
      <c r="AV108" s="25"/>
      <c r="AW108" s="25">
        <v>100000</v>
      </c>
      <c r="AX108" s="25">
        <v>276000</v>
      </c>
      <c r="AY108" s="25"/>
      <c r="AZ108" s="20"/>
      <c r="BA108" s="20"/>
      <c r="BB108" s="20"/>
      <c r="BC108" s="21">
        <f t="shared" si="219"/>
        <v>376000</v>
      </c>
      <c r="BD108" s="4">
        <f t="shared" si="220"/>
        <v>0</v>
      </c>
      <c r="BE108" s="4">
        <f t="shared" si="221"/>
        <v>3495700</v>
      </c>
      <c r="BF108" s="4">
        <f t="shared" si="222"/>
        <v>1901483</v>
      </c>
      <c r="BG108" s="4">
        <f t="shared" si="223"/>
        <v>1620000</v>
      </c>
      <c r="BH108" s="94">
        <f t="shared" si="224"/>
        <v>980000</v>
      </c>
      <c r="BI108" s="94">
        <f t="shared" si="225"/>
        <v>1155150</v>
      </c>
      <c r="BJ108" s="94">
        <f t="shared" si="226"/>
        <v>1607250</v>
      </c>
      <c r="BK108" s="9">
        <f t="shared" si="227"/>
        <v>10759583</v>
      </c>
    </row>
    <row r="109" spans="1:63">
      <c r="A109" s="186"/>
      <c r="B109" s="8">
        <v>25</v>
      </c>
      <c r="C109" s="1" t="s">
        <v>215</v>
      </c>
      <c r="D109" s="4" t="s">
        <v>209</v>
      </c>
      <c r="E109" s="4" t="s">
        <v>17</v>
      </c>
      <c r="F109" s="4"/>
      <c r="G109" s="4"/>
      <c r="H109" s="4"/>
      <c r="I109" s="4"/>
      <c r="J109" s="4"/>
      <c r="K109" s="4"/>
      <c r="L109" s="4"/>
      <c r="M109" s="9">
        <f t="shared" si="213"/>
        <v>0</v>
      </c>
      <c r="N109" s="4"/>
      <c r="O109" s="4"/>
      <c r="P109" s="4"/>
      <c r="Q109" s="4"/>
      <c r="R109" s="4"/>
      <c r="S109" s="4"/>
      <c r="T109" s="4"/>
      <c r="U109" s="9">
        <f t="shared" si="214"/>
        <v>0</v>
      </c>
      <c r="V109" s="20"/>
      <c r="W109" s="22">
        <v>864000</v>
      </c>
      <c r="X109" s="4">
        <v>1078000</v>
      </c>
      <c r="Y109" s="22">
        <v>1045000</v>
      </c>
      <c r="Z109" s="22">
        <f>150000+225000+225000+225000+150000</f>
        <v>975000</v>
      </c>
      <c r="AA109" s="22">
        <f>1020000+315000</f>
        <v>1335000</v>
      </c>
      <c r="AB109" s="22">
        <f>105000+315000+210000+105000+105000+105000</f>
        <v>945000</v>
      </c>
      <c r="AC109" s="9">
        <f t="shared" si="215"/>
        <v>6242000</v>
      </c>
      <c r="AD109" s="20"/>
      <c r="AE109" s="25"/>
      <c r="AF109" s="25">
        <v>453700</v>
      </c>
      <c r="AG109" s="25">
        <v>180000</v>
      </c>
      <c r="AH109" s="20"/>
      <c r="AI109" s="20"/>
      <c r="AJ109" s="20"/>
      <c r="AK109" s="21">
        <f t="shared" si="216"/>
        <v>633700</v>
      </c>
      <c r="AL109" s="25">
        <v>0</v>
      </c>
      <c r="AM109" s="20"/>
      <c r="AN109" s="20"/>
      <c r="AO109" s="20"/>
      <c r="AP109" s="21">
        <f t="shared" si="217"/>
        <v>0</v>
      </c>
      <c r="AQ109" s="25"/>
      <c r="AR109" s="20"/>
      <c r="AS109" s="20"/>
      <c r="AT109" s="20"/>
      <c r="AU109" s="21">
        <f t="shared" si="218"/>
        <v>0</v>
      </c>
      <c r="AV109" s="25"/>
      <c r="AW109" s="25"/>
      <c r="AX109" s="25"/>
      <c r="AY109" s="25"/>
      <c r="AZ109" s="20"/>
      <c r="BA109" s="20"/>
      <c r="BB109" s="20"/>
      <c r="BC109" s="21">
        <f t="shared" si="219"/>
        <v>0</v>
      </c>
      <c r="BD109" s="4">
        <f t="shared" si="220"/>
        <v>0</v>
      </c>
      <c r="BE109" s="4">
        <f t="shared" si="221"/>
        <v>864000</v>
      </c>
      <c r="BF109" s="4">
        <f t="shared" si="222"/>
        <v>1531700</v>
      </c>
      <c r="BG109" s="4">
        <f t="shared" si="223"/>
        <v>1225000</v>
      </c>
      <c r="BH109" s="94">
        <f t="shared" si="224"/>
        <v>975000</v>
      </c>
      <c r="BI109" s="94">
        <f t="shared" si="225"/>
        <v>1335000</v>
      </c>
      <c r="BJ109" s="94">
        <f t="shared" si="226"/>
        <v>945000</v>
      </c>
      <c r="BK109" s="9">
        <f t="shared" si="227"/>
        <v>6875700</v>
      </c>
    </row>
    <row r="110" spans="1:63" ht="47.25">
      <c r="A110" s="186"/>
      <c r="B110" s="8">
        <v>26</v>
      </c>
      <c r="C110" s="1" t="s">
        <v>217</v>
      </c>
      <c r="D110" s="4" t="s">
        <v>211</v>
      </c>
      <c r="E110" s="4" t="s">
        <v>17</v>
      </c>
      <c r="F110" s="4"/>
      <c r="G110" s="4"/>
      <c r="H110" s="4">
        <f>155000+52903</f>
        <v>207903</v>
      </c>
      <c r="I110" s="4">
        <v>270000</v>
      </c>
      <c r="J110" s="4">
        <f>101500+86500+151500+31000+62000</f>
        <v>432500</v>
      </c>
      <c r="K110" s="4">
        <f>412685+76200+38000</f>
        <v>526885</v>
      </c>
      <c r="L110" s="4">
        <v>584030</v>
      </c>
      <c r="M110" s="9">
        <f t="shared" si="213"/>
        <v>2021318</v>
      </c>
      <c r="N110" s="4"/>
      <c r="O110" s="4"/>
      <c r="P110" s="4"/>
      <c r="Q110" s="4"/>
      <c r="R110" s="4"/>
      <c r="S110" s="4"/>
      <c r="T110" s="4"/>
      <c r="U110" s="9">
        <f t="shared" si="214"/>
        <v>0</v>
      </c>
      <c r="V110" s="20"/>
      <c r="W110" s="20"/>
      <c r="X110" s="20"/>
      <c r="Y110" s="20"/>
      <c r="Z110" s="20"/>
      <c r="AA110" s="20"/>
      <c r="AB110" s="20"/>
      <c r="AC110" s="9">
        <f t="shared" si="215"/>
        <v>0</v>
      </c>
      <c r="AD110" s="20"/>
      <c r="AE110" s="20"/>
      <c r="AF110" s="20"/>
      <c r="AG110" s="20"/>
      <c r="AH110" s="20"/>
      <c r="AI110" s="20"/>
      <c r="AJ110" s="20"/>
      <c r="AK110" s="21">
        <f t="shared" si="216"/>
        <v>0</v>
      </c>
      <c r="AL110" s="25">
        <v>0</v>
      </c>
      <c r="AM110" s="20"/>
      <c r="AN110" s="20"/>
      <c r="AO110" s="20"/>
      <c r="AP110" s="21">
        <f t="shared" si="217"/>
        <v>0</v>
      </c>
      <c r="AQ110" s="25"/>
      <c r="AR110" s="20"/>
      <c r="AS110" s="20"/>
      <c r="AT110" s="20"/>
      <c r="AU110" s="21">
        <f t="shared" si="218"/>
        <v>0</v>
      </c>
      <c r="AV110" s="25"/>
      <c r="AW110" s="25"/>
      <c r="AX110" s="25"/>
      <c r="AY110" s="25"/>
      <c r="AZ110" s="20"/>
      <c r="BA110" s="20"/>
      <c r="BB110" s="20"/>
      <c r="BC110" s="21">
        <f t="shared" si="219"/>
        <v>0</v>
      </c>
      <c r="BD110" s="4">
        <f t="shared" si="220"/>
        <v>0</v>
      </c>
      <c r="BE110" s="4">
        <f t="shared" si="221"/>
        <v>0</v>
      </c>
      <c r="BF110" s="4">
        <f t="shared" si="222"/>
        <v>207903</v>
      </c>
      <c r="BG110" s="4">
        <f t="shared" si="223"/>
        <v>270000</v>
      </c>
      <c r="BH110" s="94">
        <f t="shared" si="224"/>
        <v>432500</v>
      </c>
      <c r="BI110" s="94">
        <f t="shared" si="225"/>
        <v>526885</v>
      </c>
      <c r="BJ110" s="94">
        <f t="shared" si="226"/>
        <v>584030</v>
      </c>
      <c r="BK110" s="9">
        <f t="shared" si="227"/>
        <v>2021318</v>
      </c>
    </row>
    <row r="111" spans="1:63">
      <c r="A111" s="186"/>
      <c r="B111" s="8">
        <v>27</v>
      </c>
      <c r="C111" s="1" t="s">
        <v>218</v>
      </c>
      <c r="D111" s="4" t="s">
        <v>193</v>
      </c>
      <c r="E111" s="4" t="s">
        <v>17</v>
      </c>
      <c r="F111" s="4"/>
      <c r="G111" s="4"/>
      <c r="H111" s="4"/>
      <c r="I111" s="4"/>
      <c r="J111" s="4"/>
      <c r="K111" s="4"/>
      <c r="L111" s="4"/>
      <c r="M111" s="9">
        <f t="shared" si="213"/>
        <v>0</v>
      </c>
      <c r="N111" s="4"/>
      <c r="O111" s="4"/>
      <c r="P111" s="4"/>
      <c r="Q111" s="4"/>
      <c r="R111" s="4"/>
      <c r="S111" s="4"/>
      <c r="T111" s="4"/>
      <c r="U111" s="9">
        <f t="shared" si="214"/>
        <v>0</v>
      </c>
      <c r="V111" s="20"/>
      <c r="W111" s="20"/>
      <c r="X111" s="20"/>
      <c r="Y111" s="20"/>
      <c r="Z111" s="20"/>
      <c r="AA111" s="20"/>
      <c r="AB111" s="20"/>
      <c r="AC111" s="9">
        <f t="shared" si="215"/>
        <v>0</v>
      </c>
      <c r="AD111" s="20"/>
      <c r="AE111" s="25">
        <v>340500</v>
      </c>
      <c r="AF111" s="25">
        <v>455900</v>
      </c>
      <c r="AG111" s="25">
        <v>-230000</v>
      </c>
      <c r="AH111" s="20"/>
      <c r="AI111" s="20"/>
      <c r="AJ111" s="20"/>
      <c r="AK111" s="21">
        <f t="shared" si="216"/>
        <v>566400</v>
      </c>
      <c r="AL111" s="25">
        <v>0</v>
      </c>
      <c r="AM111" s="20"/>
      <c r="AN111" s="20"/>
      <c r="AO111" s="20"/>
      <c r="AP111" s="21">
        <f t="shared" si="217"/>
        <v>0</v>
      </c>
      <c r="AQ111" s="25"/>
      <c r="AR111" s="20"/>
      <c r="AS111" s="20"/>
      <c r="AT111" s="20"/>
      <c r="AU111" s="21">
        <f t="shared" si="218"/>
        <v>0</v>
      </c>
      <c r="AV111" s="25"/>
      <c r="AW111" s="25"/>
      <c r="AX111" s="25"/>
      <c r="AY111" s="25"/>
      <c r="AZ111" s="20"/>
      <c r="BA111" s="20"/>
      <c r="BB111" s="20"/>
      <c r="BC111" s="21">
        <f t="shared" si="219"/>
        <v>0</v>
      </c>
      <c r="BD111" s="4">
        <f t="shared" si="220"/>
        <v>0</v>
      </c>
      <c r="BE111" s="4">
        <f t="shared" si="221"/>
        <v>340500</v>
      </c>
      <c r="BF111" s="4">
        <f t="shared" si="222"/>
        <v>455900</v>
      </c>
      <c r="BG111" s="4">
        <f t="shared" si="223"/>
        <v>-230000</v>
      </c>
      <c r="BH111" s="94">
        <f t="shared" si="224"/>
        <v>0</v>
      </c>
      <c r="BI111" s="94">
        <f t="shared" si="225"/>
        <v>0</v>
      </c>
      <c r="BJ111" s="94">
        <f t="shared" si="226"/>
        <v>0</v>
      </c>
      <c r="BK111" s="9">
        <f t="shared" si="227"/>
        <v>566400</v>
      </c>
    </row>
    <row r="112" spans="1:63">
      <c r="A112" s="186"/>
      <c r="B112" s="8">
        <v>28</v>
      </c>
      <c r="C112" s="1" t="s">
        <v>219</v>
      </c>
      <c r="D112" s="4" t="s">
        <v>185</v>
      </c>
      <c r="E112" s="4" t="s">
        <v>17</v>
      </c>
      <c r="F112" s="4"/>
      <c r="G112" s="4">
        <v>155000</v>
      </c>
      <c r="H112" s="4">
        <v>108928</v>
      </c>
      <c r="I112" s="4"/>
      <c r="J112" s="4"/>
      <c r="K112" s="4"/>
      <c r="L112" s="4">
        <v>412500</v>
      </c>
      <c r="M112" s="9">
        <f t="shared" si="213"/>
        <v>676428</v>
      </c>
      <c r="N112" s="76"/>
      <c r="O112" s="76">
        <v>450000</v>
      </c>
      <c r="P112" s="76">
        <v>720000</v>
      </c>
      <c r="Q112" s="76"/>
      <c r="R112" s="4"/>
      <c r="S112" s="4"/>
      <c r="T112" s="4">
        <v>200000</v>
      </c>
      <c r="U112" s="9">
        <f t="shared" si="214"/>
        <v>1370000</v>
      </c>
      <c r="V112" s="20"/>
      <c r="W112" s="20"/>
      <c r="X112" s="20"/>
      <c r="Y112" s="20"/>
      <c r="Z112" s="20"/>
      <c r="AA112" s="20"/>
      <c r="AB112" s="20"/>
      <c r="AC112" s="9">
        <f t="shared" si="215"/>
        <v>0</v>
      </c>
      <c r="AD112" s="20"/>
      <c r="AE112" s="25">
        <v>519950</v>
      </c>
      <c r="AF112" s="25">
        <v>349200</v>
      </c>
      <c r="AG112" s="25"/>
      <c r="AH112" s="20"/>
      <c r="AI112" s="20"/>
      <c r="AJ112" s="20">
        <v>116400</v>
      </c>
      <c r="AK112" s="21">
        <f t="shared" si="216"/>
        <v>985550</v>
      </c>
      <c r="AL112" s="25">
        <v>0</v>
      </c>
      <c r="AM112" s="20"/>
      <c r="AN112" s="20"/>
      <c r="AO112" s="20"/>
      <c r="AP112" s="21">
        <f t="shared" si="217"/>
        <v>0</v>
      </c>
      <c r="AQ112" s="25"/>
      <c r="AR112" s="20"/>
      <c r="AS112" s="20"/>
      <c r="AT112" s="20"/>
      <c r="AU112" s="21">
        <f t="shared" si="218"/>
        <v>0</v>
      </c>
      <c r="AV112" s="25"/>
      <c r="AW112" s="25"/>
      <c r="AX112" s="25"/>
      <c r="AY112" s="25"/>
      <c r="AZ112" s="20"/>
      <c r="BA112" s="20"/>
      <c r="BB112" s="20"/>
      <c r="BC112" s="21">
        <f t="shared" si="219"/>
        <v>0</v>
      </c>
      <c r="BD112" s="4">
        <f t="shared" si="220"/>
        <v>0</v>
      </c>
      <c r="BE112" s="4">
        <f t="shared" si="221"/>
        <v>1124950</v>
      </c>
      <c r="BF112" s="4">
        <f t="shared" si="222"/>
        <v>1178128</v>
      </c>
      <c r="BG112" s="4">
        <f t="shared" si="223"/>
        <v>0</v>
      </c>
      <c r="BH112" s="94">
        <f t="shared" si="224"/>
        <v>0</v>
      </c>
      <c r="BI112" s="94">
        <f t="shared" si="225"/>
        <v>0</v>
      </c>
      <c r="BJ112" s="94">
        <f t="shared" si="226"/>
        <v>728900</v>
      </c>
      <c r="BK112" s="9">
        <f t="shared" si="227"/>
        <v>3031978</v>
      </c>
    </row>
    <row r="113" spans="1:63">
      <c r="A113" s="186"/>
      <c r="B113" s="8">
        <v>29</v>
      </c>
      <c r="C113" s="1" t="s">
        <v>428</v>
      </c>
      <c r="D113" s="4" t="s">
        <v>187</v>
      </c>
      <c r="E113" s="4" t="s">
        <v>17</v>
      </c>
      <c r="F113" s="4"/>
      <c r="G113" s="4"/>
      <c r="H113" s="4">
        <v>155000</v>
      </c>
      <c r="I113" s="4">
        <f>60000+120000</f>
        <v>180000</v>
      </c>
      <c r="J113" s="4"/>
      <c r="K113" s="4"/>
      <c r="L113" s="4"/>
      <c r="M113" s="9">
        <f t="shared" si="213"/>
        <v>335000</v>
      </c>
      <c r="N113" s="4"/>
      <c r="O113" s="4"/>
      <c r="P113" s="4"/>
      <c r="Q113" s="4"/>
      <c r="R113" s="4"/>
      <c r="S113" s="4"/>
      <c r="T113" s="4"/>
      <c r="U113" s="9">
        <f t="shared" si="214"/>
        <v>0</v>
      </c>
      <c r="V113" s="20"/>
      <c r="W113" s="20"/>
      <c r="X113" s="20"/>
      <c r="Y113" s="20"/>
      <c r="Z113" s="20"/>
      <c r="AA113" s="20"/>
      <c r="AB113" s="20"/>
      <c r="AC113" s="9">
        <f t="shared" si="215"/>
        <v>0</v>
      </c>
      <c r="AD113" s="20"/>
      <c r="AE113" s="20">
        <v>195000</v>
      </c>
      <c r="AF113" s="25">
        <v>446200</v>
      </c>
      <c r="AG113" s="25">
        <v>240000</v>
      </c>
      <c r="AH113" s="20"/>
      <c r="AI113" s="20"/>
      <c r="AJ113" s="20"/>
      <c r="AK113" s="21">
        <f t="shared" si="216"/>
        <v>881200</v>
      </c>
      <c r="AL113" s="25">
        <v>945000</v>
      </c>
      <c r="AM113" s="20">
        <f>630000+315000+525000</f>
        <v>1470000</v>
      </c>
      <c r="AN113" s="20">
        <f>1359000+282000+141000</f>
        <v>1782000</v>
      </c>
      <c r="AO113" s="20">
        <v>1269000</v>
      </c>
      <c r="AP113" s="21">
        <f t="shared" si="217"/>
        <v>5466000</v>
      </c>
      <c r="AQ113" s="25"/>
      <c r="AR113" s="20"/>
      <c r="AS113" s="20"/>
      <c r="AT113" s="20"/>
      <c r="AU113" s="21">
        <f t="shared" si="218"/>
        <v>0</v>
      </c>
      <c r="AV113" s="25"/>
      <c r="AW113" s="25"/>
      <c r="AX113" s="25"/>
      <c r="AY113" s="25"/>
      <c r="AZ113" s="20"/>
      <c r="BA113" s="20"/>
      <c r="BB113" s="20"/>
      <c r="BC113" s="21">
        <f t="shared" si="219"/>
        <v>0</v>
      </c>
      <c r="BD113" s="4">
        <f t="shared" si="220"/>
        <v>0</v>
      </c>
      <c r="BE113" s="4">
        <f t="shared" si="221"/>
        <v>195000</v>
      </c>
      <c r="BF113" s="4">
        <f t="shared" si="222"/>
        <v>601200</v>
      </c>
      <c r="BG113" s="4">
        <f t="shared" si="223"/>
        <v>1365000</v>
      </c>
      <c r="BH113" s="94">
        <f t="shared" si="224"/>
        <v>1470000</v>
      </c>
      <c r="BI113" s="94">
        <f t="shared" si="225"/>
        <v>1782000</v>
      </c>
      <c r="BJ113" s="94">
        <f t="shared" si="226"/>
        <v>1269000</v>
      </c>
      <c r="BK113" s="9">
        <f t="shared" si="227"/>
        <v>6682200</v>
      </c>
    </row>
    <row r="114" spans="1:63">
      <c r="A114" s="186"/>
      <c r="B114" s="8">
        <v>30</v>
      </c>
      <c r="C114" s="1" t="s">
        <v>221</v>
      </c>
      <c r="D114" s="4" t="s">
        <v>222</v>
      </c>
      <c r="E114" s="4" t="s">
        <v>17</v>
      </c>
      <c r="F114" s="4"/>
      <c r="G114" s="4"/>
      <c r="H114" s="4">
        <v>155000</v>
      </c>
      <c r="I114" s="4">
        <f>40000+96000</f>
        <v>136000</v>
      </c>
      <c r="J114" s="4"/>
      <c r="K114" s="4"/>
      <c r="L114" s="4"/>
      <c r="M114" s="9">
        <f t="shared" si="213"/>
        <v>291000</v>
      </c>
      <c r="N114" s="4"/>
      <c r="O114" s="4"/>
      <c r="P114" s="4"/>
      <c r="Q114" s="4"/>
      <c r="R114" s="4"/>
      <c r="S114" s="4"/>
      <c r="T114" s="4"/>
      <c r="U114" s="9">
        <f t="shared" si="214"/>
        <v>0</v>
      </c>
      <c r="V114" s="20"/>
      <c r="W114" s="20"/>
      <c r="X114" s="20"/>
      <c r="Y114" s="20"/>
      <c r="Z114" s="20"/>
      <c r="AA114" s="20"/>
      <c r="AB114" s="20"/>
      <c r="AC114" s="9">
        <f t="shared" si="215"/>
        <v>0</v>
      </c>
      <c r="AD114" s="20"/>
      <c r="AE114" s="20"/>
      <c r="AF114" s="25">
        <v>195000</v>
      </c>
      <c r="AG114" s="25">
        <v>182000</v>
      </c>
      <c r="AH114" s="20"/>
      <c r="AI114" s="20"/>
      <c r="AJ114" s="20"/>
      <c r="AK114" s="21">
        <f t="shared" si="216"/>
        <v>377000</v>
      </c>
      <c r="AL114" s="25">
        <v>945000</v>
      </c>
      <c r="AM114" s="20">
        <f>315000+234500+280000+283500+196000</f>
        <v>1309000</v>
      </c>
      <c r="AN114" s="20">
        <f>1294400+312000+156000</f>
        <v>1762400</v>
      </c>
      <c r="AO114" s="20">
        <v>1862000</v>
      </c>
      <c r="AP114" s="21">
        <f t="shared" si="217"/>
        <v>5878400</v>
      </c>
      <c r="AQ114" s="25"/>
      <c r="AR114" s="20"/>
      <c r="AS114" s="20"/>
      <c r="AT114" s="20"/>
      <c r="AU114" s="21">
        <f t="shared" si="218"/>
        <v>0</v>
      </c>
      <c r="AV114" s="25"/>
      <c r="AW114" s="25"/>
      <c r="AX114" s="25"/>
      <c r="AY114" s="25"/>
      <c r="AZ114" s="20"/>
      <c r="BA114" s="20"/>
      <c r="BB114" s="20"/>
      <c r="BC114" s="21">
        <f t="shared" si="219"/>
        <v>0</v>
      </c>
      <c r="BD114" s="4">
        <f t="shared" si="220"/>
        <v>0</v>
      </c>
      <c r="BE114" s="4">
        <f t="shared" si="221"/>
        <v>0</v>
      </c>
      <c r="BF114" s="4">
        <f t="shared" si="222"/>
        <v>350000</v>
      </c>
      <c r="BG114" s="4">
        <f t="shared" si="223"/>
        <v>1263000</v>
      </c>
      <c r="BH114" s="94">
        <f t="shared" si="224"/>
        <v>1309000</v>
      </c>
      <c r="BI114" s="94">
        <f t="shared" si="225"/>
        <v>1762400</v>
      </c>
      <c r="BJ114" s="94">
        <f t="shared" si="226"/>
        <v>1862000</v>
      </c>
      <c r="BK114" s="9">
        <f t="shared" si="227"/>
        <v>6546400</v>
      </c>
    </row>
    <row r="115" spans="1:63" ht="31.5">
      <c r="A115" s="187"/>
      <c r="B115" s="8">
        <v>31</v>
      </c>
      <c r="C115" s="1" t="s">
        <v>223</v>
      </c>
      <c r="D115" s="4" t="s">
        <v>224</v>
      </c>
      <c r="E115" s="4" t="s">
        <v>17</v>
      </c>
      <c r="F115" s="4"/>
      <c r="G115" s="4"/>
      <c r="H115" s="4">
        <v>155000</v>
      </c>
      <c r="I115" s="4"/>
      <c r="J115" s="4"/>
      <c r="K115" s="4"/>
      <c r="L115" s="4"/>
      <c r="M115" s="9">
        <f t="shared" si="213"/>
        <v>155000</v>
      </c>
      <c r="N115" s="4"/>
      <c r="O115" s="4"/>
      <c r="P115" s="4"/>
      <c r="Q115" s="4"/>
      <c r="R115" s="4"/>
      <c r="S115" s="4"/>
      <c r="T115" s="4"/>
      <c r="U115" s="9">
        <f t="shared" si="214"/>
        <v>0</v>
      </c>
      <c r="V115" s="20"/>
      <c r="W115" s="20"/>
      <c r="X115" s="4">
        <v>290000</v>
      </c>
      <c r="Y115" s="20"/>
      <c r="Z115" s="20"/>
      <c r="AA115" s="20"/>
      <c r="AB115" s="20"/>
      <c r="AC115" s="9">
        <f t="shared" si="215"/>
        <v>290000</v>
      </c>
      <c r="AD115" s="20"/>
      <c r="AE115" s="20"/>
      <c r="AF115" s="25">
        <v>195000</v>
      </c>
      <c r="AG115" s="25"/>
      <c r="AH115" s="20"/>
      <c r="AI115" s="20"/>
      <c r="AJ115" s="20"/>
      <c r="AK115" s="21">
        <f t="shared" si="216"/>
        <v>195000</v>
      </c>
      <c r="AL115" s="25">
        <v>0</v>
      </c>
      <c r="AM115" s="20"/>
      <c r="AN115" s="20"/>
      <c r="AO115" s="20"/>
      <c r="AP115" s="21">
        <f t="shared" si="217"/>
        <v>0</v>
      </c>
      <c r="AQ115" s="25"/>
      <c r="AR115" s="20"/>
      <c r="AS115" s="20"/>
      <c r="AT115" s="20"/>
      <c r="AU115" s="21">
        <f t="shared" si="218"/>
        <v>0</v>
      </c>
      <c r="AV115" s="25"/>
      <c r="AW115" s="25"/>
      <c r="AX115" s="25"/>
      <c r="AY115" s="25"/>
      <c r="AZ115" s="20"/>
      <c r="BA115" s="20"/>
      <c r="BB115" s="20"/>
      <c r="BC115" s="21">
        <f t="shared" si="219"/>
        <v>0</v>
      </c>
      <c r="BD115" s="4">
        <f t="shared" si="220"/>
        <v>0</v>
      </c>
      <c r="BE115" s="4">
        <f t="shared" si="221"/>
        <v>0</v>
      </c>
      <c r="BF115" s="4">
        <f t="shared" si="222"/>
        <v>640000</v>
      </c>
      <c r="BG115" s="4">
        <f t="shared" si="223"/>
        <v>0</v>
      </c>
      <c r="BH115" s="94">
        <f t="shared" si="224"/>
        <v>0</v>
      </c>
      <c r="BI115" s="94">
        <f t="shared" si="225"/>
        <v>0</v>
      </c>
      <c r="BJ115" s="94">
        <f t="shared" si="226"/>
        <v>0</v>
      </c>
      <c r="BK115" s="9">
        <f t="shared" si="227"/>
        <v>640000</v>
      </c>
    </row>
    <row r="116" spans="1:63" s="38" customFormat="1">
      <c r="A116" s="34"/>
      <c r="B116" s="34"/>
      <c r="C116" s="35" t="s">
        <v>225</v>
      </c>
      <c r="D116" s="37"/>
      <c r="E116" s="37"/>
      <c r="F116" s="37">
        <f>SUM(F85:F115)</f>
        <v>775000</v>
      </c>
      <c r="G116" s="37">
        <f t="shared" ref="G116:BK116" si="228">SUM(G85:G115)</f>
        <v>7149160</v>
      </c>
      <c r="H116" s="37">
        <f t="shared" si="228"/>
        <v>8450814</v>
      </c>
      <c r="I116" s="37">
        <f t="shared" si="228"/>
        <v>2787000</v>
      </c>
      <c r="J116" s="37">
        <f t="shared" si="228"/>
        <v>950500</v>
      </c>
      <c r="K116" s="37">
        <f t="shared" si="228"/>
        <v>1577885</v>
      </c>
      <c r="L116" s="37">
        <f t="shared" ref="L116" si="229">SUM(L85:L115)</f>
        <v>1974530</v>
      </c>
      <c r="M116" s="37">
        <f t="shared" si="228"/>
        <v>23664889</v>
      </c>
      <c r="N116" s="37">
        <f t="shared" si="228"/>
        <v>290000</v>
      </c>
      <c r="O116" s="37">
        <f t="shared" si="228"/>
        <v>12120000</v>
      </c>
      <c r="P116" s="37">
        <f t="shared" si="228"/>
        <v>14070000</v>
      </c>
      <c r="Q116" s="37">
        <f t="shared" si="228"/>
        <v>5605000</v>
      </c>
      <c r="R116" s="37">
        <f t="shared" si="228"/>
        <v>4040000</v>
      </c>
      <c r="S116" s="37">
        <f t="shared" si="228"/>
        <v>8600000</v>
      </c>
      <c r="T116" s="37">
        <f t="shared" ref="T116" si="230">SUM(T85:T115)</f>
        <v>9760000</v>
      </c>
      <c r="U116" s="37">
        <f t="shared" si="228"/>
        <v>54485000</v>
      </c>
      <c r="V116" s="37">
        <f t="shared" si="228"/>
        <v>0</v>
      </c>
      <c r="W116" s="37">
        <f t="shared" si="228"/>
        <v>3302000</v>
      </c>
      <c r="X116" s="37">
        <f t="shared" si="228"/>
        <v>2864000</v>
      </c>
      <c r="Y116" s="37">
        <f t="shared" si="228"/>
        <v>3261000</v>
      </c>
      <c r="Z116" s="37">
        <f t="shared" si="228"/>
        <v>975000</v>
      </c>
      <c r="AA116" s="37">
        <f t="shared" si="228"/>
        <v>1335000</v>
      </c>
      <c r="AB116" s="37">
        <f t="shared" ref="AB116" si="231">SUM(AB85:AB115)</f>
        <v>1177000</v>
      </c>
      <c r="AC116" s="37">
        <f t="shared" si="228"/>
        <v>12914000</v>
      </c>
      <c r="AD116" s="37">
        <f t="shared" si="228"/>
        <v>585000</v>
      </c>
      <c r="AE116" s="37">
        <f t="shared" si="228"/>
        <v>14900906</v>
      </c>
      <c r="AF116" s="37">
        <f t="shared" si="228"/>
        <v>12709450</v>
      </c>
      <c r="AG116" s="37">
        <f t="shared" si="228"/>
        <v>6797000</v>
      </c>
      <c r="AH116" s="37">
        <f t="shared" si="228"/>
        <v>3969000</v>
      </c>
      <c r="AI116" s="37">
        <f t="shared" si="228"/>
        <v>5052550</v>
      </c>
      <c r="AJ116" s="37">
        <f t="shared" ref="AJ116" si="232">SUM(AJ85:AJ115)</f>
        <v>5114900</v>
      </c>
      <c r="AK116" s="37">
        <f t="shared" si="228"/>
        <v>49128806</v>
      </c>
      <c r="AL116" s="37">
        <f t="shared" si="228"/>
        <v>7591000</v>
      </c>
      <c r="AM116" s="37">
        <f t="shared" si="228"/>
        <v>9078500</v>
      </c>
      <c r="AN116" s="37">
        <f t="shared" si="228"/>
        <v>11490455</v>
      </c>
      <c r="AO116" s="37">
        <f t="shared" ref="AO116" si="233">SUM(AO85:AO115)</f>
        <v>11118120</v>
      </c>
      <c r="AP116" s="37">
        <f t="shared" si="228"/>
        <v>39278075</v>
      </c>
      <c r="AQ116" s="37">
        <f t="shared" si="228"/>
        <v>2700000</v>
      </c>
      <c r="AR116" s="37">
        <f t="shared" si="228"/>
        <v>4200000</v>
      </c>
      <c r="AS116" s="37">
        <f t="shared" si="228"/>
        <v>8077500</v>
      </c>
      <c r="AT116" s="37">
        <f t="shared" ref="AT116" si="234">SUM(AT85:AT115)</f>
        <v>8304500</v>
      </c>
      <c r="AU116" s="37">
        <f t="shared" si="228"/>
        <v>23282000</v>
      </c>
      <c r="AV116" s="37">
        <f t="shared" si="228"/>
        <v>0</v>
      </c>
      <c r="AW116" s="37">
        <f t="shared" si="228"/>
        <v>848400</v>
      </c>
      <c r="AX116" s="37">
        <f t="shared" si="228"/>
        <v>2010800</v>
      </c>
      <c r="AY116" s="37">
        <f t="shared" si="228"/>
        <v>208000</v>
      </c>
      <c r="AZ116" s="37">
        <f t="shared" si="228"/>
        <v>0</v>
      </c>
      <c r="BA116" s="37">
        <f t="shared" si="228"/>
        <v>0</v>
      </c>
      <c r="BB116" s="37">
        <f t="shared" ref="BB116" si="235">SUM(BB85:BB115)</f>
        <v>0</v>
      </c>
      <c r="BC116" s="37">
        <f t="shared" si="228"/>
        <v>3067200</v>
      </c>
      <c r="BD116" s="37">
        <f t="shared" si="228"/>
        <v>1650000</v>
      </c>
      <c r="BE116" s="37">
        <f t="shared" si="228"/>
        <v>38320466</v>
      </c>
      <c r="BF116" s="37">
        <f t="shared" si="228"/>
        <v>40105064</v>
      </c>
      <c r="BG116" s="37">
        <f t="shared" si="228"/>
        <v>28949000</v>
      </c>
      <c r="BH116" s="37">
        <f t="shared" si="228"/>
        <v>23213000</v>
      </c>
      <c r="BI116" s="144">
        <f>SUM(BI85:BI115)</f>
        <v>36133390</v>
      </c>
      <c r="BJ116" s="37">
        <f t="shared" ref="BJ116" si="236">SUM(BJ85:BJ115)</f>
        <v>37449050</v>
      </c>
      <c r="BK116" s="37">
        <f t="shared" si="228"/>
        <v>205819970</v>
      </c>
    </row>
    <row r="117" spans="1:63" ht="31.5">
      <c r="A117" s="185" t="s">
        <v>226</v>
      </c>
      <c r="B117" s="8">
        <v>1</v>
      </c>
      <c r="C117" s="1" t="s">
        <v>227</v>
      </c>
      <c r="D117" s="5" t="s">
        <v>228</v>
      </c>
      <c r="E117" s="4" t="s">
        <v>226</v>
      </c>
      <c r="F117" s="4"/>
      <c r="G117" s="4"/>
      <c r="H117" s="5"/>
      <c r="I117" s="4"/>
      <c r="J117" s="4"/>
      <c r="K117" s="4"/>
      <c r="L117" s="4"/>
      <c r="M117" s="9">
        <f t="shared" ref="M117:M120" si="237">SUM(F117:L117)</f>
        <v>0</v>
      </c>
      <c r="N117" s="4"/>
      <c r="O117" s="4"/>
      <c r="P117" s="4"/>
      <c r="Q117" s="4"/>
      <c r="R117" s="4"/>
      <c r="S117" s="4"/>
      <c r="T117" s="4"/>
      <c r="U117" s="9">
        <f t="shared" ref="U117:U120" si="238">SUM(N117:T117)</f>
        <v>0</v>
      </c>
      <c r="V117" s="20">
        <v>290000</v>
      </c>
      <c r="W117" s="20"/>
      <c r="X117" s="4">
        <v>273000</v>
      </c>
      <c r="Y117" s="22">
        <v>252000</v>
      </c>
      <c r="Z117" s="22"/>
      <c r="AA117" s="22"/>
      <c r="AB117" s="22"/>
      <c r="AC117" s="9">
        <f t="shared" ref="AC117:AC120" si="239">SUM(V117:AB117)</f>
        <v>815000</v>
      </c>
      <c r="AD117" s="20"/>
      <c r="AE117" s="20"/>
      <c r="AF117" s="25"/>
      <c r="AG117" s="25"/>
      <c r="AH117" s="20"/>
      <c r="AI117" s="20"/>
      <c r="AJ117" s="20"/>
      <c r="AK117" s="21">
        <f t="shared" ref="AK117:AK120" si="240">SUM(AD117:AJ117)</f>
        <v>0</v>
      </c>
      <c r="AL117" s="25"/>
      <c r="AM117" s="20"/>
      <c r="AN117" s="20"/>
      <c r="AO117" s="20"/>
      <c r="AP117" s="21">
        <f t="shared" ref="AP117:AP120" si="241">SUM(AL117:AO117)</f>
        <v>0</v>
      </c>
      <c r="AQ117" s="25"/>
      <c r="AR117" s="20"/>
      <c r="AS117" s="20"/>
      <c r="AT117" s="20"/>
      <c r="AU117" s="21">
        <f t="shared" ref="AU117:AU120" si="242">SUM(AQ117:AT117)</f>
        <v>0</v>
      </c>
      <c r="AV117" s="25"/>
      <c r="AW117" s="25"/>
      <c r="AX117" s="25"/>
      <c r="AY117" s="25"/>
      <c r="AZ117" s="20"/>
      <c r="BA117" s="20"/>
      <c r="BB117" s="20"/>
      <c r="BC117" s="21">
        <f t="shared" ref="BC117:BC120" si="243">SUM(AV117:BB117)</f>
        <v>0</v>
      </c>
      <c r="BD117" s="4">
        <f t="shared" ref="BD117:BF120" si="244">F117+N117+V117+AD117+AV117</f>
        <v>290000</v>
      </c>
      <c r="BE117" s="4">
        <f t="shared" si="244"/>
        <v>0</v>
      </c>
      <c r="BF117" s="4">
        <f t="shared" si="244"/>
        <v>273000</v>
      </c>
      <c r="BG117" s="4">
        <f t="shared" ref="BG117:BJ120" si="245">I117+Q117+Y117+AG117+AL117+AQ117+AY117</f>
        <v>252000</v>
      </c>
      <c r="BH117" s="94">
        <f t="shared" si="245"/>
        <v>0</v>
      </c>
      <c r="BI117" s="94">
        <f t="shared" si="245"/>
        <v>0</v>
      </c>
      <c r="BJ117" s="94">
        <f t="shared" si="245"/>
        <v>0</v>
      </c>
      <c r="BK117" s="9">
        <f t="shared" ref="BK117:BK120" si="246">SUM(BD117:BJ117)</f>
        <v>815000</v>
      </c>
    </row>
    <row r="118" spans="1:63" ht="47.25">
      <c r="A118" s="186"/>
      <c r="B118" s="8">
        <v>2</v>
      </c>
      <c r="C118" s="1" t="s">
        <v>229</v>
      </c>
      <c r="D118" s="4" t="s">
        <v>230</v>
      </c>
      <c r="E118" s="4" t="s">
        <v>226</v>
      </c>
      <c r="F118" s="4"/>
      <c r="G118" s="4"/>
      <c r="H118" s="5"/>
      <c r="I118" s="4"/>
      <c r="J118" s="4"/>
      <c r="K118" s="4"/>
      <c r="L118" s="4"/>
      <c r="M118" s="9">
        <f t="shared" si="237"/>
        <v>0</v>
      </c>
      <c r="N118" s="76"/>
      <c r="O118" s="76">
        <v>310000</v>
      </c>
      <c r="P118" s="76">
        <v>480000</v>
      </c>
      <c r="Q118" s="76">
        <v>330000</v>
      </c>
      <c r="R118" s="4">
        <f>340000+60000+60000</f>
        <v>460000</v>
      </c>
      <c r="S118" s="4">
        <v>1450000</v>
      </c>
      <c r="T118" s="4">
        <f>200000+300000+200000+100000+330000</f>
        <v>1130000</v>
      </c>
      <c r="U118" s="9">
        <f t="shared" si="238"/>
        <v>4160000</v>
      </c>
      <c r="V118" s="20"/>
      <c r="W118" s="20"/>
      <c r="X118" s="4"/>
      <c r="Y118" s="20"/>
      <c r="Z118" s="20"/>
      <c r="AA118" s="20"/>
      <c r="AB118" s="20"/>
      <c r="AC118" s="9">
        <f t="shared" si="239"/>
        <v>0</v>
      </c>
      <c r="AD118" s="20"/>
      <c r="AE118" s="20"/>
      <c r="AF118" s="25"/>
      <c r="AG118" s="25"/>
      <c r="AH118" s="20"/>
      <c r="AI118" s="20"/>
      <c r="AJ118" s="20"/>
      <c r="AK118" s="21">
        <f t="shared" si="240"/>
        <v>0</v>
      </c>
      <c r="AL118" s="25"/>
      <c r="AM118" s="20"/>
      <c r="AN118" s="20"/>
      <c r="AO118" s="20"/>
      <c r="AP118" s="21">
        <f t="shared" si="241"/>
        <v>0</v>
      </c>
      <c r="AQ118" s="25"/>
      <c r="AR118" s="20"/>
      <c r="AS118" s="20"/>
      <c r="AT118" s="20"/>
      <c r="AU118" s="21">
        <f t="shared" si="242"/>
        <v>0</v>
      </c>
      <c r="AV118" s="25"/>
      <c r="AW118" s="25"/>
      <c r="AX118" s="25"/>
      <c r="AY118" s="25"/>
      <c r="AZ118" s="20"/>
      <c r="BA118" s="20"/>
      <c r="BB118" s="20"/>
      <c r="BC118" s="21">
        <f t="shared" si="243"/>
        <v>0</v>
      </c>
      <c r="BD118" s="4">
        <f t="shared" si="244"/>
        <v>0</v>
      </c>
      <c r="BE118" s="4">
        <f t="shared" si="244"/>
        <v>310000</v>
      </c>
      <c r="BF118" s="4">
        <f t="shared" si="244"/>
        <v>480000</v>
      </c>
      <c r="BG118" s="4">
        <f t="shared" si="245"/>
        <v>330000</v>
      </c>
      <c r="BH118" s="94">
        <f t="shared" si="245"/>
        <v>460000</v>
      </c>
      <c r="BI118" s="94">
        <f t="shared" si="245"/>
        <v>1450000</v>
      </c>
      <c r="BJ118" s="94">
        <f t="shared" si="245"/>
        <v>1130000</v>
      </c>
      <c r="BK118" s="9">
        <f t="shared" si="246"/>
        <v>4160000</v>
      </c>
    </row>
    <row r="119" spans="1:63" ht="31.5">
      <c r="A119" s="186"/>
      <c r="B119" s="8">
        <v>3</v>
      </c>
      <c r="C119" s="1" t="s">
        <v>231</v>
      </c>
      <c r="D119" s="5" t="s">
        <v>414</v>
      </c>
      <c r="E119" s="4" t="s">
        <v>226</v>
      </c>
      <c r="F119" s="4"/>
      <c r="G119" s="4"/>
      <c r="H119" s="5"/>
      <c r="I119" s="4"/>
      <c r="J119" s="4"/>
      <c r="K119" s="4"/>
      <c r="L119" s="4"/>
      <c r="M119" s="9">
        <f t="shared" si="237"/>
        <v>0</v>
      </c>
      <c r="N119" s="4"/>
      <c r="O119" s="4"/>
      <c r="P119" s="4"/>
      <c r="Q119" s="4"/>
      <c r="R119" s="4"/>
      <c r="S119" s="4"/>
      <c r="T119" s="4"/>
      <c r="U119" s="9">
        <f t="shared" si="238"/>
        <v>0</v>
      </c>
      <c r="V119" s="20"/>
      <c r="W119" s="20"/>
      <c r="X119" s="4"/>
      <c r="Y119" s="20"/>
      <c r="Z119" s="20"/>
      <c r="AA119" s="20"/>
      <c r="AB119" s="20"/>
      <c r="AC119" s="9">
        <f t="shared" si="239"/>
        <v>0</v>
      </c>
      <c r="AD119" s="20"/>
      <c r="AE119" s="25">
        <v>330800</v>
      </c>
      <c r="AF119" s="25">
        <f>106700+198000</f>
        <v>304700</v>
      </c>
      <c r="AG119" s="25">
        <v>446500</v>
      </c>
      <c r="AH119" s="20">
        <f>91000+234500+262500</f>
        <v>588000</v>
      </c>
      <c r="AI119" s="20">
        <v>341250</v>
      </c>
      <c r="AJ119" s="20">
        <v>788100</v>
      </c>
      <c r="AK119" s="21">
        <f t="shared" si="240"/>
        <v>2799350</v>
      </c>
      <c r="AL119" s="25"/>
      <c r="AM119" s="20"/>
      <c r="AN119" s="20"/>
      <c r="AO119" s="20"/>
      <c r="AP119" s="21">
        <f t="shared" si="241"/>
        <v>0</v>
      </c>
      <c r="AQ119" s="25"/>
      <c r="AR119" s="20"/>
      <c r="AS119" s="20"/>
      <c r="AT119" s="20"/>
      <c r="AU119" s="21">
        <f t="shared" si="242"/>
        <v>0</v>
      </c>
      <c r="AV119" s="25"/>
      <c r="AW119" s="25"/>
      <c r="AX119" s="25"/>
      <c r="AY119" s="25"/>
      <c r="AZ119" s="20"/>
      <c r="BA119" s="20"/>
      <c r="BB119" s="20"/>
      <c r="BC119" s="21">
        <f t="shared" si="243"/>
        <v>0</v>
      </c>
      <c r="BD119" s="4">
        <f t="shared" si="244"/>
        <v>0</v>
      </c>
      <c r="BE119" s="4">
        <f t="shared" si="244"/>
        <v>330800</v>
      </c>
      <c r="BF119" s="4">
        <f t="shared" si="244"/>
        <v>304700</v>
      </c>
      <c r="BG119" s="4">
        <f t="shared" si="245"/>
        <v>446500</v>
      </c>
      <c r="BH119" s="94">
        <f t="shared" si="245"/>
        <v>588000</v>
      </c>
      <c r="BI119" s="94">
        <f t="shared" si="245"/>
        <v>341250</v>
      </c>
      <c r="BJ119" s="94">
        <f t="shared" si="245"/>
        <v>788100</v>
      </c>
      <c r="BK119" s="9">
        <f t="shared" si="246"/>
        <v>2799350</v>
      </c>
    </row>
    <row r="120" spans="1:63" ht="31.5">
      <c r="A120" s="187"/>
      <c r="B120" s="8">
        <v>4</v>
      </c>
      <c r="C120" s="1" t="s">
        <v>232</v>
      </c>
      <c r="D120" s="4" t="s">
        <v>233</v>
      </c>
      <c r="E120" s="4" t="s">
        <v>226</v>
      </c>
      <c r="F120" s="4">
        <v>155000</v>
      </c>
      <c r="G120" s="4"/>
      <c r="H120" s="5"/>
      <c r="I120" s="4"/>
      <c r="J120" s="4"/>
      <c r="K120" s="4"/>
      <c r="L120" s="4"/>
      <c r="M120" s="9">
        <f t="shared" si="237"/>
        <v>155000</v>
      </c>
      <c r="N120" s="4"/>
      <c r="O120" s="4"/>
      <c r="P120" s="4"/>
      <c r="Q120" s="4"/>
      <c r="R120" s="4"/>
      <c r="S120" s="4"/>
      <c r="T120" s="4"/>
      <c r="U120" s="9">
        <f t="shared" si="238"/>
        <v>0</v>
      </c>
      <c r="V120" s="20"/>
      <c r="W120" s="20"/>
      <c r="X120" s="20"/>
      <c r="Y120" s="20"/>
      <c r="Z120" s="20"/>
      <c r="AA120" s="20"/>
      <c r="AB120" s="20"/>
      <c r="AC120" s="9">
        <f t="shared" si="239"/>
        <v>0</v>
      </c>
      <c r="AD120" s="20">
        <v>195000</v>
      </c>
      <c r="AE120" s="20"/>
      <c r="AF120" s="20"/>
      <c r="AG120" s="20"/>
      <c r="AH120" s="20"/>
      <c r="AI120" s="20"/>
      <c r="AJ120" s="20"/>
      <c r="AK120" s="21">
        <f t="shared" si="240"/>
        <v>195000</v>
      </c>
      <c r="AL120" s="25"/>
      <c r="AM120" s="20"/>
      <c r="AN120" s="20"/>
      <c r="AO120" s="20"/>
      <c r="AP120" s="21">
        <f t="shared" si="241"/>
        <v>0</v>
      </c>
      <c r="AQ120" s="25"/>
      <c r="AR120" s="20"/>
      <c r="AS120" s="20"/>
      <c r="AT120" s="20"/>
      <c r="AU120" s="21">
        <f t="shared" si="242"/>
        <v>0</v>
      </c>
      <c r="AV120" s="25"/>
      <c r="AW120" s="25"/>
      <c r="AX120" s="25"/>
      <c r="AY120" s="25"/>
      <c r="AZ120" s="20"/>
      <c r="BA120" s="20"/>
      <c r="BB120" s="20"/>
      <c r="BC120" s="21">
        <f t="shared" si="243"/>
        <v>0</v>
      </c>
      <c r="BD120" s="4">
        <f t="shared" si="244"/>
        <v>350000</v>
      </c>
      <c r="BE120" s="4">
        <f t="shared" si="244"/>
        <v>0</v>
      </c>
      <c r="BF120" s="4">
        <f t="shared" si="244"/>
        <v>0</v>
      </c>
      <c r="BG120" s="4">
        <f t="shared" si="245"/>
        <v>0</v>
      </c>
      <c r="BH120" s="94">
        <f t="shared" si="245"/>
        <v>0</v>
      </c>
      <c r="BI120" s="94">
        <f t="shared" si="245"/>
        <v>0</v>
      </c>
      <c r="BJ120" s="94">
        <f t="shared" si="245"/>
        <v>0</v>
      </c>
      <c r="BK120" s="9">
        <f t="shared" si="246"/>
        <v>350000</v>
      </c>
    </row>
    <row r="121" spans="1:63" s="38" customFormat="1">
      <c r="A121" s="34"/>
      <c r="B121" s="34"/>
      <c r="C121" s="35" t="s">
        <v>234</v>
      </c>
      <c r="D121" s="37"/>
      <c r="E121" s="37"/>
      <c r="F121" s="37">
        <f>SUM(F117:F120)</f>
        <v>155000</v>
      </c>
      <c r="G121" s="37">
        <f t="shared" ref="G121:BK121" si="247">SUM(G117:G120)</f>
        <v>0</v>
      </c>
      <c r="H121" s="37">
        <f t="shared" si="247"/>
        <v>0</v>
      </c>
      <c r="I121" s="37">
        <f t="shared" si="247"/>
        <v>0</v>
      </c>
      <c r="J121" s="37">
        <f t="shared" si="247"/>
        <v>0</v>
      </c>
      <c r="K121" s="37">
        <f t="shared" si="247"/>
        <v>0</v>
      </c>
      <c r="L121" s="37">
        <f t="shared" ref="L121" si="248">SUM(L117:L120)</f>
        <v>0</v>
      </c>
      <c r="M121" s="37">
        <f t="shared" si="247"/>
        <v>155000</v>
      </c>
      <c r="N121" s="37">
        <f t="shared" si="247"/>
        <v>0</v>
      </c>
      <c r="O121" s="37">
        <f t="shared" si="247"/>
        <v>310000</v>
      </c>
      <c r="P121" s="37">
        <f t="shared" si="247"/>
        <v>480000</v>
      </c>
      <c r="Q121" s="37">
        <f t="shared" si="247"/>
        <v>330000</v>
      </c>
      <c r="R121" s="37">
        <f t="shared" si="247"/>
        <v>460000</v>
      </c>
      <c r="S121" s="37">
        <f t="shared" si="247"/>
        <v>1450000</v>
      </c>
      <c r="T121" s="37">
        <f t="shared" ref="T121" si="249">SUM(T117:T120)</f>
        <v>1130000</v>
      </c>
      <c r="U121" s="37">
        <f t="shared" si="247"/>
        <v>4160000</v>
      </c>
      <c r="V121" s="37">
        <f t="shared" si="247"/>
        <v>290000</v>
      </c>
      <c r="W121" s="37">
        <f t="shared" si="247"/>
        <v>0</v>
      </c>
      <c r="X121" s="37">
        <f t="shared" si="247"/>
        <v>273000</v>
      </c>
      <c r="Y121" s="37">
        <f t="shared" si="247"/>
        <v>252000</v>
      </c>
      <c r="Z121" s="37">
        <f t="shared" si="247"/>
        <v>0</v>
      </c>
      <c r="AA121" s="37">
        <f t="shared" si="247"/>
        <v>0</v>
      </c>
      <c r="AB121" s="37">
        <f t="shared" ref="AB121" si="250">SUM(AB117:AB120)</f>
        <v>0</v>
      </c>
      <c r="AC121" s="37">
        <f t="shared" si="247"/>
        <v>815000</v>
      </c>
      <c r="AD121" s="37">
        <f t="shared" si="247"/>
        <v>195000</v>
      </c>
      <c r="AE121" s="37">
        <f t="shared" si="247"/>
        <v>330800</v>
      </c>
      <c r="AF121" s="37">
        <f t="shared" si="247"/>
        <v>304700</v>
      </c>
      <c r="AG121" s="37">
        <f t="shared" si="247"/>
        <v>446500</v>
      </c>
      <c r="AH121" s="37">
        <f t="shared" si="247"/>
        <v>588000</v>
      </c>
      <c r="AI121" s="37">
        <f t="shared" si="247"/>
        <v>341250</v>
      </c>
      <c r="AJ121" s="37">
        <f t="shared" ref="AJ121" si="251">SUM(AJ117:AJ120)</f>
        <v>788100</v>
      </c>
      <c r="AK121" s="37">
        <f t="shared" si="247"/>
        <v>2994350</v>
      </c>
      <c r="AL121" s="37">
        <f t="shared" si="247"/>
        <v>0</v>
      </c>
      <c r="AM121" s="37">
        <f t="shared" si="247"/>
        <v>0</v>
      </c>
      <c r="AN121" s="37">
        <f t="shared" si="247"/>
        <v>0</v>
      </c>
      <c r="AO121" s="37">
        <f t="shared" ref="AO121" si="252">SUM(AO117:AO120)</f>
        <v>0</v>
      </c>
      <c r="AP121" s="37">
        <f t="shared" si="247"/>
        <v>0</v>
      </c>
      <c r="AQ121" s="37">
        <f t="shared" si="247"/>
        <v>0</v>
      </c>
      <c r="AR121" s="37">
        <f t="shared" si="247"/>
        <v>0</v>
      </c>
      <c r="AS121" s="37">
        <f t="shared" si="247"/>
        <v>0</v>
      </c>
      <c r="AT121" s="37">
        <f t="shared" ref="AT121" si="253">SUM(AT117:AT120)</f>
        <v>0</v>
      </c>
      <c r="AU121" s="37">
        <f t="shared" si="247"/>
        <v>0</v>
      </c>
      <c r="AV121" s="37">
        <f t="shared" si="247"/>
        <v>0</v>
      </c>
      <c r="AW121" s="37">
        <f t="shared" si="247"/>
        <v>0</v>
      </c>
      <c r="AX121" s="37">
        <f t="shared" si="247"/>
        <v>0</v>
      </c>
      <c r="AY121" s="37">
        <f t="shared" si="247"/>
        <v>0</v>
      </c>
      <c r="AZ121" s="37">
        <f t="shared" si="247"/>
        <v>0</v>
      </c>
      <c r="BA121" s="37">
        <f t="shared" si="247"/>
        <v>0</v>
      </c>
      <c r="BB121" s="37">
        <f t="shared" ref="BB121" si="254">SUM(BB117:BB120)</f>
        <v>0</v>
      </c>
      <c r="BC121" s="37">
        <f t="shared" si="247"/>
        <v>0</v>
      </c>
      <c r="BD121" s="37">
        <f t="shared" si="247"/>
        <v>640000</v>
      </c>
      <c r="BE121" s="37">
        <f t="shared" si="247"/>
        <v>640800</v>
      </c>
      <c r="BF121" s="37">
        <f t="shared" si="247"/>
        <v>1057700</v>
      </c>
      <c r="BG121" s="37">
        <f t="shared" si="247"/>
        <v>1028500</v>
      </c>
      <c r="BH121" s="37">
        <f t="shared" si="247"/>
        <v>1048000</v>
      </c>
      <c r="BI121" s="144">
        <f>SUM(BI117:BI120)</f>
        <v>1791250</v>
      </c>
      <c r="BJ121" s="37">
        <f t="shared" ref="BJ121" si="255">SUM(BJ117:BJ120)</f>
        <v>1918100</v>
      </c>
      <c r="BK121" s="37">
        <f t="shared" si="247"/>
        <v>8124350</v>
      </c>
    </row>
    <row r="122" spans="1:63">
      <c r="A122" s="185" t="s">
        <v>235</v>
      </c>
      <c r="B122" s="8">
        <v>1</v>
      </c>
      <c r="C122" s="1" t="s">
        <v>236</v>
      </c>
      <c r="D122" s="4" t="s">
        <v>237</v>
      </c>
      <c r="E122" s="4" t="s">
        <v>235</v>
      </c>
      <c r="F122" s="4"/>
      <c r="G122" s="4">
        <v>155000</v>
      </c>
      <c r="H122" s="4"/>
      <c r="I122" s="4"/>
      <c r="J122" s="4"/>
      <c r="K122" s="4"/>
      <c r="L122" s="4"/>
      <c r="M122" s="9">
        <f t="shared" ref="M122:M124" si="256">SUM(F122:L122)</f>
        <v>155000</v>
      </c>
      <c r="N122" s="76"/>
      <c r="O122" s="76">
        <v>290000</v>
      </c>
      <c r="P122" s="76"/>
      <c r="Q122" s="76"/>
      <c r="R122" s="4"/>
      <c r="S122" s="4"/>
      <c r="T122" s="4"/>
      <c r="U122" s="9">
        <f t="shared" ref="U122:U124" si="257">SUM(N122:T122)</f>
        <v>290000</v>
      </c>
      <c r="V122" s="20"/>
      <c r="W122" s="20">
        <v>290000</v>
      </c>
      <c r="X122" s="4">
        <v>175000</v>
      </c>
      <c r="Y122" s="20"/>
      <c r="Z122" s="20"/>
      <c r="AA122" s="20"/>
      <c r="AB122" s="20"/>
      <c r="AC122" s="9">
        <f t="shared" ref="AC122:AC124" si="258">SUM(V122:AB122)</f>
        <v>465000</v>
      </c>
      <c r="AD122" s="20"/>
      <c r="AE122" s="20"/>
      <c r="AF122" s="20"/>
      <c r="AG122" s="20"/>
      <c r="AH122" s="20"/>
      <c r="AI122" s="20"/>
      <c r="AJ122" s="20"/>
      <c r="AK122" s="21">
        <f t="shared" ref="AK122:AK124" si="259">SUM(AD122:AJ122)</f>
        <v>0</v>
      </c>
      <c r="AL122" s="25"/>
      <c r="AM122" s="20"/>
      <c r="AN122" s="20"/>
      <c r="AO122" s="20"/>
      <c r="AP122" s="21">
        <f t="shared" ref="AP122:AP124" si="260">SUM(AL122:AO122)</f>
        <v>0</v>
      </c>
      <c r="AQ122" s="25"/>
      <c r="AR122" s="20"/>
      <c r="AS122" s="20"/>
      <c r="AT122" s="20"/>
      <c r="AU122" s="21">
        <f t="shared" ref="AU122:AU124" si="261">SUM(AQ122:AT122)</f>
        <v>0</v>
      </c>
      <c r="AV122" s="25"/>
      <c r="AW122" s="25"/>
      <c r="AX122" s="25"/>
      <c r="AY122" s="25"/>
      <c r="AZ122" s="20"/>
      <c r="BA122" s="20"/>
      <c r="BB122" s="20"/>
      <c r="BC122" s="21">
        <f t="shared" ref="BC122:BC124" si="262">SUM(AV122:BB122)</f>
        <v>0</v>
      </c>
      <c r="BD122" s="4">
        <f t="shared" ref="BD122:BF124" si="263">F122+N122+V122+AD122+AV122</f>
        <v>0</v>
      </c>
      <c r="BE122" s="4">
        <f t="shared" si="263"/>
        <v>735000</v>
      </c>
      <c r="BF122" s="4">
        <f t="shared" si="263"/>
        <v>175000</v>
      </c>
      <c r="BG122" s="4">
        <f t="shared" ref="BG122:BJ124" si="264">I122+Q122+Y122+AG122+AL122+AQ122+AY122</f>
        <v>0</v>
      </c>
      <c r="BH122" s="94">
        <f t="shared" si="264"/>
        <v>0</v>
      </c>
      <c r="BI122" s="94">
        <f t="shared" si="264"/>
        <v>0</v>
      </c>
      <c r="BJ122" s="94">
        <f t="shared" si="264"/>
        <v>0</v>
      </c>
      <c r="BK122" s="9">
        <f t="shared" ref="BK122:BK124" si="265">SUM(BD122:BJ122)</f>
        <v>910000</v>
      </c>
    </row>
    <row r="123" spans="1:63">
      <c r="A123" s="186"/>
      <c r="B123" s="8">
        <v>2</v>
      </c>
      <c r="C123" s="1" t="s">
        <v>470</v>
      </c>
      <c r="D123" s="4" t="s">
        <v>239</v>
      </c>
      <c r="E123" s="4" t="s">
        <v>235</v>
      </c>
      <c r="F123" s="4"/>
      <c r="G123" s="4"/>
      <c r="H123" s="4">
        <f>155000+31667+20000</f>
        <v>206667</v>
      </c>
      <c r="I123" s="4">
        <v>777500</v>
      </c>
      <c r="J123" s="4">
        <v>52500</v>
      </c>
      <c r="K123" s="4">
        <f>135000+135000+67500</f>
        <v>337500</v>
      </c>
      <c r="L123" s="4">
        <v>769500</v>
      </c>
      <c r="M123" s="9">
        <f t="shared" si="256"/>
        <v>2143667</v>
      </c>
      <c r="N123" s="4"/>
      <c r="O123" s="4"/>
      <c r="P123" s="4"/>
      <c r="Q123" s="4"/>
      <c r="R123" s="4"/>
      <c r="S123" s="4"/>
      <c r="T123" s="4"/>
      <c r="U123" s="9">
        <f t="shared" si="257"/>
        <v>0</v>
      </c>
      <c r="V123" s="20"/>
      <c r="W123" s="20"/>
      <c r="X123" s="20"/>
      <c r="Y123" s="20"/>
      <c r="Z123" s="20"/>
      <c r="AA123" s="20"/>
      <c r="AB123" s="20"/>
      <c r="AC123" s="9">
        <f t="shared" si="258"/>
        <v>0</v>
      </c>
      <c r="AD123" s="20"/>
      <c r="AE123" s="20"/>
      <c r="AF123" s="20"/>
      <c r="AG123" s="20"/>
      <c r="AH123" s="20"/>
      <c r="AI123" s="20"/>
      <c r="AJ123" s="20"/>
      <c r="AK123" s="21">
        <f t="shared" si="259"/>
        <v>0</v>
      </c>
      <c r="AL123" s="25"/>
      <c r="AM123" s="20"/>
      <c r="AN123" s="20"/>
      <c r="AO123" s="20"/>
      <c r="AP123" s="21">
        <f t="shared" si="260"/>
        <v>0</v>
      </c>
      <c r="AQ123" s="25"/>
      <c r="AR123" s="20"/>
      <c r="AS123" s="20"/>
      <c r="AT123" s="20"/>
      <c r="AU123" s="21">
        <f t="shared" si="261"/>
        <v>0</v>
      </c>
      <c r="AV123" s="25"/>
      <c r="AW123" s="25"/>
      <c r="AX123" s="25"/>
      <c r="AY123" s="25"/>
      <c r="AZ123" s="20"/>
      <c r="BA123" s="20"/>
      <c r="BB123" s="20"/>
      <c r="BC123" s="21">
        <f t="shared" si="262"/>
        <v>0</v>
      </c>
      <c r="BD123" s="4">
        <f t="shared" si="263"/>
        <v>0</v>
      </c>
      <c r="BE123" s="4">
        <f t="shared" si="263"/>
        <v>0</v>
      </c>
      <c r="BF123" s="4">
        <f t="shared" si="263"/>
        <v>206667</v>
      </c>
      <c r="BG123" s="4">
        <f t="shared" si="264"/>
        <v>777500</v>
      </c>
      <c r="BH123" s="94">
        <f t="shared" si="264"/>
        <v>52500</v>
      </c>
      <c r="BI123" s="94">
        <f t="shared" si="264"/>
        <v>337500</v>
      </c>
      <c r="BJ123" s="94">
        <f t="shared" si="264"/>
        <v>769500</v>
      </c>
      <c r="BK123" s="9">
        <f t="shared" si="265"/>
        <v>2143667</v>
      </c>
    </row>
    <row r="124" spans="1:63" ht="31.5">
      <c r="A124" s="187"/>
      <c r="B124" s="8">
        <v>2</v>
      </c>
      <c r="C124" s="40" t="s">
        <v>459</v>
      </c>
      <c r="D124" s="40" t="s">
        <v>460</v>
      </c>
      <c r="E124" s="118" t="s">
        <v>235</v>
      </c>
      <c r="F124" s="4"/>
      <c r="G124" s="4"/>
      <c r="H124" s="4"/>
      <c r="I124" s="4"/>
      <c r="J124" s="4"/>
      <c r="K124" s="4">
        <v>442000</v>
      </c>
      <c r="L124" s="4">
        <v>1024000</v>
      </c>
      <c r="M124" s="9">
        <f t="shared" si="256"/>
        <v>1466000</v>
      </c>
      <c r="N124" s="4"/>
      <c r="O124" s="4"/>
      <c r="P124" s="4"/>
      <c r="Q124" s="4"/>
      <c r="R124" s="4"/>
      <c r="S124" s="4"/>
      <c r="T124" s="4"/>
      <c r="U124" s="9">
        <f t="shared" si="257"/>
        <v>0</v>
      </c>
      <c r="V124" s="20"/>
      <c r="W124" s="20"/>
      <c r="X124" s="20"/>
      <c r="Y124" s="20"/>
      <c r="Z124" s="20"/>
      <c r="AA124" s="20"/>
      <c r="AB124" s="20"/>
      <c r="AC124" s="9">
        <f t="shared" si="258"/>
        <v>0</v>
      </c>
      <c r="AD124" s="20"/>
      <c r="AE124" s="20"/>
      <c r="AF124" s="20"/>
      <c r="AG124" s="20"/>
      <c r="AH124" s="20"/>
      <c r="AI124" s="20"/>
      <c r="AJ124" s="20"/>
      <c r="AK124" s="21">
        <f t="shared" si="259"/>
        <v>0</v>
      </c>
      <c r="AL124" s="25"/>
      <c r="AM124" s="20"/>
      <c r="AN124" s="20"/>
      <c r="AO124" s="20"/>
      <c r="AP124" s="21">
        <f t="shared" si="260"/>
        <v>0</v>
      </c>
      <c r="AQ124" s="25"/>
      <c r="AR124" s="20"/>
      <c r="AS124" s="20"/>
      <c r="AT124" s="20"/>
      <c r="AU124" s="21">
        <f t="shared" si="261"/>
        <v>0</v>
      </c>
      <c r="AV124" s="25"/>
      <c r="AW124" s="25"/>
      <c r="AX124" s="25"/>
      <c r="AY124" s="25"/>
      <c r="AZ124" s="20"/>
      <c r="BA124" s="20"/>
      <c r="BB124" s="20"/>
      <c r="BC124" s="21">
        <f t="shared" si="262"/>
        <v>0</v>
      </c>
      <c r="BD124" s="4">
        <f t="shared" si="263"/>
        <v>0</v>
      </c>
      <c r="BE124" s="4">
        <f t="shared" si="263"/>
        <v>0</v>
      </c>
      <c r="BF124" s="4">
        <f t="shared" si="263"/>
        <v>0</v>
      </c>
      <c r="BG124" s="4">
        <f t="shared" si="264"/>
        <v>0</v>
      </c>
      <c r="BH124" s="94">
        <f t="shared" si="264"/>
        <v>0</v>
      </c>
      <c r="BI124" s="94">
        <f t="shared" si="264"/>
        <v>442000</v>
      </c>
      <c r="BJ124" s="94">
        <f t="shared" si="264"/>
        <v>1024000</v>
      </c>
      <c r="BK124" s="9">
        <f t="shared" si="265"/>
        <v>1466000</v>
      </c>
    </row>
    <row r="125" spans="1:63" s="38" customFormat="1">
      <c r="A125" s="34"/>
      <c r="B125" s="34"/>
      <c r="C125" s="35" t="s">
        <v>240</v>
      </c>
      <c r="D125" s="37"/>
      <c r="E125" s="37"/>
      <c r="F125" s="37">
        <f>SUM(F122:F124)</f>
        <v>0</v>
      </c>
      <c r="G125" s="37">
        <f t="shared" ref="G125:BK125" si="266">SUM(G122:G124)</f>
        <v>155000</v>
      </c>
      <c r="H125" s="37">
        <f t="shared" si="266"/>
        <v>206667</v>
      </c>
      <c r="I125" s="37">
        <f t="shared" si="266"/>
        <v>777500</v>
      </c>
      <c r="J125" s="37">
        <f t="shared" si="266"/>
        <v>52500</v>
      </c>
      <c r="K125" s="37">
        <f t="shared" si="266"/>
        <v>779500</v>
      </c>
      <c r="L125" s="37">
        <f t="shared" ref="L125" si="267">SUM(L122:L124)</f>
        <v>1793500</v>
      </c>
      <c r="M125" s="37">
        <f t="shared" si="266"/>
        <v>3764667</v>
      </c>
      <c r="N125" s="37">
        <f t="shared" si="266"/>
        <v>0</v>
      </c>
      <c r="O125" s="37">
        <f t="shared" si="266"/>
        <v>290000</v>
      </c>
      <c r="P125" s="37">
        <f t="shared" si="266"/>
        <v>0</v>
      </c>
      <c r="Q125" s="37">
        <f t="shared" si="266"/>
        <v>0</v>
      </c>
      <c r="R125" s="37">
        <f t="shared" si="266"/>
        <v>0</v>
      </c>
      <c r="S125" s="37">
        <f t="shared" si="266"/>
        <v>0</v>
      </c>
      <c r="T125" s="37">
        <f t="shared" ref="T125" si="268">SUM(T122:T124)</f>
        <v>0</v>
      </c>
      <c r="U125" s="37">
        <f t="shared" si="266"/>
        <v>290000</v>
      </c>
      <c r="V125" s="37">
        <f t="shared" si="266"/>
        <v>0</v>
      </c>
      <c r="W125" s="37">
        <f t="shared" si="266"/>
        <v>290000</v>
      </c>
      <c r="X125" s="37">
        <f t="shared" si="266"/>
        <v>175000</v>
      </c>
      <c r="Y125" s="37">
        <f t="shared" si="266"/>
        <v>0</v>
      </c>
      <c r="Z125" s="37">
        <f t="shared" si="266"/>
        <v>0</v>
      </c>
      <c r="AA125" s="37">
        <f t="shared" si="266"/>
        <v>0</v>
      </c>
      <c r="AB125" s="37">
        <f t="shared" ref="AB125" si="269">SUM(AB122:AB124)</f>
        <v>0</v>
      </c>
      <c r="AC125" s="37">
        <f t="shared" si="266"/>
        <v>465000</v>
      </c>
      <c r="AD125" s="37">
        <f t="shared" si="266"/>
        <v>0</v>
      </c>
      <c r="AE125" s="37">
        <f t="shared" si="266"/>
        <v>0</v>
      </c>
      <c r="AF125" s="37">
        <f t="shared" si="266"/>
        <v>0</v>
      </c>
      <c r="AG125" s="37">
        <f t="shared" si="266"/>
        <v>0</v>
      </c>
      <c r="AH125" s="37">
        <f t="shared" si="266"/>
        <v>0</v>
      </c>
      <c r="AI125" s="37">
        <f t="shared" si="266"/>
        <v>0</v>
      </c>
      <c r="AJ125" s="37">
        <f t="shared" ref="AJ125" si="270">SUM(AJ122:AJ124)</f>
        <v>0</v>
      </c>
      <c r="AK125" s="37">
        <f t="shared" si="266"/>
        <v>0</v>
      </c>
      <c r="AL125" s="37">
        <f t="shared" si="266"/>
        <v>0</v>
      </c>
      <c r="AM125" s="37">
        <f t="shared" si="266"/>
        <v>0</v>
      </c>
      <c r="AN125" s="37">
        <f t="shared" si="266"/>
        <v>0</v>
      </c>
      <c r="AO125" s="37">
        <f t="shared" ref="AO125" si="271">SUM(AO122:AO124)</f>
        <v>0</v>
      </c>
      <c r="AP125" s="37">
        <f t="shared" si="266"/>
        <v>0</v>
      </c>
      <c r="AQ125" s="37">
        <f t="shared" si="266"/>
        <v>0</v>
      </c>
      <c r="AR125" s="37">
        <f t="shared" si="266"/>
        <v>0</v>
      </c>
      <c r="AS125" s="37">
        <f t="shared" si="266"/>
        <v>0</v>
      </c>
      <c r="AT125" s="37">
        <f t="shared" ref="AT125" si="272">SUM(AT122:AT124)</f>
        <v>0</v>
      </c>
      <c r="AU125" s="37">
        <f t="shared" si="266"/>
        <v>0</v>
      </c>
      <c r="AV125" s="37">
        <f t="shared" si="266"/>
        <v>0</v>
      </c>
      <c r="AW125" s="37">
        <f t="shared" si="266"/>
        <v>0</v>
      </c>
      <c r="AX125" s="37">
        <f t="shared" si="266"/>
        <v>0</v>
      </c>
      <c r="AY125" s="37">
        <f t="shared" si="266"/>
        <v>0</v>
      </c>
      <c r="AZ125" s="37">
        <f t="shared" si="266"/>
        <v>0</v>
      </c>
      <c r="BA125" s="37">
        <f t="shared" si="266"/>
        <v>0</v>
      </c>
      <c r="BB125" s="37">
        <f t="shared" ref="BB125" si="273">SUM(BB122:BB124)</f>
        <v>0</v>
      </c>
      <c r="BC125" s="37">
        <f t="shared" si="266"/>
        <v>0</v>
      </c>
      <c r="BD125" s="37">
        <f t="shared" si="266"/>
        <v>0</v>
      </c>
      <c r="BE125" s="37">
        <f t="shared" si="266"/>
        <v>735000</v>
      </c>
      <c r="BF125" s="37">
        <f t="shared" si="266"/>
        <v>381667</v>
      </c>
      <c r="BG125" s="37">
        <f t="shared" si="266"/>
        <v>777500</v>
      </c>
      <c r="BH125" s="37">
        <f t="shared" si="266"/>
        <v>52500</v>
      </c>
      <c r="BI125" s="144">
        <f>SUM(BI122:BI124)</f>
        <v>779500</v>
      </c>
      <c r="BJ125" s="37">
        <f t="shared" ref="BJ125" si="274">SUM(BJ122:BJ124)</f>
        <v>1793500</v>
      </c>
      <c r="BK125" s="37">
        <f t="shared" si="266"/>
        <v>4519667</v>
      </c>
    </row>
    <row r="126" spans="1:63">
      <c r="A126" s="123" t="s">
        <v>442</v>
      </c>
      <c r="B126" s="8">
        <v>1</v>
      </c>
      <c r="C126" s="100" t="s">
        <v>444</v>
      </c>
      <c r="D126" s="101" t="s">
        <v>445</v>
      </c>
      <c r="E126" s="101" t="s">
        <v>442</v>
      </c>
      <c r="F126" s="4"/>
      <c r="G126" s="4"/>
      <c r="H126" s="5"/>
      <c r="I126" s="4"/>
      <c r="J126" s="4">
        <f>155000+129000+56000</f>
        <v>340000</v>
      </c>
      <c r="K126" s="4">
        <f>720000+176000+88000</f>
        <v>984000</v>
      </c>
      <c r="L126" s="4">
        <v>457000</v>
      </c>
      <c r="M126" s="9">
        <f>SUM(F126:L126)</f>
        <v>1781000</v>
      </c>
      <c r="N126" s="4"/>
      <c r="O126" s="4"/>
      <c r="P126" s="4"/>
      <c r="Q126" s="4"/>
      <c r="R126" s="4"/>
      <c r="S126" s="4"/>
      <c r="T126" s="4"/>
      <c r="U126" s="9">
        <f>SUM(N126:T126)</f>
        <v>0</v>
      </c>
      <c r="V126" s="20"/>
      <c r="W126" s="20"/>
      <c r="X126" s="20"/>
      <c r="Y126" s="20"/>
      <c r="Z126" s="20"/>
      <c r="AA126" s="20"/>
      <c r="AB126" s="20"/>
      <c r="AC126" s="9">
        <f>SUM(V126:AB126)</f>
        <v>0</v>
      </c>
      <c r="AD126" s="20"/>
      <c r="AE126" s="20"/>
      <c r="AF126" s="20"/>
      <c r="AG126" s="20"/>
      <c r="AH126" s="20"/>
      <c r="AI126" s="20"/>
      <c r="AJ126" s="20"/>
      <c r="AK126" s="21">
        <f>SUM(AD126:AJ126)</f>
        <v>0</v>
      </c>
      <c r="AL126" s="25"/>
      <c r="AM126" s="20"/>
      <c r="AN126" s="20"/>
      <c r="AO126" s="20"/>
      <c r="AP126" s="21">
        <f>SUM(AL126:AO126)</f>
        <v>0</v>
      </c>
      <c r="AQ126" s="25"/>
      <c r="AR126" s="21"/>
      <c r="AS126" s="21"/>
      <c r="AT126" s="21"/>
      <c r="AU126" s="21">
        <f>SUM(AQ126:AT126)</f>
        <v>0</v>
      </c>
      <c r="AV126" s="25"/>
      <c r="AW126" s="25"/>
      <c r="AX126" s="25"/>
      <c r="AY126" s="25"/>
      <c r="AZ126" s="20"/>
      <c r="BA126" s="20"/>
      <c r="BB126" s="20"/>
      <c r="BC126" s="21">
        <f>SUM(AV126:BB126)</f>
        <v>0</v>
      </c>
      <c r="BD126" s="4">
        <f>F126+N126+V126+AD126+AV126</f>
        <v>0</v>
      </c>
      <c r="BE126" s="4">
        <f>G126+O126+W126+AE126+AW126</f>
        <v>0</v>
      </c>
      <c r="BF126" s="4">
        <f>H126+P126+X126+AF126+AX126</f>
        <v>0</v>
      </c>
      <c r="BG126" s="4">
        <f>I126+Q126+Y126+AG126+AL126+AQ126+AY126</f>
        <v>0</v>
      </c>
      <c r="BH126" s="94">
        <f>J126+R126+Z126+AH126+AM126+AR126+AZ126</f>
        <v>340000</v>
      </c>
      <c r="BI126" s="94">
        <f>K126+S126+AA126+AI126+AN126+AS126+BA126</f>
        <v>984000</v>
      </c>
      <c r="BJ126" s="94">
        <f>L126+T126+AB126+AJ126+AO126+AT126+BB126</f>
        <v>457000</v>
      </c>
      <c r="BK126" s="9">
        <f>SUM(BD126:BJ126)</f>
        <v>1781000</v>
      </c>
    </row>
    <row r="127" spans="1:63" s="38" customFormat="1">
      <c r="A127" s="34"/>
      <c r="B127" s="34"/>
      <c r="C127" s="35" t="s">
        <v>443</v>
      </c>
      <c r="D127" s="37"/>
      <c r="E127" s="37"/>
      <c r="F127" s="37">
        <f>F126</f>
        <v>0</v>
      </c>
      <c r="G127" s="37">
        <f t="shared" ref="G127:H127" si="275">G126</f>
        <v>0</v>
      </c>
      <c r="H127" s="37">
        <f t="shared" si="275"/>
        <v>0</v>
      </c>
      <c r="I127" s="37">
        <f t="shared" ref="I127:I129" si="276">SUM(I126)</f>
        <v>0</v>
      </c>
      <c r="J127" s="37">
        <f t="shared" ref="J127:P127" si="277">J126</f>
        <v>340000</v>
      </c>
      <c r="K127" s="37">
        <f t="shared" si="277"/>
        <v>984000</v>
      </c>
      <c r="L127" s="37">
        <f>L126</f>
        <v>457000</v>
      </c>
      <c r="M127" s="37">
        <f t="shared" si="277"/>
        <v>1781000</v>
      </c>
      <c r="N127" s="37">
        <f t="shared" si="277"/>
        <v>0</v>
      </c>
      <c r="O127" s="37">
        <f t="shared" si="277"/>
        <v>0</v>
      </c>
      <c r="P127" s="37">
        <f t="shared" si="277"/>
        <v>0</v>
      </c>
      <c r="Q127" s="37">
        <f t="shared" ref="Q127:Q129" si="278">SUM(Q126)</f>
        <v>0</v>
      </c>
      <c r="R127" s="37">
        <f t="shared" ref="R127:X127" si="279">R126</f>
        <v>0</v>
      </c>
      <c r="S127" s="37">
        <f t="shared" si="279"/>
        <v>0</v>
      </c>
      <c r="T127" s="37">
        <f t="shared" ref="T127" si="280">T126</f>
        <v>0</v>
      </c>
      <c r="U127" s="37">
        <f t="shared" si="279"/>
        <v>0</v>
      </c>
      <c r="V127" s="37">
        <f t="shared" si="279"/>
        <v>0</v>
      </c>
      <c r="W127" s="37">
        <f t="shared" si="279"/>
        <v>0</v>
      </c>
      <c r="X127" s="37">
        <f t="shared" si="279"/>
        <v>0</v>
      </c>
      <c r="Y127" s="37">
        <f t="shared" ref="Y127:AA129" si="281">SUM(Y126)</f>
        <v>0</v>
      </c>
      <c r="Z127" s="37">
        <f t="shared" si="281"/>
        <v>0</v>
      </c>
      <c r="AA127" s="37">
        <f t="shared" si="281"/>
        <v>0</v>
      </c>
      <c r="AB127" s="37">
        <f t="shared" ref="AB127" si="282">SUM(AB126)</f>
        <v>0</v>
      </c>
      <c r="AC127" s="37">
        <f t="shared" ref="AC127:AF127" si="283">AC126</f>
        <v>0</v>
      </c>
      <c r="AD127" s="37">
        <f t="shared" si="283"/>
        <v>0</v>
      </c>
      <c r="AE127" s="37">
        <f t="shared" si="283"/>
        <v>0</v>
      </c>
      <c r="AF127" s="37">
        <f t="shared" si="283"/>
        <v>0</v>
      </c>
      <c r="AG127" s="37">
        <f t="shared" ref="AG127:AG129" si="284">SUM(AG126)</f>
        <v>0</v>
      </c>
      <c r="AH127" s="37">
        <f t="shared" ref="AH127:AK127" si="285">AH126</f>
        <v>0</v>
      </c>
      <c r="AI127" s="37">
        <f t="shared" si="285"/>
        <v>0</v>
      </c>
      <c r="AJ127" s="37">
        <f t="shared" ref="AJ127" si="286">AJ126</f>
        <v>0</v>
      </c>
      <c r="AK127" s="37">
        <f t="shared" si="285"/>
        <v>0</v>
      </c>
      <c r="AL127" s="37">
        <f t="shared" ref="AL127:AL129" si="287">SUM(AL126)</f>
        <v>0</v>
      </c>
      <c r="AM127" s="37">
        <f t="shared" ref="AM127:AP127" si="288">AM126</f>
        <v>0</v>
      </c>
      <c r="AN127" s="37">
        <f t="shared" si="288"/>
        <v>0</v>
      </c>
      <c r="AO127" s="37">
        <f t="shared" ref="AO127" si="289">AO126</f>
        <v>0</v>
      </c>
      <c r="AP127" s="37">
        <f t="shared" si="288"/>
        <v>0</v>
      </c>
      <c r="AQ127" s="37">
        <f t="shared" ref="AQ127:AQ129" si="290">SUM(AQ126)</f>
        <v>0</v>
      </c>
      <c r="AR127" s="37">
        <f t="shared" ref="AR127:AX127" si="291">AR126</f>
        <v>0</v>
      </c>
      <c r="AS127" s="37">
        <f t="shared" si="291"/>
        <v>0</v>
      </c>
      <c r="AT127" s="37">
        <f t="shared" ref="AT127" si="292">AT126</f>
        <v>0</v>
      </c>
      <c r="AU127" s="37">
        <f t="shared" si="291"/>
        <v>0</v>
      </c>
      <c r="AV127" s="37">
        <f t="shared" si="291"/>
        <v>0</v>
      </c>
      <c r="AW127" s="37">
        <f t="shared" si="291"/>
        <v>0</v>
      </c>
      <c r="AX127" s="37">
        <f t="shared" si="291"/>
        <v>0</v>
      </c>
      <c r="AY127" s="37">
        <f t="shared" ref="AY127:AY129" si="293">SUM(AY126)</f>
        <v>0</v>
      </c>
      <c r="AZ127" s="37">
        <f t="shared" ref="AZ127:BK127" si="294">AZ126</f>
        <v>0</v>
      </c>
      <c r="BA127" s="37">
        <f t="shared" si="294"/>
        <v>0</v>
      </c>
      <c r="BB127" s="37">
        <f t="shared" ref="BB127" si="295">BB126</f>
        <v>0</v>
      </c>
      <c r="BC127" s="37">
        <f t="shared" si="294"/>
        <v>0</v>
      </c>
      <c r="BD127" s="37">
        <f t="shared" si="294"/>
        <v>0</v>
      </c>
      <c r="BE127" s="37">
        <f t="shared" si="294"/>
        <v>0</v>
      </c>
      <c r="BF127" s="37">
        <f t="shared" si="294"/>
        <v>0</v>
      </c>
      <c r="BG127" s="37">
        <f t="shared" si="294"/>
        <v>0</v>
      </c>
      <c r="BH127" s="37">
        <f t="shared" si="294"/>
        <v>340000</v>
      </c>
      <c r="BI127" s="144">
        <f>BI126</f>
        <v>984000</v>
      </c>
      <c r="BJ127" s="37">
        <f t="shared" ref="BJ127" si="296">BJ126</f>
        <v>457000</v>
      </c>
      <c r="BK127" s="37">
        <f t="shared" si="294"/>
        <v>1781000</v>
      </c>
    </row>
    <row r="128" spans="1:63">
      <c r="A128" s="123" t="s">
        <v>44</v>
      </c>
      <c r="B128" s="8">
        <v>1</v>
      </c>
      <c r="C128" s="1" t="s">
        <v>10</v>
      </c>
      <c r="D128" s="4" t="s">
        <v>43</v>
      </c>
      <c r="E128" s="4" t="s">
        <v>44</v>
      </c>
      <c r="F128" s="4"/>
      <c r="G128" s="4">
        <v>155000</v>
      </c>
      <c r="H128" s="5"/>
      <c r="I128" s="4">
        <f>72000+18000</f>
        <v>90000</v>
      </c>
      <c r="J128" s="4"/>
      <c r="K128" s="4"/>
      <c r="L128" s="4"/>
      <c r="M128" s="9">
        <f>SUM(F128:L128)</f>
        <v>245000</v>
      </c>
      <c r="N128" s="4"/>
      <c r="O128" s="4"/>
      <c r="P128" s="4"/>
      <c r="Q128" s="4"/>
      <c r="R128" s="4"/>
      <c r="S128" s="4"/>
      <c r="T128" s="4"/>
      <c r="U128" s="9">
        <f>SUM(N128:T128)</f>
        <v>0</v>
      </c>
      <c r="V128" s="20"/>
      <c r="W128" s="20">
        <v>290000</v>
      </c>
      <c r="X128" s="20"/>
      <c r="Y128" s="20">
        <v>116000</v>
      </c>
      <c r="Z128" s="20"/>
      <c r="AA128" s="20"/>
      <c r="AB128" s="20"/>
      <c r="AC128" s="9">
        <f>SUM(V128:AB128)</f>
        <v>406000</v>
      </c>
      <c r="AD128" s="20"/>
      <c r="AE128" s="20">
        <v>195000</v>
      </c>
      <c r="AF128" s="20">
        <v>96000</v>
      </c>
      <c r="AG128" s="20">
        <v>20000</v>
      </c>
      <c r="AH128" s="20"/>
      <c r="AI128" s="20"/>
      <c r="AJ128" s="20"/>
      <c r="AK128" s="21">
        <f>SUM(AD128:AJ128)</f>
        <v>311000</v>
      </c>
      <c r="AL128" s="25"/>
      <c r="AM128" s="20"/>
      <c r="AN128" s="20"/>
      <c r="AO128" s="20"/>
      <c r="AP128" s="21">
        <f>SUM(AL128:AO128)</f>
        <v>0</v>
      </c>
      <c r="AQ128" s="25"/>
      <c r="AR128" s="21"/>
      <c r="AS128" s="21"/>
      <c r="AT128" s="21"/>
      <c r="AU128" s="21">
        <f>SUM(AQ128:AT128)</f>
        <v>0</v>
      </c>
      <c r="AV128" s="25"/>
      <c r="AW128" s="25"/>
      <c r="AX128" s="25"/>
      <c r="AY128" s="25"/>
      <c r="AZ128" s="20"/>
      <c r="BA128" s="20"/>
      <c r="BB128" s="20"/>
      <c r="BC128" s="21">
        <f>SUM(AV128:BB128)</f>
        <v>0</v>
      </c>
      <c r="BD128" s="4">
        <f>F128+N128+V128+AD128+AV128</f>
        <v>0</v>
      </c>
      <c r="BE128" s="4">
        <f>G128+O128+W128+AE128+AW128</f>
        <v>640000</v>
      </c>
      <c r="BF128" s="4">
        <f>H128+P128+X128+AF128+AX128</f>
        <v>96000</v>
      </c>
      <c r="BG128" s="4">
        <f>I128+Q128+Y128+AG128+AL128+AQ128+AY128</f>
        <v>226000</v>
      </c>
      <c r="BH128" s="94">
        <f>J128+R128+Z128+AH128+AM128+AR128+AZ128</f>
        <v>0</v>
      </c>
      <c r="BI128" s="94">
        <f>K128+S128+AA128+AI128+AN128+AS128+BA128</f>
        <v>0</v>
      </c>
      <c r="BJ128" s="94">
        <f>L128+T128+AB128+AJ128+AO128+AT128+BB128</f>
        <v>0</v>
      </c>
      <c r="BK128" s="9">
        <f>SUM(BD128:BJ128)</f>
        <v>962000</v>
      </c>
    </row>
    <row r="129" spans="1:63" s="38" customFormat="1">
      <c r="A129" s="34"/>
      <c r="B129" s="34"/>
      <c r="C129" s="35" t="s">
        <v>241</v>
      </c>
      <c r="D129" s="37"/>
      <c r="E129" s="37"/>
      <c r="F129" s="37">
        <f>F128</f>
        <v>0</v>
      </c>
      <c r="G129" s="37">
        <f t="shared" ref="G129:BK129" si="297">G128</f>
        <v>155000</v>
      </c>
      <c r="H129" s="37">
        <f t="shared" si="297"/>
        <v>0</v>
      </c>
      <c r="I129" s="37">
        <f t="shared" si="276"/>
        <v>90000</v>
      </c>
      <c r="J129" s="37">
        <f t="shared" si="297"/>
        <v>0</v>
      </c>
      <c r="K129" s="37">
        <f t="shared" si="297"/>
        <v>0</v>
      </c>
      <c r="L129" s="37">
        <f t="shared" ref="L129" si="298">L128</f>
        <v>0</v>
      </c>
      <c r="M129" s="37">
        <f t="shared" si="297"/>
        <v>245000</v>
      </c>
      <c r="N129" s="37">
        <f t="shared" si="297"/>
        <v>0</v>
      </c>
      <c r="O129" s="37">
        <f t="shared" si="297"/>
        <v>0</v>
      </c>
      <c r="P129" s="37">
        <f t="shared" si="297"/>
        <v>0</v>
      </c>
      <c r="Q129" s="37">
        <f t="shared" si="278"/>
        <v>0</v>
      </c>
      <c r="R129" s="37">
        <f t="shared" si="297"/>
        <v>0</v>
      </c>
      <c r="S129" s="37">
        <f t="shared" si="297"/>
        <v>0</v>
      </c>
      <c r="T129" s="37">
        <f t="shared" ref="T129" si="299">T128</f>
        <v>0</v>
      </c>
      <c r="U129" s="37">
        <f t="shared" si="297"/>
        <v>0</v>
      </c>
      <c r="V129" s="37">
        <f t="shared" si="297"/>
        <v>0</v>
      </c>
      <c r="W129" s="37">
        <f t="shared" si="297"/>
        <v>290000</v>
      </c>
      <c r="X129" s="37">
        <f t="shared" si="297"/>
        <v>0</v>
      </c>
      <c r="Y129" s="37">
        <f t="shared" si="281"/>
        <v>116000</v>
      </c>
      <c r="Z129" s="37">
        <f t="shared" si="281"/>
        <v>0</v>
      </c>
      <c r="AA129" s="37">
        <f t="shared" si="281"/>
        <v>0</v>
      </c>
      <c r="AB129" s="37">
        <f t="shared" ref="AB129" si="300">SUM(AB128)</f>
        <v>0</v>
      </c>
      <c r="AC129" s="37">
        <f t="shared" si="297"/>
        <v>406000</v>
      </c>
      <c r="AD129" s="37">
        <f t="shared" si="297"/>
        <v>0</v>
      </c>
      <c r="AE129" s="37">
        <f t="shared" si="297"/>
        <v>195000</v>
      </c>
      <c r="AF129" s="37">
        <f t="shared" si="297"/>
        <v>96000</v>
      </c>
      <c r="AG129" s="37">
        <f t="shared" si="284"/>
        <v>20000</v>
      </c>
      <c r="AH129" s="37">
        <f t="shared" si="297"/>
        <v>0</v>
      </c>
      <c r="AI129" s="37">
        <f t="shared" si="297"/>
        <v>0</v>
      </c>
      <c r="AJ129" s="37">
        <f t="shared" ref="AJ129" si="301">AJ128</f>
        <v>0</v>
      </c>
      <c r="AK129" s="37">
        <f t="shared" si="297"/>
        <v>311000</v>
      </c>
      <c r="AL129" s="37">
        <f t="shared" si="287"/>
        <v>0</v>
      </c>
      <c r="AM129" s="37">
        <f t="shared" si="297"/>
        <v>0</v>
      </c>
      <c r="AN129" s="37">
        <f t="shared" si="297"/>
        <v>0</v>
      </c>
      <c r="AO129" s="37">
        <f t="shared" ref="AO129" si="302">AO128</f>
        <v>0</v>
      </c>
      <c r="AP129" s="37">
        <f t="shared" si="297"/>
        <v>0</v>
      </c>
      <c r="AQ129" s="37">
        <f t="shared" si="290"/>
        <v>0</v>
      </c>
      <c r="AR129" s="37">
        <f t="shared" si="297"/>
        <v>0</v>
      </c>
      <c r="AS129" s="37">
        <f t="shared" si="297"/>
        <v>0</v>
      </c>
      <c r="AT129" s="37">
        <f t="shared" ref="AT129" si="303">AT128</f>
        <v>0</v>
      </c>
      <c r="AU129" s="37">
        <f t="shared" si="297"/>
        <v>0</v>
      </c>
      <c r="AV129" s="37">
        <f t="shared" si="297"/>
        <v>0</v>
      </c>
      <c r="AW129" s="37">
        <f t="shared" si="297"/>
        <v>0</v>
      </c>
      <c r="AX129" s="37">
        <f t="shared" si="297"/>
        <v>0</v>
      </c>
      <c r="AY129" s="37">
        <f t="shared" si="293"/>
        <v>0</v>
      </c>
      <c r="AZ129" s="37">
        <f t="shared" si="297"/>
        <v>0</v>
      </c>
      <c r="BA129" s="37">
        <f t="shared" si="297"/>
        <v>0</v>
      </c>
      <c r="BB129" s="37">
        <f t="shared" ref="BB129" si="304">BB128</f>
        <v>0</v>
      </c>
      <c r="BC129" s="37">
        <f t="shared" si="297"/>
        <v>0</v>
      </c>
      <c r="BD129" s="37">
        <f t="shared" si="297"/>
        <v>0</v>
      </c>
      <c r="BE129" s="37">
        <f t="shared" si="297"/>
        <v>640000</v>
      </c>
      <c r="BF129" s="37">
        <f t="shared" si="297"/>
        <v>96000</v>
      </c>
      <c r="BG129" s="37">
        <f t="shared" si="297"/>
        <v>226000</v>
      </c>
      <c r="BH129" s="37">
        <f t="shared" si="297"/>
        <v>0</v>
      </c>
      <c r="BI129" s="37">
        <f t="shared" si="297"/>
        <v>0</v>
      </c>
      <c r="BJ129" s="37">
        <f t="shared" ref="BJ129" si="305">BJ128</f>
        <v>0</v>
      </c>
      <c r="BK129" s="37">
        <f t="shared" si="297"/>
        <v>962000</v>
      </c>
    </row>
    <row r="130" spans="1:63" ht="47.25">
      <c r="A130" s="185" t="s">
        <v>61</v>
      </c>
      <c r="B130" s="8">
        <v>1</v>
      </c>
      <c r="C130" s="1" t="s">
        <v>242</v>
      </c>
      <c r="D130" s="4" t="s">
        <v>243</v>
      </c>
      <c r="E130" s="4" t="s">
        <v>244</v>
      </c>
      <c r="F130" s="4"/>
      <c r="G130" s="4"/>
      <c r="H130" s="4">
        <v>155000</v>
      </c>
      <c r="I130" s="4"/>
      <c r="J130" s="4"/>
      <c r="K130" s="4"/>
      <c r="L130" s="4"/>
      <c r="M130" s="9">
        <f t="shared" ref="M130:M145" si="306">SUM(F130:L130)</f>
        <v>155000</v>
      </c>
      <c r="N130" s="4"/>
      <c r="O130" s="4"/>
      <c r="P130" s="4"/>
      <c r="Q130" s="4"/>
      <c r="R130" s="4"/>
      <c r="S130" s="4"/>
      <c r="T130" s="4"/>
      <c r="U130" s="9">
        <f t="shared" ref="U130:U145" si="307">SUM(N130:T130)</f>
        <v>0</v>
      </c>
      <c r="V130" s="20"/>
      <c r="W130" s="20"/>
      <c r="X130" s="4">
        <v>290000</v>
      </c>
      <c r="Y130" s="20"/>
      <c r="Z130" s="20"/>
      <c r="AA130" s="20"/>
      <c r="AB130" s="20"/>
      <c r="AC130" s="9">
        <f t="shared" ref="AC130:AC145" si="308">SUM(V130:AB130)</f>
        <v>290000</v>
      </c>
      <c r="AD130" s="20"/>
      <c r="AE130" s="25">
        <v>195000</v>
      </c>
      <c r="AF130" s="20"/>
      <c r="AG130" s="20"/>
      <c r="AH130" s="20"/>
      <c r="AI130" s="20"/>
      <c r="AJ130" s="20"/>
      <c r="AK130" s="21">
        <f t="shared" ref="AK130:AK145" si="309">SUM(AD130:AJ130)</f>
        <v>195000</v>
      </c>
      <c r="AL130" s="25"/>
      <c r="AM130" s="20"/>
      <c r="AN130" s="20"/>
      <c r="AO130" s="20"/>
      <c r="AP130" s="21">
        <f t="shared" ref="AP130:AP145" si="310">SUM(AL130:AO130)</f>
        <v>0</v>
      </c>
      <c r="AQ130" s="25"/>
      <c r="AR130" s="20"/>
      <c r="AS130" s="20"/>
      <c r="AT130" s="20"/>
      <c r="AU130" s="21">
        <f t="shared" ref="AU130:AU145" si="311">SUM(AQ130:AT130)</f>
        <v>0</v>
      </c>
      <c r="AV130" s="25"/>
      <c r="AW130" s="24">
        <f>100000+257600</f>
        <v>357600</v>
      </c>
      <c r="AX130" s="25"/>
      <c r="AY130" s="25"/>
      <c r="AZ130" s="20"/>
      <c r="BA130" s="20"/>
      <c r="BB130" s="20"/>
      <c r="BC130" s="21">
        <f t="shared" ref="BC130:BC145" si="312">SUM(AV130:BB130)</f>
        <v>357600</v>
      </c>
      <c r="BD130" s="4">
        <f t="shared" ref="BD130:BD145" si="313">F130+N130+V130+AD130+AV130</f>
        <v>0</v>
      </c>
      <c r="BE130" s="4">
        <f t="shared" ref="BE130:BE145" si="314">G130+O130+W130+AE130+AW130</f>
        <v>552600</v>
      </c>
      <c r="BF130" s="4">
        <f t="shared" ref="BF130:BF145" si="315">H130+P130+X130+AF130+AX130</f>
        <v>445000</v>
      </c>
      <c r="BG130" s="4">
        <f t="shared" ref="BG130:BG145" si="316">I130+Q130+Y130+AG130+AL130+AQ130+AY130</f>
        <v>0</v>
      </c>
      <c r="BH130" s="94">
        <f t="shared" ref="BH130:BH145" si="317">J130+R130+Z130+AH130+AM130+AR130+AZ130</f>
        <v>0</v>
      </c>
      <c r="BI130" s="94">
        <f t="shared" ref="BI130:BI145" si="318">K130+S130+AA130+AI130+AN130+AS130+BA130</f>
        <v>0</v>
      </c>
      <c r="BJ130" s="94">
        <f t="shared" ref="BJ130:BJ145" si="319">L130+T130+AB130+AJ130+AO130+AT130+BB130</f>
        <v>0</v>
      </c>
      <c r="BK130" s="9">
        <f t="shared" ref="BK130:BK145" si="320">SUM(BD130:BJ130)</f>
        <v>997600</v>
      </c>
    </row>
    <row r="131" spans="1:63">
      <c r="A131" s="186"/>
      <c r="B131" s="8">
        <v>2</v>
      </c>
      <c r="C131" s="1" t="s">
        <v>245</v>
      </c>
      <c r="D131" s="4" t="s">
        <v>246</v>
      </c>
      <c r="E131" s="4" t="s">
        <v>244</v>
      </c>
      <c r="F131" s="4"/>
      <c r="G131" s="4"/>
      <c r="H131" s="5"/>
      <c r="I131" s="4"/>
      <c r="J131" s="4"/>
      <c r="K131" s="4"/>
      <c r="L131" s="4"/>
      <c r="M131" s="9">
        <f t="shared" si="306"/>
        <v>0</v>
      </c>
      <c r="N131" s="76"/>
      <c r="O131" s="76">
        <v>1690000</v>
      </c>
      <c r="P131" s="76">
        <v>1290000</v>
      </c>
      <c r="Q131" s="76">
        <v>150000</v>
      </c>
      <c r="R131" s="4"/>
      <c r="S131" s="4"/>
      <c r="T131" s="4"/>
      <c r="U131" s="9">
        <f t="shared" si="307"/>
        <v>3130000</v>
      </c>
      <c r="V131" s="20"/>
      <c r="W131" s="26">
        <v>1389000</v>
      </c>
      <c r="X131" s="4">
        <v>1080000</v>
      </c>
      <c r="Y131" s="22">
        <v>420000</v>
      </c>
      <c r="Z131" s="22"/>
      <c r="AA131" s="22"/>
      <c r="AB131" s="22"/>
      <c r="AC131" s="9">
        <f t="shared" si="308"/>
        <v>2889000</v>
      </c>
      <c r="AD131" s="20"/>
      <c r="AE131" s="25"/>
      <c r="AF131" s="20"/>
      <c r="AG131" s="20"/>
      <c r="AH131" s="20"/>
      <c r="AI131" s="20"/>
      <c r="AJ131" s="20"/>
      <c r="AK131" s="21">
        <f t="shared" si="309"/>
        <v>0</v>
      </c>
      <c r="AL131" s="25"/>
      <c r="AM131" s="20"/>
      <c r="AN131" s="20"/>
      <c r="AO131" s="20"/>
      <c r="AP131" s="21">
        <f t="shared" si="310"/>
        <v>0</v>
      </c>
      <c r="AQ131" s="24">
        <v>900000</v>
      </c>
      <c r="AR131" s="20">
        <f>300000+300000+300000+300000+200000</f>
        <v>1400000</v>
      </c>
      <c r="AS131" s="20">
        <f>2225000+765000</f>
        <v>2990000</v>
      </c>
      <c r="AT131" s="20">
        <f>1275000+510000+255000+255000+510000+255000</f>
        <v>3060000</v>
      </c>
      <c r="AU131" s="21">
        <f t="shared" si="311"/>
        <v>8350000</v>
      </c>
      <c r="AV131" s="25"/>
      <c r="AW131" s="25">
        <v>100000</v>
      </c>
      <c r="AX131" s="25">
        <v>540000</v>
      </c>
      <c r="AY131" s="25"/>
      <c r="AZ131" s="20"/>
      <c r="BA131" s="20"/>
      <c r="BB131" s="20"/>
      <c r="BC131" s="21">
        <f t="shared" si="312"/>
        <v>640000</v>
      </c>
      <c r="BD131" s="4">
        <f t="shared" si="313"/>
        <v>0</v>
      </c>
      <c r="BE131" s="4">
        <f t="shared" si="314"/>
        <v>3179000</v>
      </c>
      <c r="BF131" s="4">
        <f t="shared" si="315"/>
        <v>2910000</v>
      </c>
      <c r="BG131" s="4">
        <f t="shared" si="316"/>
        <v>1470000</v>
      </c>
      <c r="BH131" s="94">
        <f t="shared" si="317"/>
        <v>1400000</v>
      </c>
      <c r="BI131" s="94">
        <f t="shared" si="318"/>
        <v>2990000</v>
      </c>
      <c r="BJ131" s="94">
        <f t="shared" si="319"/>
        <v>3060000</v>
      </c>
      <c r="BK131" s="9">
        <f t="shared" si="320"/>
        <v>15009000</v>
      </c>
    </row>
    <row r="132" spans="1:63">
      <c r="A132" s="186"/>
      <c r="B132" s="8">
        <v>3</v>
      </c>
      <c r="C132" s="1" t="s">
        <v>247</v>
      </c>
      <c r="D132" s="5" t="s">
        <v>262</v>
      </c>
      <c r="E132" s="4" t="s">
        <v>244</v>
      </c>
      <c r="F132" s="4"/>
      <c r="G132" s="4"/>
      <c r="H132" s="5"/>
      <c r="I132" s="4"/>
      <c r="J132" s="4"/>
      <c r="K132" s="4"/>
      <c r="L132" s="4"/>
      <c r="M132" s="9">
        <f t="shared" si="306"/>
        <v>0</v>
      </c>
      <c r="N132" s="4"/>
      <c r="O132" s="72"/>
      <c r="P132" s="4"/>
      <c r="Q132" s="4"/>
      <c r="R132" s="4"/>
      <c r="S132" s="4"/>
      <c r="T132" s="4"/>
      <c r="U132" s="9">
        <f t="shared" si="307"/>
        <v>0</v>
      </c>
      <c r="V132" s="20"/>
      <c r="W132" s="20"/>
      <c r="X132" s="4"/>
      <c r="Y132" s="20"/>
      <c r="Z132" s="20"/>
      <c r="AA132" s="20"/>
      <c r="AB132" s="20"/>
      <c r="AC132" s="9">
        <f t="shared" si="308"/>
        <v>0</v>
      </c>
      <c r="AD132" s="20"/>
      <c r="AE132" s="25">
        <v>438200</v>
      </c>
      <c r="AF132" s="25">
        <v>274300</v>
      </c>
      <c r="AG132" s="24">
        <v>959000</v>
      </c>
      <c r="AH132" s="20">
        <f>70000+210000+210000</f>
        <v>490000</v>
      </c>
      <c r="AI132" s="20">
        <f>1504775+271600+135800</f>
        <v>1912175</v>
      </c>
      <c r="AJ132" s="20">
        <v>1629600</v>
      </c>
      <c r="AK132" s="21">
        <f t="shared" si="309"/>
        <v>5703275</v>
      </c>
      <c r="AL132" s="25"/>
      <c r="AM132" s="20"/>
      <c r="AN132" s="20"/>
      <c r="AO132" s="20"/>
      <c r="AP132" s="21">
        <f t="shared" si="310"/>
        <v>0</v>
      </c>
      <c r="AQ132" s="25"/>
      <c r="AR132" s="20"/>
      <c r="AS132" s="20"/>
      <c r="AT132" s="20"/>
      <c r="AU132" s="21">
        <f t="shared" si="311"/>
        <v>0</v>
      </c>
      <c r="AV132" s="25"/>
      <c r="AW132" s="25">
        <v>100000</v>
      </c>
      <c r="AX132" s="25"/>
      <c r="AY132" s="25">
        <v>120000</v>
      </c>
      <c r="AZ132" s="20"/>
      <c r="BA132" s="20"/>
      <c r="BB132" s="20"/>
      <c r="BC132" s="21">
        <f t="shared" si="312"/>
        <v>220000</v>
      </c>
      <c r="BD132" s="4">
        <f t="shared" si="313"/>
        <v>0</v>
      </c>
      <c r="BE132" s="4">
        <f t="shared" si="314"/>
        <v>538200</v>
      </c>
      <c r="BF132" s="4">
        <f t="shared" si="315"/>
        <v>274300</v>
      </c>
      <c r="BG132" s="4">
        <f t="shared" si="316"/>
        <v>1079000</v>
      </c>
      <c r="BH132" s="94">
        <f t="shared" si="317"/>
        <v>490000</v>
      </c>
      <c r="BI132" s="94">
        <f t="shared" si="318"/>
        <v>1912175</v>
      </c>
      <c r="BJ132" s="94">
        <f t="shared" si="319"/>
        <v>1629600</v>
      </c>
      <c r="BK132" s="9">
        <f t="shared" si="320"/>
        <v>5923275</v>
      </c>
    </row>
    <row r="133" spans="1:63" ht="31.5">
      <c r="A133" s="186"/>
      <c r="B133" s="8">
        <v>4</v>
      </c>
      <c r="C133" s="1" t="s">
        <v>248</v>
      </c>
      <c r="D133" s="46" t="s">
        <v>249</v>
      </c>
      <c r="E133" s="4" t="s">
        <v>244</v>
      </c>
      <c r="F133" s="4"/>
      <c r="G133" s="4"/>
      <c r="H133" s="5"/>
      <c r="I133" s="4"/>
      <c r="J133" s="4"/>
      <c r="K133" s="4"/>
      <c r="L133" s="4"/>
      <c r="M133" s="9">
        <f t="shared" si="306"/>
        <v>0</v>
      </c>
      <c r="N133" s="76">
        <v>290000</v>
      </c>
      <c r="O133" s="76">
        <v>1830000</v>
      </c>
      <c r="P133" s="76">
        <v>1500000</v>
      </c>
      <c r="Q133" s="76">
        <v>250000</v>
      </c>
      <c r="R133" s="4"/>
      <c r="S133" s="4"/>
      <c r="T133" s="4"/>
      <c r="U133" s="9">
        <f t="shared" si="307"/>
        <v>3870000</v>
      </c>
      <c r="V133" s="20">
        <v>290000</v>
      </c>
      <c r="W133" s="26">
        <v>2142000</v>
      </c>
      <c r="X133" s="4">
        <v>840000</v>
      </c>
      <c r="Y133" s="22">
        <v>540000</v>
      </c>
      <c r="Z133" s="22"/>
      <c r="AA133" s="22"/>
      <c r="AB133" s="22"/>
      <c r="AC133" s="9">
        <f t="shared" si="308"/>
        <v>3812000</v>
      </c>
      <c r="AD133" s="20">
        <v>195000</v>
      </c>
      <c r="AE133" s="25">
        <v>1226050</v>
      </c>
      <c r="AF133" s="25">
        <v>607150</v>
      </c>
      <c r="AG133" s="24">
        <v>240000</v>
      </c>
      <c r="AH133" s="20"/>
      <c r="AI133" s="20"/>
      <c r="AJ133" s="20"/>
      <c r="AK133" s="21">
        <f t="shared" si="309"/>
        <v>2268200</v>
      </c>
      <c r="AL133" s="25"/>
      <c r="AM133" s="20"/>
      <c r="AN133" s="20"/>
      <c r="AO133" s="20"/>
      <c r="AP133" s="21">
        <f t="shared" si="310"/>
        <v>0</v>
      </c>
      <c r="AQ133" s="25"/>
      <c r="AR133" s="20"/>
      <c r="AS133" s="20">
        <v>1266500</v>
      </c>
      <c r="AT133" s="20">
        <f>255000+765000+510000+255000+255000+510000+255000</f>
        <v>2805000</v>
      </c>
      <c r="AU133" s="21">
        <f t="shared" si="311"/>
        <v>4071500</v>
      </c>
      <c r="AV133" s="25"/>
      <c r="AW133" s="25">
        <v>100000</v>
      </c>
      <c r="AX133" s="25">
        <v>522000</v>
      </c>
      <c r="AY133" s="25"/>
      <c r="AZ133" s="20"/>
      <c r="BA133" s="20"/>
      <c r="BB133" s="20"/>
      <c r="BC133" s="21">
        <f t="shared" si="312"/>
        <v>622000</v>
      </c>
      <c r="BD133" s="4">
        <f t="shared" si="313"/>
        <v>775000</v>
      </c>
      <c r="BE133" s="4">
        <f t="shared" si="314"/>
        <v>5298050</v>
      </c>
      <c r="BF133" s="4">
        <f t="shared" si="315"/>
        <v>3469150</v>
      </c>
      <c r="BG133" s="4">
        <f t="shared" si="316"/>
        <v>1030000</v>
      </c>
      <c r="BH133" s="94">
        <f t="shared" si="317"/>
        <v>0</v>
      </c>
      <c r="BI133" s="94">
        <f t="shared" si="318"/>
        <v>1266500</v>
      </c>
      <c r="BJ133" s="94">
        <f t="shared" si="319"/>
        <v>2805000</v>
      </c>
      <c r="BK133" s="9">
        <f t="shared" si="320"/>
        <v>14643700</v>
      </c>
    </row>
    <row r="134" spans="1:63" ht="31.5">
      <c r="A134" s="186"/>
      <c r="B134" s="8">
        <v>5</v>
      </c>
      <c r="C134" s="1" t="s">
        <v>250</v>
      </c>
      <c r="D134" s="4" t="s">
        <v>251</v>
      </c>
      <c r="E134" s="4" t="s">
        <v>244</v>
      </c>
      <c r="F134" s="4"/>
      <c r="G134" s="4"/>
      <c r="H134" s="5"/>
      <c r="I134" s="4"/>
      <c r="J134" s="4"/>
      <c r="K134" s="4"/>
      <c r="L134" s="4"/>
      <c r="M134" s="9">
        <f t="shared" si="306"/>
        <v>0</v>
      </c>
      <c r="N134" s="76"/>
      <c r="O134" s="76">
        <v>290000</v>
      </c>
      <c r="P134" s="76"/>
      <c r="Q134" s="76"/>
      <c r="R134" s="4"/>
      <c r="S134" s="4"/>
      <c r="T134" s="4"/>
      <c r="U134" s="9">
        <f t="shared" si="307"/>
        <v>290000</v>
      </c>
      <c r="V134" s="20"/>
      <c r="W134" s="20"/>
      <c r="X134" s="4"/>
      <c r="Y134" s="20"/>
      <c r="Z134" s="20"/>
      <c r="AA134" s="20"/>
      <c r="AB134" s="20"/>
      <c r="AC134" s="9">
        <f t="shared" si="308"/>
        <v>0</v>
      </c>
      <c r="AD134" s="20"/>
      <c r="AE134" s="25"/>
      <c r="AF134" s="25"/>
      <c r="AG134" s="24"/>
      <c r="AH134" s="20"/>
      <c r="AI134" s="20"/>
      <c r="AJ134" s="20"/>
      <c r="AK134" s="21">
        <f t="shared" si="309"/>
        <v>0</v>
      </c>
      <c r="AL134" s="25"/>
      <c r="AM134" s="20"/>
      <c r="AN134" s="20"/>
      <c r="AO134" s="20"/>
      <c r="AP134" s="21">
        <f t="shared" si="310"/>
        <v>0</v>
      </c>
      <c r="AQ134" s="25"/>
      <c r="AR134" s="20"/>
      <c r="AS134" s="20"/>
      <c r="AT134" s="20"/>
      <c r="AU134" s="21">
        <f t="shared" si="311"/>
        <v>0</v>
      </c>
      <c r="AV134" s="25"/>
      <c r="AW134" s="25"/>
      <c r="AX134" s="25"/>
      <c r="AY134" s="25"/>
      <c r="AZ134" s="20"/>
      <c r="BA134" s="20"/>
      <c r="BB134" s="20"/>
      <c r="BC134" s="21">
        <f t="shared" si="312"/>
        <v>0</v>
      </c>
      <c r="BD134" s="4">
        <f t="shared" si="313"/>
        <v>0</v>
      </c>
      <c r="BE134" s="4">
        <f t="shared" si="314"/>
        <v>290000</v>
      </c>
      <c r="BF134" s="4">
        <f t="shared" si="315"/>
        <v>0</v>
      </c>
      <c r="BG134" s="4">
        <f t="shared" si="316"/>
        <v>0</v>
      </c>
      <c r="BH134" s="94">
        <f t="shared" si="317"/>
        <v>0</v>
      </c>
      <c r="BI134" s="94">
        <f t="shared" si="318"/>
        <v>0</v>
      </c>
      <c r="BJ134" s="94">
        <f t="shared" si="319"/>
        <v>0</v>
      </c>
      <c r="BK134" s="9">
        <f t="shared" si="320"/>
        <v>290000</v>
      </c>
    </row>
    <row r="135" spans="1:63" ht="47.25">
      <c r="A135" s="186"/>
      <c r="B135" s="8">
        <v>6</v>
      </c>
      <c r="C135" s="1" t="s">
        <v>252</v>
      </c>
      <c r="D135" s="4" t="s">
        <v>253</v>
      </c>
      <c r="E135" s="4" t="s">
        <v>25</v>
      </c>
      <c r="F135" s="4">
        <v>155000</v>
      </c>
      <c r="G135" s="4"/>
      <c r="H135" s="4">
        <f>891000+110000</f>
        <v>1001000</v>
      </c>
      <c r="I135" s="4"/>
      <c r="J135" s="4"/>
      <c r="K135" s="4"/>
      <c r="L135" s="4"/>
      <c r="M135" s="9">
        <f t="shared" si="306"/>
        <v>1156000</v>
      </c>
      <c r="N135" s="76">
        <v>290000</v>
      </c>
      <c r="O135" s="76"/>
      <c r="P135" s="76">
        <v>1800000</v>
      </c>
      <c r="Q135" s="76"/>
      <c r="R135" s="4"/>
      <c r="S135" s="4"/>
      <c r="T135" s="4"/>
      <c r="U135" s="9">
        <f t="shared" si="307"/>
        <v>2090000</v>
      </c>
      <c r="V135" s="20"/>
      <c r="W135" s="20"/>
      <c r="X135" s="4"/>
      <c r="Y135" s="20"/>
      <c r="Z135" s="20"/>
      <c r="AA135" s="20"/>
      <c r="AB135" s="20"/>
      <c r="AC135" s="9">
        <f t="shared" si="308"/>
        <v>0</v>
      </c>
      <c r="AD135" s="20"/>
      <c r="AE135" s="20"/>
      <c r="AF135" s="20"/>
      <c r="AG135" s="20"/>
      <c r="AH135" s="20"/>
      <c r="AI135" s="20"/>
      <c r="AJ135" s="20"/>
      <c r="AK135" s="21">
        <f t="shared" si="309"/>
        <v>0</v>
      </c>
      <c r="AL135" s="25"/>
      <c r="AM135" s="20"/>
      <c r="AN135" s="20"/>
      <c r="AO135" s="20"/>
      <c r="AP135" s="21">
        <f t="shared" si="310"/>
        <v>0</v>
      </c>
      <c r="AQ135" s="25"/>
      <c r="AR135" s="20"/>
      <c r="AS135" s="20"/>
      <c r="AT135" s="20"/>
      <c r="AU135" s="21">
        <f t="shared" si="311"/>
        <v>0</v>
      </c>
      <c r="AV135" s="25"/>
      <c r="AW135" s="24">
        <v>100000</v>
      </c>
      <c r="AX135" s="25"/>
      <c r="AY135" s="25"/>
      <c r="AZ135" s="20"/>
      <c r="BA135" s="20"/>
      <c r="BB135" s="20"/>
      <c r="BC135" s="21">
        <f t="shared" si="312"/>
        <v>100000</v>
      </c>
      <c r="BD135" s="4">
        <f t="shared" si="313"/>
        <v>445000</v>
      </c>
      <c r="BE135" s="4">
        <f t="shared" si="314"/>
        <v>100000</v>
      </c>
      <c r="BF135" s="4">
        <f t="shared" si="315"/>
        <v>2801000</v>
      </c>
      <c r="BG135" s="4">
        <f t="shared" si="316"/>
        <v>0</v>
      </c>
      <c r="BH135" s="94">
        <f t="shared" si="317"/>
        <v>0</v>
      </c>
      <c r="BI135" s="94">
        <f t="shared" si="318"/>
        <v>0</v>
      </c>
      <c r="BJ135" s="94">
        <f t="shared" si="319"/>
        <v>0</v>
      </c>
      <c r="BK135" s="9">
        <f t="shared" si="320"/>
        <v>3346000</v>
      </c>
    </row>
    <row r="136" spans="1:63" ht="31.5">
      <c r="A136" s="186"/>
      <c r="B136" s="8">
        <v>7</v>
      </c>
      <c r="C136" s="1" t="s">
        <v>2</v>
      </c>
      <c r="D136" s="43" t="s">
        <v>243</v>
      </c>
      <c r="E136" s="4" t="s">
        <v>25</v>
      </c>
      <c r="F136" s="4"/>
      <c r="G136" s="4"/>
      <c r="H136" s="4"/>
      <c r="I136" s="4"/>
      <c r="J136" s="4"/>
      <c r="K136" s="4"/>
      <c r="L136" s="4"/>
      <c r="M136" s="9">
        <f t="shared" si="306"/>
        <v>0</v>
      </c>
      <c r="N136" s="4"/>
      <c r="O136" s="72"/>
      <c r="P136" s="4"/>
      <c r="Q136" s="4"/>
      <c r="R136" s="4"/>
      <c r="S136" s="4"/>
      <c r="T136" s="4"/>
      <c r="U136" s="9">
        <f t="shared" si="307"/>
        <v>0</v>
      </c>
      <c r="V136" s="20"/>
      <c r="W136" s="20">
        <v>290000</v>
      </c>
      <c r="X136" s="4">
        <v>-290000</v>
      </c>
      <c r="Y136" s="20"/>
      <c r="Z136" s="20"/>
      <c r="AA136" s="20"/>
      <c r="AB136" s="20"/>
      <c r="AC136" s="9">
        <f t="shared" si="308"/>
        <v>0</v>
      </c>
      <c r="AD136" s="20"/>
      <c r="AE136" s="25">
        <v>195000</v>
      </c>
      <c r="AF136" s="20"/>
      <c r="AG136" s="20"/>
      <c r="AH136" s="20"/>
      <c r="AI136" s="20"/>
      <c r="AJ136" s="20"/>
      <c r="AK136" s="21">
        <f t="shared" si="309"/>
        <v>195000</v>
      </c>
      <c r="AL136" s="25"/>
      <c r="AM136" s="20"/>
      <c r="AN136" s="20"/>
      <c r="AO136" s="20"/>
      <c r="AP136" s="21">
        <f t="shared" si="310"/>
        <v>0</v>
      </c>
      <c r="AQ136" s="25"/>
      <c r="AR136" s="20"/>
      <c r="AS136" s="20"/>
      <c r="AT136" s="20"/>
      <c r="AU136" s="21">
        <f t="shared" si="311"/>
        <v>0</v>
      </c>
      <c r="AV136" s="25"/>
      <c r="AW136" s="25"/>
      <c r="AX136" s="25"/>
      <c r="AY136" s="25"/>
      <c r="AZ136" s="20"/>
      <c r="BA136" s="20"/>
      <c r="BB136" s="20"/>
      <c r="BC136" s="21">
        <f t="shared" si="312"/>
        <v>0</v>
      </c>
      <c r="BD136" s="4">
        <f t="shared" si="313"/>
        <v>0</v>
      </c>
      <c r="BE136" s="4">
        <f t="shared" si="314"/>
        <v>485000</v>
      </c>
      <c r="BF136" s="4">
        <f t="shared" si="315"/>
        <v>-290000</v>
      </c>
      <c r="BG136" s="4">
        <f t="shared" si="316"/>
        <v>0</v>
      </c>
      <c r="BH136" s="94">
        <f t="shared" si="317"/>
        <v>0</v>
      </c>
      <c r="BI136" s="94">
        <f t="shared" si="318"/>
        <v>0</v>
      </c>
      <c r="BJ136" s="94">
        <f t="shared" si="319"/>
        <v>0</v>
      </c>
      <c r="BK136" s="9">
        <f t="shared" si="320"/>
        <v>195000</v>
      </c>
    </row>
    <row r="137" spans="1:63">
      <c r="A137" s="186"/>
      <c r="B137" s="8">
        <v>8</v>
      </c>
      <c r="C137" s="1" t="s">
        <v>254</v>
      </c>
      <c r="D137" s="41" t="s">
        <v>255</v>
      </c>
      <c r="E137" s="4" t="s">
        <v>25</v>
      </c>
      <c r="F137" s="4"/>
      <c r="G137" s="4"/>
      <c r="H137" s="4"/>
      <c r="I137" s="4"/>
      <c r="J137" s="4"/>
      <c r="K137" s="4"/>
      <c r="L137" s="4"/>
      <c r="M137" s="9">
        <f t="shared" si="306"/>
        <v>0</v>
      </c>
      <c r="N137" s="76">
        <v>290000</v>
      </c>
      <c r="O137" s="76">
        <v>1200000</v>
      </c>
      <c r="P137" s="76">
        <v>2060000</v>
      </c>
      <c r="Q137" s="76">
        <v>250000</v>
      </c>
      <c r="R137" s="4"/>
      <c r="S137" s="4"/>
      <c r="T137" s="4"/>
      <c r="U137" s="9">
        <f t="shared" si="307"/>
        <v>3800000</v>
      </c>
      <c r="V137" s="20"/>
      <c r="W137" s="20">
        <v>290000</v>
      </c>
      <c r="X137" s="4">
        <v>1008000</v>
      </c>
      <c r="Y137" s="22">
        <v>360000</v>
      </c>
      <c r="Z137" s="22"/>
      <c r="AA137" s="22"/>
      <c r="AB137" s="22"/>
      <c r="AC137" s="9">
        <f t="shared" si="308"/>
        <v>1658000</v>
      </c>
      <c r="AD137" s="20"/>
      <c r="AE137" s="25"/>
      <c r="AF137" s="20"/>
      <c r="AG137" s="20"/>
      <c r="AH137" s="20"/>
      <c r="AI137" s="20"/>
      <c r="AJ137" s="20"/>
      <c r="AK137" s="21">
        <f t="shared" si="309"/>
        <v>0</v>
      </c>
      <c r="AL137" s="25"/>
      <c r="AM137" s="20"/>
      <c r="AN137" s="20"/>
      <c r="AO137" s="20"/>
      <c r="AP137" s="21">
        <f t="shared" si="310"/>
        <v>0</v>
      </c>
      <c r="AQ137" s="24">
        <v>900000</v>
      </c>
      <c r="AR137" s="20">
        <f>300000+300000+300000+300000+200000</f>
        <v>1400000</v>
      </c>
      <c r="AS137" s="20">
        <v>1975000</v>
      </c>
      <c r="AT137" s="20">
        <f>1275000+765000+510000+255000+255000+255000+510000</f>
        <v>3825000</v>
      </c>
      <c r="AU137" s="21">
        <f t="shared" si="311"/>
        <v>8100000</v>
      </c>
      <c r="AV137" s="25"/>
      <c r="AW137" s="25"/>
      <c r="AX137" s="25"/>
      <c r="AY137" s="25"/>
      <c r="AZ137" s="20"/>
      <c r="BA137" s="20"/>
      <c r="BB137" s="20"/>
      <c r="BC137" s="21">
        <f t="shared" si="312"/>
        <v>0</v>
      </c>
      <c r="BD137" s="4">
        <f t="shared" si="313"/>
        <v>290000</v>
      </c>
      <c r="BE137" s="4">
        <f t="shared" si="314"/>
        <v>1490000</v>
      </c>
      <c r="BF137" s="4">
        <f t="shared" si="315"/>
        <v>3068000</v>
      </c>
      <c r="BG137" s="4">
        <f t="shared" si="316"/>
        <v>1510000</v>
      </c>
      <c r="BH137" s="94">
        <f t="shared" si="317"/>
        <v>1400000</v>
      </c>
      <c r="BI137" s="94">
        <f t="shared" si="318"/>
        <v>1975000</v>
      </c>
      <c r="BJ137" s="94">
        <f t="shared" si="319"/>
        <v>3825000</v>
      </c>
      <c r="BK137" s="9">
        <f t="shared" si="320"/>
        <v>13558000</v>
      </c>
    </row>
    <row r="138" spans="1:63">
      <c r="A138" s="186"/>
      <c r="B138" s="8"/>
      <c r="C138" s="1" t="s">
        <v>474</v>
      </c>
      <c r="D138" s="41"/>
      <c r="E138" s="4" t="s">
        <v>25</v>
      </c>
      <c r="F138" s="4"/>
      <c r="G138" s="4"/>
      <c r="H138" s="4"/>
      <c r="I138" s="4"/>
      <c r="J138" s="4"/>
      <c r="K138" s="4"/>
      <c r="L138" s="4"/>
      <c r="M138" s="9">
        <f t="shared" si="306"/>
        <v>0</v>
      </c>
      <c r="N138" s="76"/>
      <c r="O138" s="76"/>
      <c r="P138" s="76">
        <v>-200000</v>
      </c>
      <c r="Q138" s="76"/>
      <c r="R138" s="4"/>
      <c r="S138" s="4"/>
      <c r="T138" s="4"/>
      <c r="U138" s="9">
        <f t="shared" si="307"/>
        <v>-200000</v>
      </c>
      <c r="V138" s="20"/>
      <c r="W138" s="20"/>
      <c r="X138" s="4"/>
      <c r="Y138" s="22"/>
      <c r="Z138" s="22"/>
      <c r="AA138" s="22"/>
      <c r="AB138" s="22"/>
      <c r="AC138" s="9">
        <f t="shared" si="308"/>
        <v>0</v>
      </c>
      <c r="AD138" s="20"/>
      <c r="AE138" s="25"/>
      <c r="AF138" s="20"/>
      <c r="AG138" s="20"/>
      <c r="AH138" s="20"/>
      <c r="AI138" s="20"/>
      <c r="AJ138" s="20"/>
      <c r="AK138" s="21">
        <f t="shared" si="309"/>
        <v>0</v>
      </c>
      <c r="AL138" s="25"/>
      <c r="AM138" s="20"/>
      <c r="AN138" s="20"/>
      <c r="AO138" s="20"/>
      <c r="AP138" s="21">
        <f t="shared" si="310"/>
        <v>0</v>
      </c>
      <c r="AQ138" s="24"/>
      <c r="AR138" s="20"/>
      <c r="AS138" s="20"/>
      <c r="AT138" s="20"/>
      <c r="AU138" s="21">
        <f t="shared" si="311"/>
        <v>0</v>
      </c>
      <c r="AV138" s="25"/>
      <c r="AW138" s="25"/>
      <c r="AX138" s="25"/>
      <c r="AY138" s="25"/>
      <c r="AZ138" s="20"/>
      <c r="BA138" s="20"/>
      <c r="BB138" s="20"/>
      <c r="BC138" s="21">
        <f t="shared" si="312"/>
        <v>0</v>
      </c>
      <c r="BD138" s="4">
        <f t="shared" si="313"/>
        <v>0</v>
      </c>
      <c r="BE138" s="4">
        <f t="shared" si="314"/>
        <v>0</v>
      </c>
      <c r="BF138" s="4">
        <f t="shared" si="315"/>
        <v>-200000</v>
      </c>
      <c r="BG138" s="4">
        <f t="shared" si="316"/>
        <v>0</v>
      </c>
      <c r="BH138" s="94">
        <f t="shared" si="317"/>
        <v>0</v>
      </c>
      <c r="BI138" s="94">
        <f t="shared" si="318"/>
        <v>0</v>
      </c>
      <c r="BJ138" s="94">
        <f t="shared" si="319"/>
        <v>0</v>
      </c>
      <c r="BK138" s="9">
        <f t="shared" si="320"/>
        <v>-200000</v>
      </c>
    </row>
    <row r="139" spans="1:63" ht="31.5">
      <c r="A139" s="186"/>
      <c r="B139" s="8">
        <v>9</v>
      </c>
      <c r="C139" s="1" t="s">
        <v>256</v>
      </c>
      <c r="D139" s="4" t="s">
        <v>257</v>
      </c>
      <c r="E139" s="4" t="s">
        <v>258</v>
      </c>
      <c r="F139" s="4"/>
      <c r="G139" s="4">
        <v>298000</v>
      </c>
      <c r="H139" s="4">
        <v>60000</v>
      </c>
      <c r="I139" s="4">
        <v>200000</v>
      </c>
      <c r="J139" s="4"/>
      <c r="K139" s="4"/>
      <c r="L139" s="4"/>
      <c r="M139" s="9">
        <f t="shared" si="306"/>
        <v>558000</v>
      </c>
      <c r="N139" s="4"/>
      <c r="O139" s="72"/>
      <c r="P139" s="4"/>
      <c r="Q139" s="4"/>
      <c r="R139" s="4"/>
      <c r="S139" s="4"/>
      <c r="T139" s="4"/>
      <c r="U139" s="9">
        <f t="shared" si="307"/>
        <v>0</v>
      </c>
      <c r="V139" s="20"/>
      <c r="W139" s="20"/>
      <c r="X139" s="20"/>
      <c r="Y139" s="20"/>
      <c r="Z139" s="20"/>
      <c r="AA139" s="20"/>
      <c r="AB139" s="20"/>
      <c r="AC139" s="9">
        <f t="shared" si="308"/>
        <v>0</v>
      </c>
      <c r="AD139" s="20"/>
      <c r="AE139" s="25">
        <v>330800</v>
      </c>
      <c r="AF139" s="20"/>
      <c r="AG139" s="20">
        <v>450000</v>
      </c>
      <c r="AH139" s="20"/>
      <c r="AI139" s="20"/>
      <c r="AJ139" s="20"/>
      <c r="AK139" s="21">
        <f t="shared" si="309"/>
        <v>780800</v>
      </c>
      <c r="AL139" s="25">
        <v>315000</v>
      </c>
      <c r="AM139" s="20">
        <v>105000</v>
      </c>
      <c r="AN139" s="20"/>
      <c r="AO139" s="20"/>
      <c r="AP139" s="21">
        <f t="shared" si="310"/>
        <v>420000</v>
      </c>
      <c r="AQ139" s="25"/>
      <c r="AR139" s="20"/>
      <c r="AS139" s="20"/>
      <c r="AT139" s="20"/>
      <c r="AU139" s="21">
        <f t="shared" si="311"/>
        <v>0</v>
      </c>
      <c r="AV139" s="25"/>
      <c r="AW139" s="25"/>
      <c r="AX139" s="25"/>
      <c r="AY139" s="25"/>
      <c r="AZ139" s="20"/>
      <c r="BA139" s="20"/>
      <c r="BB139" s="20"/>
      <c r="BC139" s="21">
        <f t="shared" si="312"/>
        <v>0</v>
      </c>
      <c r="BD139" s="4">
        <f t="shared" si="313"/>
        <v>0</v>
      </c>
      <c r="BE139" s="4">
        <f t="shared" si="314"/>
        <v>628800</v>
      </c>
      <c r="BF139" s="4">
        <f t="shared" si="315"/>
        <v>60000</v>
      </c>
      <c r="BG139" s="4">
        <f t="shared" si="316"/>
        <v>965000</v>
      </c>
      <c r="BH139" s="94">
        <f t="shared" si="317"/>
        <v>105000</v>
      </c>
      <c r="BI139" s="94">
        <f t="shared" si="318"/>
        <v>0</v>
      </c>
      <c r="BJ139" s="94">
        <f t="shared" si="319"/>
        <v>0</v>
      </c>
      <c r="BK139" s="9">
        <f t="shared" si="320"/>
        <v>1758800</v>
      </c>
    </row>
    <row r="140" spans="1:63" ht="31.5">
      <c r="A140" s="186"/>
      <c r="B140" s="8">
        <v>10</v>
      </c>
      <c r="C140" s="1" t="s">
        <v>259</v>
      </c>
      <c r="D140" s="4" t="s">
        <v>260</v>
      </c>
      <c r="E140" s="4" t="s">
        <v>258</v>
      </c>
      <c r="F140" s="4">
        <v>155000</v>
      </c>
      <c r="G140" s="4">
        <v>789000</v>
      </c>
      <c r="H140" s="4">
        <f>71500+71500</f>
        <v>143000</v>
      </c>
      <c r="I140" s="4">
        <f>100000+120000+20000</f>
        <v>240000</v>
      </c>
      <c r="J140" s="4"/>
      <c r="K140" s="4"/>
      <c r="L140" s="4"/>
      <c r="M140" s="9">
        <f t="shared" si="306"/>
        <v>1327000</v>
      </c>
      <c r="N140" s="4"/>
      <c r="O140" s="72"/>
      <c r="P140" s="4"/>
      <c r="Q140" s="4"/>
      <c r="R140" s="4"/>
      <c r="S140" s="4"/>
      <c r="T140" s="4"/>
      <c r="U140" s="9">
        <f t="shared" si="307"/>
        <v>0</v>
      </c>
      <c r="V140" s="20"/>
      <c r="W140" s="20"/>
      <c r="X140" s="20"/>
      <c r="Y140" s="20"/>
      <c r="Z140" s="20"/>
      <c r="AA140" s="20"/>
      <c r="AB140" s="20"/>
      <c r="AC140" s="9">
        <f t="shared" si="308"/>
        <v>0</v>
      </c>
      <c r="AD140" s="20"/>
      <c r="AE140" s="25">
        <v>1145600</v>
      </c>
      <c r="AF140" s="25">
        <v>916650</v>
      </c>
      <c r="AG140" s="20"/>
      <c r="AH140" s="20"/>
      <c r="AI140" s="20"/>
      <c r="AJ140" s="20"/>
      <c r="AK140" s="21">
        <f t="shared" si="309"/>
        <v>2062250</v>
      </c>
      <c r="AL140" s="25">
        <v>1155000</v>
      </c>
      <c r="AM140" s="20">
        <f>105000+315000+315000+315000+210000</f>
        <v>1260000</v>
      </c>
      <c r="AN140" s="20">
        <f>632574+1061188+156000</f>
        <v>1849762</v>
      </c>
      <c r="AO140" s="20">
        <v>1816511</v>
      </c>
      <c r="AP140" s="21">
        <f t="shared" si="310"/>
        <v>6081273</v>
      </c>
      <c r="AQ140" s="25"/>
      <c r="AR140" s="20"/>
      <c r="AS140" s="20"/>
      <c r="AT140" s="20"/>
      <c r="AU140" s="21">
        <f t="shared" si="311"/>
        <v>0</v>
      </c>
      <c r="AV140" s="25"/>
      <c r="AW140" s="25"/>
      <c r="AX140" s="25">
        <v>100000</v>
      </c>
      <c r="AY140" s="25"/>
      <c r="AZ140" s="20"/>
      <c r="BA140" s="20"/>
      <c r="BB140" s="20"/>
      <c r="BC140" s="21">
        <f t="shared" si="312"/>
        <v>100000</v>
      </c>
      <c r="BD140" s="4">
        <f t="shared" si="313"/>
        <v>155000</v>
      </c>
      <c r="BE140" s="4">
        <f t="shared" si="314"/>
        <v>1934600</v>
      </c>
      <c r="BF140" s="4">
        <f t="shared" si="315"/>
        <v>1159650</v>
      </c>
      <c r="BG140" s="4">
        <f t="shared" si="316"/>
        <v>1395000</v>
      </c>
      <c r="BH140" s="94">
        <f t="shared" si="317"/>
        <v>1260000</v>
      </c>
      <c r="BI140" s="94">
        <f t="shared" si="318"/>
        <v>1849762</v>
      </c>
      <c r="BJ140" s="94">
        <f t="shared" si="319"/>
        <v>1816511</v>
      </c>
      <c r="BK140" s="9">
        <f t="shared" si="320"/>
        <v>9570523</v>
      </c>
    </row>
    <row r="141" spans="1:63" ht="31.5">
      <c r="A141" s="186"/>
      <c r="B141" s="8">
        <v>11</v>
      </c>
      <c r="C141" s="1" t="s">
        <v>259</v>
      </c>
      <c r="D141" s="4" t="s">
        <v>246</v>
      </c>
      <c r="E141" s="4" t="s">
        <v>258</v>
      </c>
      <c r="F141" s="4"/>
      <c r="G141" s="4"/>
      <c r="H141" s="4">
        <f>155000+453000</f>
        <v>608000</v>
      </c>
      <c r="I141" s="4"/>
      <c r="J141" s="4"/>
      <c r="K141" s="4"/>
      <c r="L141" s="4"/>
      <c r="M141" s="9">
        <f t="shared" si="306"/>
        <v>608000</v>
      </c>
      <c r="N141" s="4"/>
      <c r="O141" s="72"/>
      <c r="P141" s="4"/>
      <c r="Q141" s="4"/>
      <c r="R141" s="4"/>
      <c r="S141" s="4"/>
      <c r="T141" s="4"/>
      <c r="U141" s="9">
        <f t="shared" si="307"/>
        <v>0</v>
      </c>
      <c r="V141" s="20"/>
      <c r="W141" s="20"/>
      <c r="X141" s="20"/>
      <c r="Y141" s="20"/>
      <c r="Z141" s="20"/>
      <c r="AA141" s="20"/>
      <c r="AB141" s="20"/>
      <c r="AC141" s="9">
        <f t="shared" si="308"/>
        <v>0</v>
      </c>
      <c r="AD141" s="20"/>
      <c r="AE141" s="20"/>
      <c r="AF141" s="20"/>
      <c r="AG141" s="20">
        <v>180000</v>
      </c>
      <c r="AH141" s="20"/>
      <c r="AI141" s="20"/>
      <c r="AJ141" s="20"/>
      <c r="AK141" s="21">
        <f t="shared" si="309"/>
        <v>180000</v>
      </c>
      <c r="AL141" s="25"/>
      <c r="AM141" s="20"/>
      <c r="AN141" s="20"/>
      <c r="AO141" s="20"/>
      <c r="AP141" s="21">
        <f t="shared" si="310"/>
        <v>0</v>
      </c>
      <c r="AQ141" s="25"/>
      <c r="AR141" s="20"/>
      <c r="AS141" s="20"/>
      <c r="AT141" s="20"/>
      <c r="AU141" s="21">
        <f t="shared" si="311"/>
        <v>0</v>
      </c>
      <c r="AV141" s="25"/>
      <c r="AW141" s="25"/>
      <c r="AX141" s="25"/>
      <c r="AY141" s="25"/>
      <c r="AZ141" s="20"/>
      <c r="BA141" s="20"/>
      <c r="BB141" s="20"/>
      <c r="BC141" s="21">
        <f t="shared" si="312"/>
        <v>0</v>
      </c>
      <c r="BD141" s="4">
        <f t="shared" si="313"/>
        <v>0</v>
      </c>
      <c r="BE141" s="4">
        <f t="shared" si="314"/>
        <v>0</v>
      </c>
      <c r="BF141" s="4">
        <f t="shared" si="315"/>
        <v>608000</v>
      </c>
      <c r="BG141" s="4">
        <f t="shared" si="316"/>
        <v>180000</v>
      </c>
      <c r="BH141" s="94">
        <f t="shared" si="317"/>
        <v>0</v>
      </c>
      <c r="BI141" s="94">
        <f t="shared" si="318"/>
        <v>0</v>
      </c>
      <c r="BJ141" s="94">
        <f t="shared" si="319"/>
        <v>0</v>
      </c>
      <c r="BK141" s="9">
        <f t="shared" si="320"/>
        <v>788000</v>
      </c>
    </row>
    <row r="142" spans="1:63">
      <c r="A142" s="186"/>
      <c r="B142" s="8">
        <v>12</v>
      </c>
      <c r="C142" s="42" t="s">
        <v>261</v>
      </c>
      <c r="D142" s="43" t="s">
        <v>262</v>
      </c>
      <c r="E142" s="4" t="s">
        <v>258</v>
      </c>
      <c r="F142" s="4"/>
      <c r="G142" s="4"/>
      <c r="H142" s="4"/>
      <c r="I142" s="4"/>
      <c r="J142" s="4"/>
      <c r="K142" s="4"/>
      <c r="L142" s="4"/>
      <c r="M142" s="9">
        <f t="shared" si="306"/>
        <v>0</v>
      </c>
      <c r="N142" s="4"/>
      <c r="O142" s="72"/>
      <c r="P142" s="4"/>
      <c r="Q142" s="4"/>
      <c r="R142" s="4"/>
      <c r="S142" s="4"/>
      <c r="T142" s="4"/>
      <c r="U142" s="9">
        <f t="shared" si="307"/>
        <v>0</v>
      </c>
      <c r="V142" s="20"/>
      <c r="W142" s="20"/>
      <c r="X142" s="4">
        <v>290000</v>
      </c>
      <c r="Y142" s="20">
        <v>1080000</v>
      </c>
      <c r="Z142" s="20">
        <f>225000+225000+225000+225000+150000</f>
        <v>1050000</v>
      </c>
      <c r="AA142" s="20">
        <f>1965000+630000</f>
        <v>2595000</v>
      </c>
      <c r="AB142" s="20">
        <f>210000+420000+630000+210000+210000+420000+210000</f>
        <v>2310000</v>
      </c>
      <c r="AC142" s="9">
        <f t="shared" si="308"/>
        <v>7325000</v>
      </c>
      <c r="AD142" s="20"/>
      <c r="AE142" s="20"/>
      <c r="AF142" s="20"/>
      <c r="AG142" s="20"/>
      <c r="AH142" s="20"/>
      <c r="AI142" s="20"/>
      <c r="AJ142" s="20"/>
      <c r="AK142" s="21">
        <f t="shared" si="309"/>
        <v>0</v>
      </c>
      <c r="AL142" s="25"/>
      <c r="AM142" s="20"/>
      <c r="AN142" s="20"/>
      <c r="AO142" s="20"/>
      <c r="AP142" s="21">
        <f t="shared" si="310"/>
        <v>0</v>
      </c>
      <c r="AQ142" s="25"/>
      <c r="AR142" s="20"/>
      <c r="AS142" s="20"/>
      <c r="AT142" s="20"/>
      <c r="AU142" s="21">
        <f t="shared" si="311"/>
        <v>0</v>
      </c>
      <c r="AV142" s="25"/>
      <c r="AW142" s="25"/>
      <c r="AX142" s="25"/>
      <c r="AY142" s="25"/>
      <c r="AZ142" s="20"/>
      <c r="BA142" s="20"/>
      <c r="BB142" s="20"/>
      <c r="BC142" s="21">
        <f t="shared" si="312"/>
        <v>0</v>
      </c>
      <c r="BD142" s="4">
        <f t="shared" si="313"/>
        <v>0</v>
      </c>
      <c r="BE142" s="4">
        <f t="shared" si="314"/>
        <v>0</v>
      </c>
      <c r="BF142" s="4">
        <f t="shared" si="315"/>
        <v>290000</v>
      </c>
      <c r="BG142" s="4">
        <f t="shared" si="316"/>
        <v>1080000</v>
      </c>
      <c r="BH142" s="94">
        <f t="shared" si="317"/>
        <v>1050000</v>
      </c>
      <c r="BI142" s="94">
        <f t="shared" si="318"/>
        <v>2595000</v>
      </c>
      <c r="BJ142" s="94">
        <f t="shared" si="319"/>
        <v>2310000</v>
      </c>
      <c r="BK142" s="9">
        <f t="shared" si="320"/>
        <v>7325000</v>
      </c>
    </row>
    <row r="143" spans="1:63">
      <c r="A143" s="186"/>
      <c r="B143" s="8">
        <v>13</v>
      </c>
      <c r="C143" s="44" t="s">
        <v>263</v>
      </c>
      <c r="D143" s="45" t="s">
        <v>264</v>
      </c>
      <c r="E143" s="4" t="s">
        <v>258</v>
      </c>
      <c r="F143" s="4"/>
      <c r="G143" s="4"/>
      <c r="H143" s="4"/>
      <c r="I143" s="4"/>
      <c r="J143" s="4"/>
      <c r="K143" s="4"/>
      <c r="L143" s="4"/>
      <c r="M143" s="9">
        <f t="shared" si="306"/>
        <v>0</v>
      </c>
      <c r="N143" s="76"/>
      <c r="O143" s="76"/>
      <c r="P143" s="76">
        <v>430000</v>
      </c>
      <c r="Q143" s="76">
        <v>250000</v>
      </c>
      <c r="R143" s="4">
        <f>890000+225000+225000+225000+150000</f>
        <v>1715000</v>
      </c>
      <c r="S143" s="4">
        <f>1665000+570000</f>
        <v>2235000</v>
      </c>
      <c r="T143" s="4">
        <f>800000+400000+200000+200000+390000+200000+200000</f>
        <v>2390000</v>
      </c>
      <c r="U143" s="9">
        <f t="shared" si="307"/>
        <v>7020000</v>
      </c>
      <c r="V143" s="20"/>
      <c r="W143" s="20"/>
      <c r="X143" s="20"/>
      <c r="Y143" s="20"/>
      <c r="Z143" s="20"/>
      <c r="AA143" s="20"/>
      <c r="AB143" s="20"/>
      <c r="AC143" s="9">
        <f t="shared" si="308"/>
        <v>0</v>
      </c>
      <c r="AD143" s="20"/>
      <c r="AE143" s="20"/>
      <c r="AF143" s="20"/>
      <c r="AG143" s="20"/>
      <c r="AH143" s="20"/>
      <c r="AI143" s="20"/>
      <c r="AJ143" s="20"/>
      <c r="AK143" s="21">
        <f t="shared" si="309"/>
        <v>0</v>
      </c>
      <c r="AL143" s="25"/>
      <c r="AM143" s="20"/>
      <c r="AN143" s="20"/>
      <c r="AO143" s="20"/>
      <c r="AP143" s="21">
        <f t="shared" si="310"/>
        <v>0</v>
      </c>
      <c r="AQ143" s="25"/>
      <c r="AR143" s="20"/>
      <c r="AS143" s="20"/>
      <c r="AT143" s="20"/>
      <c r="AU143" s="21">
        <f t="shared" si="311"/>
        <v>0</v>
      </c>
      <c r="AV143" s="25"/>
      <c r="AW143" s="25"/>
      <c r="AX143" s="25"/>
      <c r="AY143" s="25"/>
      <c r="AZ143" s="20"/>
      <c r="BA143" s="20"/>
      <c r="BB143" s="20"/>
      <c r="BC143" s="21">
        <f t="shared" si="312"/>
        <v>0</v>
      </c>
      <c r="BD143" s="4">
        <f t="shared" si="313"/>
        <v>0</v>
      </c>
      <c r="BE143" s="4">
        <f t="shared" si="314"/>
        <v>0</v>
      </c>
      <c r="BF143" s="4">
        <f t="shared" si="315"/>
        <v>430000</v>
      </c>
      <c r="BG143" s="4">
        <f t="shared" si="316"/>
        <v>250000</v>
      </c>
      <c r="BH143" s="94">
        <f t="shared" si="317"/>
        <v>1715000</v>
      </c>
      <c r="BI143" s="94">
        <f t="shared" si="318"/>
        <v>2235000</v>
      </c>
      <c r="BJ143" s="94">
        <f t="shared" si="319"/>
        <v>2390000</v>
      </c>
      <c r="BK143" s="9">
        <f t="shared" si="320"/>
        <v>7020000</v>
      </c>
    </row>
    <row r="144" spans="1:63">
      <c r="A144" s="186"/>
      <c r="B144" s="8">
        <v>14</v>
      </c>
      <c r="C144" s="40" t="s">
        <v>265</v>
      </c>
      <c r="D144" s="47" t="s">
        <v>266</v>
      </c>
      <c r="E144" s="4" t="s">
        <v>258</v>
      </c>
      <c r="F144" s="4"/>
      <c r="G144" s="4"/>
      <c r="H144" s="4"/>
      <c r="I144" s="4"/>
      <c r="J144" s="4"/>
      <c r="K144" s="4"/>
      <c r="L144" s="4"/>
      <c r="M144" s="9">
        <f t="shared" si="306"/>
        <v>0</v>
      </c>
      <c r="N144" s="76"/>
      <c r="O144" s="76">
        <v>1890000</v>
      </c>
      <c r="P144" s="76">
        <v>200000</v>
      </c>
      <c r="Q144" s="76"/>
      <c r="R144" s="4"/>
      <c r="S144" s="4"/>
      <c r="T144" s="4">
        <f>975000+400000+200000</f>
        <v>1575000</v>
      </c>
      <c r="U144" s="9">
        <f t="shared" si="307"/>
        <v>3665000</v>
      </c>
      <c r="V144" s="20"/>
      <c r="W144" s="20"/>
      <c r="X144" s="20"/>
      <c r="Y144" s="20"/>
      <c r="Z144" s="20"/>
      <c r="AA144" s="20"/>
      <c r="AB144" s="20"/>
      <c r="AC144" s="9">
        <f t="shared" si="308"/>
        <v>0</v>
      </c>
      <c r="AD144" s="20"/>
      <c r="AE144" s="20"/>
      <c r="AF144" s="20"/>
      <c r="AG144" s="20"/>
      <c r="AH144" s="20"/>
      <c r="AI144" s="20"/>
      <c r="AJ144" s="20"/>
      <c r="AK144" s="21">
        <f t="shared" si="309"/>
        <v>0</v>
      </c>
      <c r="AL144" s="25"/>
      <c r="AM144" s="20"/>
      <c r="AN144" s="20"/>
      <c r="AO144" s="20"/>
      <c r="AP144" s="21">
        <f t="shared" si="310"/>
        <v>0</v>
      </c>
      <c r="AQ144" s="25"/>
      <c r="AR144" s="20"/>
      <c r="AS144" s="20"/>
      <c r="AT144" s="20"/>
      <c r="AU144" s="21">
        <f t="shared" si="311"/>
        <v>0</v>
      </c>
      <c r="AV144" s="25"/>
      <c r="AW144" s="25"/>
      <c r="AX144" s="25">
        <v>100000</v>
      </c>
      <c r="AY144" s="25"/>
      <c r="AZ144" s="20"/>
      <c r="BA144" s="20"/>
      <c r="BB144" s="20"/>
      <c r="BC144" s="21">
        <f t="shared" si="312"/>
        <v>100000</v>
      </c>
      <c r="BD144" s="4">
        <f t="shared" si="313"/>
        <v>0</v>
      </c>
      <c r="BE144" s="4">
        <f t="shared" si="314"/>
        <v>1890000</v>
      </c>
      <c r="BF144" s="4">
        <f t="shared" si="315"/>
        <v>300000</v>
      </c>
      <c r="BG144" s="4">
        <f t="shared" si="316"/>
        <v>0</v>
      </c>
      <c r="BH144" s="94">
        <f t="shared" si="317"/>
        <v>0</v>
      </c>
      <c r="BI144" s="94">
        <f t="shared" si="318"/>
        <v>0</v>
      </c>
      <c r="BJ144" s="94">
        <f t="shared" si="319"/>
        <v>1575000</v>
      </c>
      <c r="BK144" s="9">
        <f t="shared" si="320"/>
        <v>3765000</v>
      </c>
    </row>
    <row r="145" spans="1:63" ht="31.5">
      <c r="A145" s="187"/>
      <c r="B145" s="8">
        <v>15</v>
      </c>
      <c r="C145" s="1" t="s">
        <v>267</v>
      </c>
      <c r="D145" s="4" t="s">
        <v>268</v>
      </c>
      <c r="E145" s="4" t="s">
        <v>25</v>
      </c>
      <c r="F145" s="4"/>
      <c r="G145" s="4">
        <v>776500</v>
      </c>
      <c r="H145" s="4">
        <f>82500+159500+341000</f>
        <v>583000</v>
      </c>
      <c r="I145" s="4">
        <v>100000</v>
      </c>
      <c r="J145" s="4"/>
      <c r="K145" s="4"/>
      <c r="L145" s="4"/>
      <c r="M145" s="9">
        <f t="shared" si="306"/>
        <v>1459500</v>
      </c>
      <c r="N145" s="76"/>
      <c r="O145" s="76">
        <v>1510000</v>
      </c>
      <c r="P145" s="76">
        <v>1530000</v>
      </c>
      <c r="Q145" s="76">
        <f>(250000)-140000</f>
        <v>110000</v>
      </c>
      <c r="R145" s="4"/>
      <c r="S145" s="4"/>
      <c r="T145" s="4"/>
      <c r="U145" s="9">
        <f t="shared" si="307"/>
        <v>3150000</v>
      </c>
      <c r="V145" s="20"/>
      <c r="W145" s="20"/>
      <c r="X145" s="20"/>
      <c r="Y145" s="20"/>
      <c r="Z145" s="20"/>
      <c r="AA145" s="20"/>
      <c r="AB145" s="20"/>
      <c r="AC145" s="9">
        <f t="shared" si="308"/>
        <v>0</v>
      </c>
      <c r="AD145" s="20"/>
      <c r="AE145" s="25">
        <v>898250</v>
      </c>
      <c r="AF145" s="25">
        <v>572300</v>
      </c>
      <c r="AG145" s="25">
        <v>150000</v>
      </c>
      <c r="AH145" s="20"/>
      <c r="AI145" s="20"/>
      <c r="AJ145" s="20"/>
      <c r="AK145" s="21">
        <f t="shared" si="309"/>
        <v>1620550</v>
      </c>
      <c r="AL145" s="25"/>
      <c r="AM145" s="20"/>
      <c r="AN145" s="20"/>
      <c r="AO145" s="20"/>
      <c r="AP145" s="21">
        <f t="shared" si="310"/>
        <v>0</v>
      </c>
      <c r="AQ145" s="25"/>
      <c r="AR145" s="20"/>
      <c r="AS145" s="20"/>
      <c r="AT145" s="20"/>
      <c r="AU145" s="21">
        <f t="shared" si="311"/>
        <v>0</v>
      </c>
      <c r="AV145" s="25"/>
      <c r="AW145" s="25"/>
      <c r="AX145" s="25"/>
      <c r="AY145" s="25"/>
      <c r="AZ145" s="20"/>
      <c r="BA145" s="20"/>
      <c r="BB145" s="20"/>
      <c r="BC145" s="21">
        <f t="shared" si="312"/>
        <v>0</v>
      </c>
      <c r="BD145" s="4">
        <f t="shared" si="313"/>
        <v>0</v>
      </c>
      <c r="BE145" s="4">
        <f t="shared" si="314"/>
        <v>3184750</v>
      </c>
      <c r="BF145" s="4">
        <f t="shared" si="315"/>
        <v>2685300</v>
      </c>
      <c r="BG145" s="4">
        <f t="shared" si="316"/>
        <v>360000</v>
      </c>
      <c r="BH145" s="94">
        <f t="shared" si="317"/>
        <v>0</v>
      </c>
      <c r="BI145" s="94">
        <f t="shared" si="318"/>
        <v>0</v>
      </c>
      <c r="BJ145" s="94">
        <f t="shared" si="319"/>
        <v>0</v>
      </c>
      <c r="BK145" s="9">
        <f t="shared" si="320"/>
        <v>6230050</v>
      </c>
    </row>
    <row r="146" spans="1:63" s="38" customFormat="1">
      <c r="A146" s="34"/>
      <c r="B146" s="85"/>
      <c r="C146" s="35" t="s">
        <v>269</v>
      </c>
      <c r="D146" s="37"/>
      <c r="E146" s="37"/>
      <c r="F146" s="37">
        <f>SUM(F130:F145)</f>
        <v>310000</v>
      </c>
      <c r="G146" s="37">
        <f t="shared" ref="G146:BK146" si="321">SUM(G130:G145)</f>
        <v>1863500</v>
      </c>
      <c r="H146" s="37">
        <f t="shared" si="321"/>
        <v>2550000</v>
      </c>
      <c r="I146" s="37">
        <f t="shared" si="321"/>
        <v>540000</v>
      </c>
      <c r="J146" s="37">
        <f t="shared" si="321"/>
        <v>0</v>
      </c>
      <c r="K146" s="37">
        <f t="shared" si="321"/>
        <v>0</v>
      </c>
      <c r="L146" s="37">
        <f t="shared" ref="L146" si="322">SUM(L130:L145)</f>
        <v>0</v>
      </c>
      <c r="M146" s="37">
        <f t="shared" si="321"/>
        <v>5263500</v>
      </c>
      <c r="N146" s="37">
        <f t="shared" si="321"/>
        <v>870000</v>
      </c>
      <c r="O146" s="37">
        <f t="shared" si="321"/>
        <v>8410000</v>
      </c>
      <c r="P146" s="37">
        <f t="shared" si="321"/>
        <v>8610000</v>
      </c>
      <c r="Q146" s="37">
        <f t="shared" si="321"/>
        <v>1010000</v>
      </c>
      <c r="R146" s="37">
        <f t="shared" si="321"/>
        <v>1715000</v>
      </c>
      <c r="S146" s="37">
        <f t="shared" si="321"/>
        <v>2235000</v>
      </c>
      <c r="T146" s="37">
        <f t="shared" ref="T146" si="323">SUM(T130:T145)</f>
        <v>3965000</v>
      </c>
      <c r="U146" s="37">
        <f t="shared" si="321"/>
        <v>26815000</v>
      </c>
      <c r="V146" s="37">
        <f t="shared" si="321"/>
        <v>290000</v>
      </c>
      <c r="W146" s="37">
        <f t="shared" si="321"/>
        <v>4111000</v>
      </c>
      <c r="X146" s="37">
        <f t="shared" si="321"/>
        <v>3218000</v>
      </c>
      <c r="Y146" s="37">
        <f t="shared" si="321"/>
        <v>2400000</v>
      </c>
      <c r="Z146" s="37">
        <f t="shared" si="321"/>
        <v>1050000</v>
      </c>
      <c r="AA146" s="37">
        <f t="shared" si="321"/>
        <v>2595000</v>
      </c>
      <c r="AB146" s="37">
        <f t="shared" ref="AB146" si="324">SUM(AB130:AB145)</f>
        <v>2310000</v>
      </c>
      <c r="AC146" s="37">
        <f t="shared" si="321"/>
        <v>15974000</v>
      </c>
      <c r="AD146" s="37">
        <f t="shared" si="321"/>
        <v>195000</v>
      </c>
      <c r="AE146" s="37">
        <f t="shared" si="321"/>
        <v>4428900</v>
      </c>
      <c r="AF146" s="37">
        <f t="shared" si="321"/>
        <v>2370400</v>
      </c>
      <c r="AG146" s="37">
        <f t="shared" si="321"/>
        <v>1979000</v>
      </c>
      <c r="AH146" s="37">
        <f t="shared" si="321"/>
        <v>490000</v>
      </c>
      <c r="AI146" s="37">
        <f t="shared" si="321"/>
        <v>1912175</v>
      </c>
      <c r="AJ146" s="37">
        <f t="shared" ref="AJ146" si="325">SUM(AJ130:AJ145)</f>
        <v>1629600</v>
      </c>
      <c r="AK146" s="37">
        <f t="shared" si="321"/>
        <v>13005075</v>
      </c>
      <c r="AL146" s="37">
        <f t="shared" si="321"/>
        <v>1470000</v>
      </c>
      <c r="AM146" s="37">
        <f t="shared" si="321"/>
        <v>1365000</v>
      </c>
      <c r="AN146" s="37">
        <f t="shared" si="321"/>
        <v>1849762</v>
      </c>
      <c r="AO146" s="37">
        <f t="shared" ref="AO146" si="326">SUM(AO130:AO145)</f>
        <v>1816511</v>
      </c>
      <c r="AP146" s="37">
        <f t="shared" si="321"/>
        <v>6501273</v>
      </c>
      <c r="AQ146" s="37">
        <f t="shared" si="321"/>
        <v>1800000</v>
      </c>
      <c r="AR146" s="37">
        <f t="shared" si="321"/>
        <v>2800000</v>
      </c>
      <c r="AS146" s="37">
        <f t="shared" si="321"/>
        <v>6231500</v>
      </c>
      <c r="AT146" s="37">
        <f t="shared" ref="AT146" si="327">SUM(AT130:AT145)</f>
        <v>9690000</v>
      </c>
      <c r="AU146" s="37">
        <f t="shared" si="321"/>
        <v>20521500</v>
      </c>
      <c r="AV146" s="37">
        <f t="shared" si="321"/>
        <v>0</v>
      </c>
      <c r="AW146" s="37">
        <f t="shared" si="321"/>
        <v>757600</v>
      </c>
      <c r="AX146" s="37">
        <f t="shared" si="321"/>
        <v>1262000</v>
      </c>
      <c r="AY146" s="37">
        <f t="shared" si="321"/>
        <v>120000</v>
      </c>
      <c r="AZ146" s="37">
        <f t="shared" si="321"/>
        <v>0</v>
      </c>
      <c r="BA146" s="37">
        <f t="shared" si="321"/>
        <v>0</v>
      </c>
      <c r="BB146" s="37">
        <f t="shared" ref="BB146" si="328">SUM(BB130:BB145)</f>
        <v>0</v>
      </c>
      <c r="BC146" s="37">
        <f t="shared" si="321"/>
        <v>2139600</v>
      </c>
      <c r="BD146" s="37">
        <f t="shared" si="321"/>
        <v>1665000</v>
      </c>
      <c r="BE146" s="37">
        <f t="shared" si="321"/>
        <v>19571000</v>
      </c>
      <c r="BF146" s="37">
        <f t="shared" si="321"/>
        <v>18010400</v>
      </c>
      <c r="BG146" s="37">
        <f t="shared" si="321"/>
        <v>9319000</v>
      </c>
      <c r="BH146" s="37">
        <f t="shared" si="321"/>
        <v>7420000</v>
      </c>
      <c r="BI146" s="37">
        <f t="shared" si="321"/>
        <v>14823437</v>
      </c>
      <c r="BJ146" s="37">
        <f t="shared" ref="BJ146" si="329">SUM(BJ130:BJ145)</f>
        <v>19411111</v>
      </c>
      <c r="BK146" s="37">
        <f t="shared" si="321"/>
        <v>90219948</v>
      </c>
    </row>
    <row r="147" spans="1:63">
      <c r="A147" s="185" t="s">
        <v>38</v>
      </c>
      <c r="B147" s="8">
        <v>1</v>
      </c>
      <c r="C147" s="1" t="s">
        <v>1</v>
      </c>
      <c r="D147" s="5" t="s">
        <v>415</v>
      </c>
      <c r="E147" s="4" t="s">
        <v>38</v>
      </c>
      <c r="F147" s="4"/>
      <c r="G147" s="4"/>
      <c r="H147" s="4"/>
      <c r="I147" s="4"/>
      <c r="J147" s="4"/>
      <c r="K147" s="4"/>
      <c r="L147" s="4"/>
      <c r="M147" s="9">
        <f t="shared" ref="M147:M148" si="330">SUM(F147:L147)</f>
        <v>0</v>
      </c>
      <c r="N147" s="4"/>
      <c r="O147" s="4"/>
      <c r="P147" s="4"/>
      <c r="Q147" s="4"/>
      <c r="R147" s="4"/>
      <c r="S147" s="4"/>
      <c r="T147" s="4"/>
      <c r="U147" s="9">
        <f t="shared" ref="U147:U148" si="331">SUM(N147:T147)</f>
        <v>0</v>
      </c>
      <c r="V147" s="20"/>
      <c r="W147" s="20"/>
      <c r="X147" s="20"/>
      <c r="Y147" s="20"/>
      <c r="Z147" s="20"/>
      <c r="AA147" s="20"/>
      <c r="AB147" s="20"/>
      <c r="AC147" s="9">
        <f t="shared" ref="AC147:AC148" si="332">SUM(V147:AB147)</f>
        <v>0</v>
      </c>
      <c r="AD147" s="20"/>
      <c r="AE147" s="25">
        <v>694100</v>
      </c>
      <c r="AF147" s="25">
        <v>478450</v>
      </c>
      <c r="AG147" s="24">
        <v>570000</v>
      </c>
      <c r="AH147" s="20">
        <f>458500+304000</f>
        <v>762500</v>
      </c>
      <c r="AI147" s="20">
        <f>450450+114910+61860</f>
        <v>627220</v>
      </c>
      <c r="AJ147" s="20">
        <v>407400</v>
      </c>
      <c r="AK147" s="21">
        <f t="shared" ref="AK147:AK148" si="333">SUM(AD147:AJ147)</f>
        <v>3539670</v>
      </c>
      <c r="AL147" s="25"/>
      <c r="AM147" s="20"/>
      <c r="AN147" s="20"/>
      <c r="AO147" s="20"/>
      <c r="AP147" s="21">
        <f t="shared" ref="AP147:AP148" si="334">SUM(AL147:AO147)</f>
        <v>0</v>
      </c>
      <c r="AQ147" s="25"/>
      <c r="AR147" s="20"/>
      <c r="AS147" s="20"/>
      <c r="AT147" s="20"/>
      <c r="AU147" s="21">
        <f t="shared" ref="AU147:AU148" si="335">SUM(AQ147:AT147)</f>
        <v>0</v>
      </c>
      <c r="AV147" s="25"/>
      <c r="AW147" s="25"/>
      <c r="AX147" s="25"/>
      <c r="AY147" s="25"/>
      <c r="AZ147" s="20"/>
      <c r="BA147" s="20"/>
      <c r="BB147" s="20"/>
      <c r="BC147" s="21">
        <f t="shared" ref="BC147:BC148" si="336">SUM(AV147:BB147)</f>
        <v>0</v>
      </c>
      <c r="BD147" s="4">
        <f t="shared" ref="BD147:BF148" si="337">F147+N147+V147+AD147+AV147</f>
        <v>0</v>
      </c>
      <c r="BE147" s="4">
        <f t="shared" si="337"/>
        <v>694100</v>
      </c>
      <c r="BF147" s="4">
        <f t="shared" si="337"/>
        <v>478450</v>
      </c>
      <c r="BG147" s="4">
        <f>I147+Q147+Y147+AG147+AL147+AQ147+AY147</f>
        <v>570000</v>
      </c>
      <c r="BH147" s="94">
        <f>J147+R147+Z147+AH147+AM147+AR147+AZ147</f>
        <v>762500</v>
      </c>
      <c r="BI147" s="94">
        <f t="shared" ref="BI147:BJ148" si="338">K147+S147+AA147+AI147+AN147+AS147+BA147</f>
        <v>627220</v>
      </c>
      <c r="BJ147" s="94">
        <f t="shared" si="338"/>
        <v>407400</v>
      </c>
      <c r="BK147" s="9">
        <f t="shared" ref="BK147:BK148" si="339">SUM(BD147:BJ147)</f>
        <v>3539670</v>
      </c>
    </row>
    <row r="148" spans="1:63">
      <c r="A148" s="187"/>
      <c r="B148" s="8">
        <v>2</v>
      </c>
      <c r="C148" s="1" t="s">
        <v>6</v>
      </c>
      <c r="D148" s="4" t="s">
        <v>37</v>
      </c>
      <c r="E148" s="4" t="s">
        <v>38</v>
      </c>
      <c r="F148" s="4"/>
      <c r="G148" s="4">
        <v>155000</v>
      </c>
      <c r="H148" s="4">
        <v>354000</v>
      </c>
      <c r="I148" s="4">
        <f>80000+20000+20000</f>
        <v>120000</v>
      </c>
      <c r="J148" s="4"/>
      <c r="K148" s="4"/>
      <c r="L148" s="4"/>
      <c r="M148" s="9">
        <f t="shared" si="330"/>
        <v>629000</v>
      </c>
      <c r="N148" s="4"/>
      <c r="O148" s="4"/>
      <c r="P148" s="4"/>
      <c r="Q148" s="4"/>
      <c r="R148" s="4"/>
      <c r="S148" s="4"/>
      <c r="T148" s="4"/>
      <c r="U148" s="9">
        <f t="shared" si="331"/>
        <v>0</v>
      </c>
      <c r="V148" s="20"/>
      <c r="W148" s="20"/>
      <c r="X148" s="20"/>
      <c r="Y148" s="20"/>
      <c r="Z148" s="20"/>
      <c r="AA148" s="20"/>
      <c r="AB148" s="20"/>
      <c r="AC148" s="9">
        <f t="shared" si="332"/>
        <v>0</v>
      </c>
      <c r="AD148" s="20"/>
      <c r="AE148" s="20">
        <v>287625</v>
      </c>
      <c r="AF148" s="25">
        <v>488550</v>
      </c>
      <c r="AG148" s="24">
        <v>180000</v>
      </c>
      <c r="AH148" s="20"/>
      <c r="AI148" s="20"/>
      <c r="AJ148" s="20"/>
      <c r="AK148" s="21">
        <f t="shared" si="333"/>
        <v>956175</v>
      </c>
      <c r="AL148" s="25">
        <f>315000+210000+105000</f>
        <v>630000</v>
      </c>
      <c r="AM148" s="20">
        <f>542500+261000+274500+291500+207000</f>
        <v>1576500</v>
      </c>
      <c r="AN148" s="20">
        <f>1398500+312000+156000</f>
        <v>1866500</v>
      </c>
      <c r="AO148" s="20">
        <v>1872000</v>
      </c>
      <c r="AP148" s="21">
        <f t="shared" si="334"/>
        <v>5945000</v>
      </c>
      <c r="AQ148" s="25"/>
      <c r="AR148" s="20"/>
      <c r="AS148" s="20"/>
      <c r="AT148" s="20"/>
      <c r="AU148" s="21">
        <f t="shared" si="335"/>
        <v>0</v>
      </c>
      <c r="AV148" s="25"/>
      <c r="AW148" s="25"/>
      <c r="AX148" s="25"/>
      <c r="AY148" s="25"/>
      <c r="AZ148" s="20"/>
      <c r="BA148" s="20"/>
      <c r="BB148" s="20"/>
      <c r="BC148" s="21">
        <f t="shared" si="336"/>
        <v>0</v>
      </c>
      <c r="BD148" s="4">
        <f t="shared" si="337"/>
        <v>0</v>
      </c>
      <c r="BE148" s="4">
        <f t="shared" si="337"/>
        <v>442625</v>
      </c>
      <c r="BF148" s="4">
        <f t="shared" si="337"/>
        <v>842550</v>
      </c>
      <c r="BG148" s="4">
        <f>I148+Q148+Y148+AG148+AL148+AQ148+AY148</f>
        <v>930000</v>
      </c>
      <c r="BH148" s="94">
        <f>J148+R148+Z148+AH148+AM148+AR148+AZ148</f>
        <v>1576500</v>
      </c>
      <c r="BI148" s="94">
        <f t="shared" si="338"/>
        <v>1866500</v>
      </c>
      <c r="BJ148" s="94">
        <f t="shared" si="338"/>
        <v>1872000</v>
      </c>
      <c r="BK148" s="9">
        <f t="shared" si="339"/>
        <v>7530175</v>
      </c>
    </row>
    <row r="149" spans="1:63" s="38" customFormat="1">
      <c r="A149" s="34"/>
      <c r="B149" s="34"/>
      <c r="C149" s="35" t="s">
        <v>270</v>
      </c>
      <c r="D149" s="37"/>
      <c r="E149" s="37"/>
      <c r="F149" s="37">
        <f>SUM(F147:F148)</f>
        <v>0</v>
      </c>
      <c r="G149" s="37">
        <f t="shared" ref="G149:BK149" si="340">SUM(G147:G148)</f>
        <v>155000</v>
      </c>
      <c r="H149" s="37">
        <f t="shared" si="340"/>
        <v>354000</v>
      </c>
      <c r="I149" s="37">
        <f t="shared" si="340"/>
        <v>120000</v>
      </c>
      <c r="J149" s="37">
        <f t="shared" si="340"/>
        <v>0</v>
      </c>
      <c r="K149" s="37">
        <f t="shared" si="340"/>
        <v>0</v>
      </c>
      <c r="L149" s="37">
        <f t="shared" ref="L149" si="341">SUM(L147:L148)</f>
        <v>0</v>
      </c>
      <c r="M149" s="37">
        <f t="shared" si="340"/>
        <v>629000</v>
      </c>
      <c r="N149" s="37">
        <f t="shared" si="340"/>
        <v>0</v>
      </c>
      <c r="O149" s="37">
        <f t="shared" si="340"/>
        <v>0</v>
      </c>
      <c r="P149" s="37">
        <f t="shared" si="340"/>
        <v>0</v>
      </c>
      <c r="Q149" s="37">
        <f t="shared" si="340"/>
        <v>0</v>
      </c>
      <c r="R149" s="37">
        <f t="shared" si="340"/>
        <v>0</v>
      </c>
      <c r="S149" s="37">
        <f t="shared" si="340"/>
        <v>0</v>
      </c>
      <c r="T149" s="37">
        <f t="shared" ref="T149" si="342">SUM(T147:T148)</f>
        <v>0</v>
      </c>
      <c r="U149" s="37">
        <f t="shared" si="340"/>
        <v>0</v>
      </c>
      <c r="V149" s="37">
        <f t="shared" si="340"/>
        <v>0</v>
      </c>
      <c r="W149" s="37">
        <f t="shared" si="340"/>
        <v>0</v>
      </c>
      <c r="X149" s="37">
        <f t="shared" si="340"/>
        <v>0</v>
      </c>
      <c r="Y149" s="37">
        <f t="shared" si="340"/>
        <v>0</v>
      </c>
      <c r="Z149" s="37">
        <f t="shared" si="340"/>
        <v>0</v>
      </c>
      <c r="AA149" s="37">
        <f t="shared" si="340"/>
        <v>0</v>
      </c>
      <c r="AB149" s="37">
        <f t="shared" ref="AB149" si="343">SUM(AB147:AB148)</f>
        <v>0</v>
      </c>
      <c r="AC149" s="37">
        <f t="shared" si="340"/>
        <v>0</v>
      </c>
      <c r="AD149" s="37">
        <f t="shared" si="340"/>
        <v>0</v>
      </c>
      <c r="AE149" s="37">
        <f t="shared" si="340"/>
        <v>981725</v>
      </c>
      <c r="AF149" s="37">
        <f t="shared" si="340"/>
        <v>967000</v>
      </c>
      <c r="AG149" s="37">
        <f t="shared" si="340"/>
        <v>750000</v>
      </c>
      <c r="AH149" s="37">
        <f t="shared" si="340"/>
        <v>762500</v>
      </c>
      <c r="AI149" s="37">
        <f t="shared" si="340"/>
        <v>627220</v>
      </c>
      <c r="AJ149" s="37">
        <f t="shared" ref="AJ149" si="344">SUM(AJ147:AJ148)</f>
        <v>407400</v>
      </c>
      <c r="AK149" s="37">
        <f t="shared" si="340"/>
        <v>4495845</v>
      </c>
      <c r="AL149" s="37">
        <f t="shared" si="340"/>
        <v>630000</v>
      </c>
      <c r="AM149" s="37">
        <f t="shared" si="340"/>
        <v>1576500</v>
      </c>
      <c r="AN149" s="37">
        <f t="shared" si="340"/>
        <v>1866500</v>
      </c>
      <c r="AO149" s="37">
        <f t="shared" ref="AO149" si="345">SUM(AO147:AO148)</f>
        <v>1872000</v>
      </c>
      <c r="AP149" s="37">
        <f t="shared" si="340"/>
        <v>5945000</v>
      </c>
      <c r="AQ149" s="37">
        <f t="shared" si="340"/>
        <v>0</v>
      </c>
      <c r="AR149" s="37">
        <f t="shared" si="340"/>
        <v>0</v>
      </c>
      <c r="AS149" s="37">
        <f t="shared" si="340"/>
        <v>0</v>
      </c>
      <c r="AT149" s="37">
        <f t="shared" ref="AT149" si="346">SUM(AT147:AT148)</f>
        <v>0</v>
      </c>
      <c r="AU149" s="37">
        <f t="shared" si="340"/>
        <v>0</v>
      </c>
      <c r="AV149" s="37">
        <f t="shared" si="340"/>
        <v>0</v>
      </c>
      <c r="AW149" s="37">
        <f t="shared" si="340"/>
        <v>0</v>
      </c>
      <c r="AX149" s="37">
        <f t="shared" si="340"/>
        <v>0</v>
      </c>
      <c r="AY149" s="37">
        <f t="shared" si="340"/>
        <v>0</v>
      </c>
      <c r="AZ149" s="37">
        <f t="shared" si="340"/>
        <v>0</v>
      </c>
      <c r="BA149" s="37">
        <f t="shared" si="340"/>
        <v>0</v>
      </c>
      <c r="BB149" s="37">
        <f t="shared" ref="BB149" si="347">SUM(BB147:BB148)</f>
        <v>0</v>
      </c>
      <c r="BC149" s="37">
        <f t="shared" si="340"/>
        <v>0</v>
      </c>
      <c r="BD149" s="37">
        <f t="shared" si="340"/>
        <v>0</v>
      </c>
      <c r="BE149" s="37">
        <f t="shared" si="340"/>
        <v>1136725</v>
      </c>
      <c r="BF149" s="37">
        <f t="shared" si="340"/>
        <v>1321000</v>
      </c>
      <c r="BG149" s="37">
        <f t="shared" si="340"/>
        <v>1500000</v>
      </c>
      <c r="BH149" s="37">
        <f t="shared" si="340"/>
        <v>2339000</v>
      </c>
      <c r="BI149" s="37">
        <f t="shared" si="340"/>
        <v>2493720</v>
      </c>
      <c r="BJ149" s="37">
        <f t="shared" ref="BJ149" si="348">SUM(BJ147:BJ148)</f>
        <v>2279400</v>
      </c>
      <c r="BK149" s="37">
        <f t="shared" si="340"/>
        <v>11069845</v>
      </c>
    </row>
    <row r="150" spans="1:63" ht="31.5">
      <c r="A150" s="123" t="s">
        <v>271</v>
      </c>
      <c r="B150" s="8">
        <v>1</v>
      </c>
      <c r="C150" s="44" t="s">
        <v>272</v>
      </c>
      <c r="D150" s="45" t="s">
        <v>271</v>
      </c>
      <c r="E150" s="45" t="s">
        <v>273</v>
      </c>
      <c r="F150" s="4"/>
      <c r="G150" s="4"/>
      <c r="H150" s="5"/>
      <c r="I150" s="4"/>
      <c r="J150" s="4"/>
      <c r="K150" s="4"/>
      <c r="L150" s="4"/>
      <c r="M150" s="9">
        <f>SUM(F150:L150)</f>
        <v>0</v>
      </c>
      <c r="N150" s="76"/>
      <c r="O150" s="76"/>
      <c r="P150" s="76">
        <v>290000</v>
      </c>
      <c r="Q150" s="76"/>
      <c r="R150" s="4"/>
      <c r="S150" s="4">
        <f>1725000+570000</f>
        <v>2295000</v>
      </c>
      <c r="T150" s="4">
        <f>570000+570000+190000+760000+190000</f>
        <v>2280000</v>
      </c>
      <c r="U150" s="9">
        <f>SUM(N150:T150)</f>
        <v>4865000</v>
      </c>
      <c r="V150" s="20"/>
      <c r="W150" s="20"/>
      <c r="X150" s="20"/>
      <c r="Y150" s="20"/>
      <c r="Z150" s="20"/>
      <c r="AA150" s="20"/>
      <c r="AB150" s="20"/>
      <c r="AC150" s="9">
        <f>SUM(V150:AB150)</f>
        <v>0</v>
      </c>
      <c r="AD150" s="20"/>
      <c r="AE150" s="20"/>
      <c r="AF150" s="25"/>
      <c r="AG150" s="25"/>
      <c r="AH150" s="20"/>
      <c r="AI150" s="20"/>
      <c r="AJ150" s="20"/>
      <c r="AK150" s="21">
        <f>SUM(AD150:AJ150)</f>
        <v>0</v>
      </c>
      <c r="AL150" s="25"/>
      <c r="AM150" s="20"/>
      <c r="AN150" s="20"/>
      <c r="AO150" s="20"/>
      <c r="AP150" s="21">
        <f>SUM(AL150:AO150)</f>
        <v>0</v>
      </c>
      <c r="AQ150" s="25"/>
      <c r="AR150" s="20"/>
      <c r="AS150" s="20"/>
      <c r="AT150" s="20"/>
      <c r="AU150" s="21">
        <f>SUM(AQ150:AT150)</f>
        <v>0</v>
      </c>
      <c r="AV150" s="25"/>
      <c r="AW150" s="25"/>
      <c r="AX150" s="25"/>
      <c r="AY150" s="25"/>
      <c r="AZ150" s="20"/>
      <c r="BA150" s="20"/>
      <c r="BB150" s="20"/>
      <c r="BC150" s="21">
        <f>SUM(AV150:BB150)</f>
        <v>0</v>
      </c>
      <c r="BD150" s="4">
        <f>F150+N150+V150+AD150+AV150</f>
        <v>0</v>
      </c>
      <c r="BE150" s="4">
        <f>G150+O150+W150+AE150+AW150</f>
        <v>0</v>
      </c>
      <c r="BF150" s="4">
        <f>H150+P150+X150+AF150+AX150</f>
        <v>290000</v>
      </c>
      <c r="BG150" s="4">
        <f>I150+Q150+Y150+AG150+AL150+AQ150+AY150</f>
        <v>0</v>
      </c>
      <c r="BH150" s="94">
        <f>J150+R150+Z150+AH150+AM150+AR150+AZ150</f>
        <v>0</v>
      </c>
      <c r="BI150" s="94">
        <f>K150+S150+AA150+AI150+AN150+AS150+BA150</f>
        <v>2295000</v>
      </c>
      <c r="BJ150" s="94">
        <f>L150+T150+AB150+AJ150+AO150+AT150+BB150</f>
        <v>2280000</v>
      </c>
      <c r="BK150" s="9">
        <f>SUM(BD150:BJ150)</f>
        <v>4865000</v>
      </c>
    </row>
    <row r="151" spans="1:63" s="38" customFormat="1">
      <c r="A151" s="34"/>
      <c r="B151" s="34"/>
      <c r="C151" s="48" t="s">
        <v>274</v>
      </c>
      <c r="D151" s="49"/>
      <c r="E151" s="49"/>
      <c r="F151" s="37">
        <f>F150</f>
        <v>0</v>
      </c>
      <c r="G151" s="37">
        <f t="shared" ref="G151:BK151" si="349">G150</f>
        <v>0</v>
      </c>
      <c r="H151" s="37">
        <f t="shared" si="349"/>
        <v>0</v>
      </c>
      <c r="I151" s="37">
        <f t="shared" ref="I151" si="350">SUM(I150)</f>
        <v>0</v>
      </c>
      <c r="J151" s="37">
        <f t="shared" si="349"/>
        <v>0</v>
      </c>
      <c r="K151" s="37">
        <f t="shared" si="349"/>
        <v>0</v>
      </c>
      <c r="L151" s="37">
        <f t="shared" ref="L151" si="351">L150</f>
        <v>0</v>
      </c>
      <c r="M151" s="37">
        <f t="shared" si="349"/>
        <v>0</v>
      </c>
      <c r="N151" s="37">
        <f t="shared" si="349"/>
        <v>0</v>
      </c>
      <c r="O151" s="37">
        <f t="shared" si="349"/>
        <v>0</v>
      </c>
      <c r="P151" s="37">
        <f t="shared" si="349"/>
        <v>290000</v>
      </c>
      <c r="Q151" s="37">
        <f t="shared" ref="Q151" si="352">SUM(Q150)</f>
        <v>0</v>
      </c>
      <c r="R151" s="37">
        <f t="shared" si="349"/>
        <v>0</v>
      </c>
      <c r="S151" s="37">
        <f t="shared" si="349"/>
        <v>2295000</v>
      </c>
      <c r="T151" s="37">
        <f t="shared" ref="T151" si="353">T150</f>
        <v>2280000</v>
      </c>
      <c r="U151" s="37">
        <f t="shared" si="349"/>
        <v>4865000</v>
      </c>
      <c r="V151" s="37">
        <f t="shared" si="349"/>
        <v>0</v>
      </c>
      <c r="W151" s="37">
        <f t="shared" si="349"/>
        <v>0</v>
      </c>
      <c r="X151" s="37">
        <f t="shared" si="349"/>
        <v>0</v>
      </c>
      <c r="Y151" s="37">
        <f t="shared" ref="Y151:AA151" si="354">SUM(Y150)</f>
        <v>0</v>
      </c>
      <c r="Z151" s="37">
        <f t="shared" si="354"/>
        <v>0</v>
      </c>
      <c r="AA151" s="37">
        <f t="shared" si="354"/>
        <v>0</v>
      </c>
      <c r="AB151" s="37">
        <f t="shared" ref="AB151" si="355">SUM(AB150)</f>
        <v>0</v>
      </c>
      <c r="AC151" s="37">
        <f t="shared" si="349"/>
        <v>0</v>
      </c>
      <c r="AD151" s="37">
        <f t="shared" si="349"/>
        <v>0</v>
      </c>
      <c r="AE151" s="37">
        <f t="shared" si="349"/>
        <v>0</v>
      </c>
      <c r="AF151" s="37">
        <f t="shared" si="349"/>
        <v>0</v>
      </c>
      <c r="AG151" s="37">
        <f t="shared" ref="AG151" si="356">SUM(AG150)</f>
        <v>0</v>
      </c>
      <c r="AH151" s="37">
        <f t="shared" si="349"/>
        <v>0</v>
      </c>
      <c r="AI151" s="37">
        <f t="shared" si="349"/>
        <v>0</v>
      </c>
      <c r="AJ151" s="37">
        <f t="shared" ref="AJ151" si="357">AJ150</f>
        <v>0</v>
      </c>
      <c r="AK151" s="37">
        <f t="shared" si="349"/>
        <v>0</v>
      </c>
      <c r="AL151" s="37">
        <f t="shared" ref="AL151" si="358">SUM(AL150)</f>
        <v>0</v>
      </c>
      <c r="AM151" s="37">
        <f t="shared" si="349"/>
        <v>0</v>
      </c>
      <c r="AN151" s="37">
        <f t="shared" si="349"/>
        <v>0</v>
      </c>
      <c r="AO151" s="37">
        <f t="shared" ref="AO151" si="359">AO150</f>
        <v>0</v>
      </c>
      <c r="AP151" s="37">
        <f t="shared" si="349"/>
        <v>0</v>
      </c>
      <c r="AQ151" s="37">
        <f t="shared" ref="AQ151" si="360">SUM(AQ150)</f>
        <v>0</v>
      </c>
      <c r="AR151" s="37">
        <f t="shared" si="349"/>
        <v>0</v>
      </c>
      <c r="AS151" s="37">
        <f t="shared" si="349"/>
        <v>0</v>
      </c>
      <c r="AT151" s="37">
        <f t="shared" ref="AT151" si="361">AT150</f>
        <v>0</v>
      </c>
      <c r="AU151" s="37">
        <f t="shared" si="349"/>
        <v>0</v>
      </c>
      <c r="AV151" s="37">
        <f t="shared" si="349"/>
        <v>0</v>
      </c>
      <c r="AW151" s="37">
        <f t="shared" si="349"/>
        <v>0</v>
      </c>
      <c r="AX151" s="37">
        <f t="shared" si="349"/>
        <v>0</v>
      </c>
      <c r="AY151" s="37">
        <f t="shared" ref="AY151" si="362">SUM(AY150)</f>
        <v>0</v>
      </c>
      <c r="AZ151" s="37">
        <f t="shared" si="349"/>
        <v>0</v>
      </c>
      <c r="BA151" s="37">
        <f t="shared" si="349"/>
        <v>0</v>
      </c>
      <c r="BB151" s="37">
        <f t="shared" ref="BB151" si="363">BB150</f>
        <v>0</v>
      </c>
      <c r="BC151" s="37">
        <f t="shared" si="349"/>
        <v>0</v>
      </c>
      <c r="BD151" s="37">
        <f t="shared" si="349"/>
        <v>0</v>
      </c>
      <c r="BE151" s="37">
        <f t="shared" si="349"/>
        <v>0</v>
      </c>
      <c r="BF151" s="37">
        <f t="shared" si="349"/>
        <v>290000</v>
      </c>
      <c r="BG151" s="37">
        <f t="shared" si="349"/>
        <v>0</v>
      </c>
      <c r="BH151" s="37">
        <f t="shared" si="349"/>
        <v>0</v>
      </c>
      <c r="BI151" s="37">
        <f t="shared" si="349"/>
        <v>2295000</v>
      </c>
      <c r="BJ151" s="37">
        <f t="shared" ref="BJ151" si="364">BJ150</f>
        <v>2280000</v>
      </c>
      <c r="BK151" s="37">
        <f t="shared" si="349"/>
        <v>4865000</v>
      </c>
    </row>
    <row r="152" spans="1:63">
      <c r="A152" s="185" t="s">
        <v>275</v>
      </c>
      <c r="B152" s="8">
        <v>1</v>
      </c>
      <c r="C152" s="1" t="s">
        <v>276</v>
      </c>
      <c r="D152" s="4" t="s">
        <v>277</v>
      </c>
      <c r="E152" s="4" t="s">
        <v>275</v>
      </c>
      <c r="F152" s="4"/>
      <c r="G152" s="4">
        <v>705000</v>
      </c>
      <c r="H152" s="4">
        <f>110000+65000+265000</f>
        <v>440000</v>
      </c>
      <c r="I152" s="4"/>
      <c r="J152" s="4"/>
      <c r="K152" s="4"/>
      <c r="L152" s="4"/>
      <c r="M152" s="9">
        <f t="shared" ref="M152:M156" si="365">SUM(F152:L152)</f>
        <v>1145000</v>
      </c>
      <c r="N152" s="4"/>
      <c r="O152" s="4"/>
      <c r="P152" s="4"/>
      <c r="Q152" s="4"/>
      <c r="R152" s="4"/>
      <c r="S152" s="4"/>
      <c r="T152" s="4"/>
      <c r="U152" s="9">
        <f t="shared" ref="U152:U156" si="366">SUM(N152:T152)</f>
        <v>0</v>
      </c>
      <c r="V152" s="20"/>
      <c r="W152" s="20">
        <v>1340000</v>
      </c>
      <c r="X152" s="4">
        <v>826000</v>
      </c>
      <c r="Y152" s="22"/>
      <c r="Z152" s="22"/>
      <c r="AA152" s="22"/>
      <c r="AB152" s="22"/>
      <c r="AC152" s="9">
        <f t="shared" ref="AC152:AC156" si="367">SUM(V152:AB152)</f>
        <v>2166000</v>
      </c>
      <c r="AD152" s="20"/>
      <c r="AE152" s="25">
        <v>1068000</v>
      </c>
      <c r="AF152" s="25">
        <v>582000</v>
      </c>
      <c r="AG152" s="25"/>
      <c r="AH152" s="20"/>
      <c r="AI152" s="20"/>
      <c r="AJ152" s="20"/>
      <c r="AK152" s="21">
        <f t="shared" ref="AK152:AK156" si="368">SUM(AD152:AJ152)</f>
        <v>1650000</v>
      </c>
      <c r="AL152" s="25"/>
      <c r="AM152" s="20"/>
      <c r="AN152" s="20"/>
      <c r="AO152" s="20"/>
      <c r="AP152" s="21">
        <f t="shared" ref="AP152:AP156" si="369">SUM(AL152:AO152)</f>
        <v>0</v>
      </c>
      <c r="AQ152" s="25"/>
      <c r="AR152" s="20"/>
      <c r="AS152" s="20"/>
      <c r="AT152" s="20"/>
      <c r="AU152" s="21">
        <f t="shared" ref="AU152:AU156" si="370">SUM(AQ152:AT152)</f>
        <v>0</v>
      </c>
      <c r="AV152" s="25"/>
      <c r="AW152" s="25"/>
      <c r="AX152" s="25"/>
      <c r="AY152" s="25"/>
      <c r="AZ152" s="20"/>
      <c r="BA152" s="20"/>
      <c r="BB152" s="20"/>
      <c r="BC152" s="21">
        <f t="shared" ref="BC152:BC156" si="371">SUM(AV152:BB152)</f>
        <v>0</v>
      </c>
      <c r="BD152" s="4">
        <f t="shared" ref="BD152:BF156" si="372">F152+N152+V152+AD152+AV152</f>
        <v>0</v>
      </c>
      <c r="BE152" s="4">
        <f t="shared" si="372"/>
        <v>3113000</v>
      </c>
      <c r="BF152" s="4">
        <f t="shared" si="372"/>
        <v>1848000</v>
      </c>
      <c r="BG152" s="4">
        <f t="shared" ref="BG152:BJ156" si="373">I152+Q152+Y152+AG152+AL152+AQ152+AY152</f>
        <v>0</v>
      </c>
      <c r="BH152" s="94">
        <f t="shared" si="373"/>
        <v>0</v>
      </c>
      <c r="BI152" s="94">
        <f t="shared" si="373"/>
        <v>0</v>
      </c>
      <c r="BJ152" s="94">
        <f t="shared" si="373"/>
        <v>0</v>
      </c>
      <c r="BK152" s="9">
        <f t="shared" ref="BK152:BK156" si="374">SUM(BD152:BJ152)</f>
        <v>4961000</v>
      </c>
    </row>
    <row r="153" spans="1:63" ht="31.5">
      <c r="A153" s="186"/>
      <c r="B153" s="8">
        <v>2</v>
      </c>
      <c r="C153" s="40" t="s">
        <v>278</v>
      </c>
      <c r="D153" s="41" t="s">
        <v>279</v>
      </c>
      <c r="E153" s="4" t="s">
        <v>275</v>
      </c>
      <c r="F153" s="4"/>
      <c r="G153" s="4"/>
      <c r="H153" s="4"/>
      <c r="I153" s="4"/>
      <c r="J153" s="4"/>
      <c r="K153" s="4"/>
      <c r="L153" s="4"/>
      <c r="M153" s="9">
        <f t="shared" si="365"/>
        <v>0</v>
      </c>
      <c r="N153" s="76"/>
      <c r="O153" s="76"/>
      <c r="P153" s="76">
        <v>360000</v>
      </c>
      <c r="Q153" s="76">
        <v>705000</v>
      </c>
      <c r="R153" s="4">
        <f>130000+225000+135000+120000+90000</f>
        <v>700000</v>
      </c>
      <c r="S153" s="4">
        <f>895000+330000</f>
        <v>1225000</v>
      </c>
      <c r="T153" s="4">
        <f>110000+440000+220000+110000</f>
        <v>880000</v>
      </c>
      <c r="U153" s="9">
        <f t="shared" si="366"/>
        <v>3870000</v>
      </c>
      <c r="V153" s="20"/>
      <c r="W153" s="20"/>
      <c r="X153" s="20"/>
      <c r="Y153" s="20"/>
      <c r="Z153" s="20"/>
      <c r="AA153" s="20"/>
      <c r="AB153" s="20"/>
      <c r="AC153" s="9">
        <f t="shared" si="367"/>
        <v>0</v>
      </c>
      <c r="AD153" s="20"/>
      <c r="AE153" s="25"/>
      <c r="AF153" s="25"/>
      <c r="AG153" s="25"/>
      <c r="AH153" s="20"/>
      <c r="AI153" s="20"/>
      <c r="AJ153" s="20"/>
      <c r="AK153" s="21">
        <f t="shared" si="368"/>
        <v>0</v>
      </c>
      <c r="AL153" s="25"/>
      <c r="AM153" s="20"/>
      <c r="AN153" s="20"/>
      <c r="AO153" s="20"/>
      <c r="AP153" s="21">
        <f t="shared" si="369"/>
        <v>0</v>
      </c>
      <c r="AQ153" s="25"/>
      <c r="AR153" s="20"/>
      <c r="AS153" s="20"/>
      <c r="AT153" s="20"/>
      <c r="AU153" s="21">
        <f t="shared" si="370"/>
        <v>0</v>
      </c>
      <c r="AV153" s="25"/>
      <c r="AW153" s="25"/>
      <c r="AX153" s="25"/>
      <c r="AY153" s="25"/>
      <c r="AZ153" s="20"/>
      <c r="BA153" s="20"/>
      <c r="BB153" s="20"/>
      <c r="BC153" s="21">
        <f t="shared" si="371"/>
        <v>0</v>
      </c>
      <c r="BD153" s="4">
        <f t="shared" si="372"/>
        <v>0</v>
      </c>
      <c r="BE153" s="4">
        <f t="shared" si="372"/>
        <v>0</v>
      </c>
      <c r="BF153" s="4">
        <f t="shared" si="372"/>
        <v>360000</v>
      </c>
      <c r="BG153" s="4">
        <f t="shared" si="373"/>
        <v>705000</v>
      </c>
      <c r="BH153" s="94">
        <f t="shared" si="373"/>
        <v>700000</v>
      </c>
      <c r="BI153" s="94">
        <f t="shared" si="373"/>
        <v>1225000</v>
      </c>
      <c r="BJ153" s="94">
        <f t="shared" si="373"/>
        <v>880000</v>
      </c>
      <c r="BK153" s="9">
        <f t="shared" si="374"/>
        <v>3870000</v>
      </c>
    </row>
    <row r="154" spans="1:63">
      <c r="A154" s="186"/>
      <c r="B154" s="8">
        <v>3</v>
      </c>
      <c r="C154" s="1" t="s">
        <v>280</v>
      </c>
      <c r="D154" s="41" t="s">
        <v>416</v>
      </c>
      <c r="E154" s="4" t="s">
        <v>275</v>
      </c>
      <c r="F154" s="4"/>
      <c r="G154" s="4"/>
      <c r="H154" s="4">
        <v>-155000</v>
      </c>
      <c r="I154" s="4"/>
      <c r="J154" s="4"/>
      <c r="K154" s="4"/>
      <c r="L154" s="4"/>
      <c r="M154" s="9">
        <f t="shared" si="365"/>
        <v>-155000</v>
      </c>
      <c r="N154" s="4"/>
      <c r="O154" s="4"/>
      <c r="P154" s="4"/>
      <c r="Q154" s="4"/>
      <c r="R154" s="4"/>
      <c r="S154" s="4"/>
      <c r="T154" s="4"/>
      <c r="U154" s="9">
        <f t="shared" si="366"/>
        <v>0</v>
      </c>
      <c r="V154" s="20"/>
      <c r="W154" s="22">
        <v>290000</v>
      </c>
      <c r="X154" s="20">
        <v>0</v>
      </c>
      <c r="Y154" s="20">
        <v>-135000</v>
      </c>
      <c r="Z154" s="20"/>
      <c r="AA154" s="20"/>
      <c r="AB154" s="20"/>
      <c r="AC154" s="9">
        <f t="shared" si="367"/>
        <v>155000</v>
      </c>
      <c r="AD154" s="20"/>
      <c r="AE154" s="25"/>
      <c r="AF154" s="20"/>
      <c r="AG154" s="20"/>
      <c r="AH154" s="20"/>
      <c r="AI154" s="20"/>
      <c r="AJ154" s="20"/>
      <c r="AK154" s="21">
        <f t="shared" si="368"/>
        <v>0</v>
      </c>
      <c r="AL154" s="25"/>
      <c r="AM154" s="20"/>
      <c r="AN154" s="20"/>
      <c r="AO154" s="20"/>
      <c r="AP154" s="21">
        <f t="shared" si="369"/>
        <v>0</v>
      </c>
      <c r="AQ154" s="25"/>
      <c r="AR154" s="20"/>
      <c r="AS154" s="20"/>
      <c r="AT154" s="20"/>
      <c r="AU154" s="21">
        <f t="shared" si="370"/>
        <v>0</v>
      </c>
      <c r="AV154" s="25"/>
      <c r="AW154" s="25"/>
      <c r="AX154" s="25"/>
      <c r="AY154" s="25"/>
      <c r="AZ154" s="20"/>
      <c r="BA154" s="20"/>
      <c r="BB154" s="20"/>
      <c r="BC154" s="21">
        <f t="shared" si="371"/>
        <v>0</v>
      </c>
      <c r="BD154" s="4">
        <f t="shared" si="372"/>
        <v>0</v>
      </c>
      <c r="BE154" s="4">
        <f t="shared" si="372"/>
        <v>290000</v>
      </c>
      <c r="BF154" s="4">
        <f t="shared" si="372"/>
        <v>-155000</v>
      </c>
      <c r="BG154" s="4">
        <f t="shared" si="373"/>
        <v>-135000</v>
      </c>
      <c r="BH154" s="94">
        <f t="shared" si="373"/>
        <v>0</v>
      </c>
      <c r="BI154" s="94">
        <f t="shared" si="373"/>
        <v>0</v>
      </c>
      <c r="BJ154" s="94">
        <f t="shared" si="373"/>
        <v>0</v>
      </c>
      <c r="BK154" s="9">
        <f t="shared" si="374"/>
        <v>0</v>
      </c>
    </row>
    <row r="155" spans="1:63">
      <c r="A155" s="186"/>
      <c r="B155" s="8">
        <v>4</v>
      </c>
      <c r="C155" s="1" t="s">
        <v>281</v>
      </c>
      <c r="D155" s="4" t="s">
        <v>282</v>
      </c>
      <c r="E155" s="4" t="s">
        <v>275</v>
      </c>
      <c r="F155" s="4"/>
      <c r="G155" s="4">
        <v>155000</v>
      </c>
      <c r="H155" s="4"/>
      <c r="I155" s="4">
        <v>72000</v>
      </c>
      <c r="J155" s="4"/>
      <c r="K155" s="4"/>
      <c r="L155" s="4"/>
      <c r="M155" s="9">
        <f t="shared" si="365"/>
        <v>227000</v>
      </c>
      <c r="N155" s="4"/>
      <c r="O155" s="4"/>
      <c r="P155" s="4"/>
      <c r="Q155" s="4"/>
      <c r="R155" s="4"/>
      <c r="S155" s="4"/>
      <c r="T155" s="4"/>
      <c r="U155" s="9">
        <f t="shared" si="366"/>
        <v>0</v>
      </c>
      <c r="V155" s="20"/>
      <c r="W155" s="20"/>
      <c r="X155" s="20"/>
      <c r="Y155" s="20"/>
      <c r="Z155" s="20"/>
      <c r="AA155" s="20"/>
      <c r="AB155" s="20"/>
      <c r="AC155" s="9">
        <f t="shared" si="367"/>
        <v>0</v>
      </c>
      <c r="AD155" s="20"/>
      <c r="AE155" s="20"/>
      <c r="AF155" s="20"/>
      <c r="AG155" s="20"/>
      <c r="AH155" s="20"/>
      <c r="AI155" s="20"/>
      <c r="AJ155" s="20"/>
      <c r="AK155" s="21">
        <f t="shared" si="368"/>
        <v>0</v>
      </c>
      <c r="AL155" s="25"/>
      <c r="AM155" s="20"/>
      <c r="AN155" s="20"/>
      <c r="AO155" s="20"/>
      <c r="AP155" s="21">
        <f t="shared" si="369"/>
        <v>0</v>
      </c>
      <c r="AQ155" s="25"/>
      <c r="AR155" s="20"/>
      <c r="AS155" s="20"/>
      <c r="AT155" s="20"/>
      <c r="AU155" s="21">
        <f t="shared" si="370"/>
        <v>0</v>
      </c>
      <c r="AV155" s="25"/>
      <c r="AW155" s="25"/>
      <c r="AX155" s="25"/>
      <c r="AY155" s="25"/>
      <c r="AZ155" s="20"/>
      <c r="BA155" s="20"/>
      <c r="BB155" s="20"/>
      <c r="BC155" s="21">
        <f t="shared" si="371"/>
        <v>0</v>
      </c>
      <c r="BD155" s="4">
        <f t="shared" si="372"/>
        <v>0</v>
      </c>
      <c r="BE155" s="4">
        <f t="shared" si="372"/>
        <v>155000</v>
      </c>
      <c r="BF155" s="4">
        <f t="shared" si="372"/>
        <v>0</v>
      </c>
      <c r="BG155" s="4">
        <f t="shared" si="373"/>
        <v>72000</v>
      </c>
      <c r="BH155" s="94">
        <f t="shared" si="373"/>
        <v>0</v>
      </c>
      <c r="BI155" s="94">
        <f t="shared" si="373"/>
        <v>0</v>
      </c>
      <c r="BJ155" s="94">
        <f t="shared" si="373"/>
        <v>0</v>
      </c>
      <c r="BK155" s="9">
        <f t="shared" si="374"/>
        <v>227000</v>
      </c>
    </row>
    <row r="156" spans="1:63" ht="31.5">
      <c r="A156" s="187"/>
      <c r="B156" s="8">
        <v>5</v>
      </c>
      <c r="C156" s="1" t="s">
        <v>283</v>
      </c>
      <c r="D156" s="4" t="s">
        <v>284</v>
      </c>
      <c r="E156" s="4" t="s">
        <v>275</v>
      </c>
      <c r="F156" s="4">
        <v>155000</v>
      </c>
      <c r="G156" s="4">
        <v>152000</v>
      </c>
      <c r="H156" s="4">
        <v>514500</v>
      </c>
      <c r="I156" s="4">
        <v>508000</v>
      </c>
      <c r="J156" s="4">
        <f>24500+73000+101000+91000+71000</f>
        <v>360500</v>
      </c>
      <c r="K156" s="4">
        <f>422500+81000+40500</f>
        <v>544000</v>
      </c>
      <c r="L156" s="4">
        <v>549000</v>
      </c>
      <c r="M156" s="9">
        <f t="shared" si="365"/>
        <v>2783000</v>
      </c>
      <c r="N156" s="4"/>
      <c r="O156" s="4"/>
      <c r="P156" s="4"/>
      <c r="Q156" s="4"/>
      <c r="R156" s="4"/>
      <c r="S156" s="4"/>
      <c r="T156" s="4"/>
      <c r="U156" s="9">
        <f t="shared" si="366"/>
        <v>0</v>
      </c>
      <c r="V156" s="20"/>
      <c r="W156" s="20"/>
      <c r="X156" s="20"/>
      <c r="Y156" s="20"/>
      <c r="Z156" s="20"/>
      <c r="AA156" s="20"/>
      <c r="AB156" s="20"/>
      <c r="AC156" s="9">
        <f t="shared" si="367"/>
        <v>0</v>
      </c>
      <c r="AD156" s="20"/>
      <c r="AE156" s="20"/>
      <c r="AF156" s="25"/>
      <c r="AG156" s="25"/>
      <c r="AH156" s="20"/>
      <c r="AI156" s="20"/>
      <c r="AJ156" s="20"/>
      <c r="AK156" s="21">
        <f t="shared" si="368"/>
        <v>0</v>
      </c>
      <c r="AL156" s="25"/>
      <c r="AM156" s="20"/>
      <c r="AN156" s="20"/>
      <c r="AO156" s="20"/>
      <c r="AP156" s="21">
        <f t="shared" si="369"/>
        <v>0</v>
      </c>
      <c r="AQ156" s="25"/>
      <c r="AR156" s="20"/>
      <c r="AS156" s="20"/>
      <c r="AT156" s="20"/>
      <c r="AU156" s="21">
        <f t="shared" si="370"/>
        <v>0</v>
      </c>
      <c r="AV156" s="25"/>
      <c r="AW156" s="25"/>
      <c r="AX156" s="25"/>
      <c r="AY156" s="25"/>
      <c r="AZ156" s="20"/>
      <c r="BA156" s="20"/>
      <c r="BB156" s="20"/>
      <c r="BC156" s="21">
        <f t="shared" si="371"/>
        <v>0</v>
      </c>
      <c r="BD156" s="4">
        <f t="shared" si="372"/>
        <v>155000</v>
      </c>
      <c r="BE156" s="4">
        <f t="shared" si="372"/>
        <v>152000</v>
      </c>
      <c r="BF156" s="4">
        <f t="shared" si="372"/>
        <v>514500</v>
      </c>
      <c r="BG156" s="4">
        <f t="shared" si="373"/>
        <v>508000</v>
      </c>
      <c r="BH156" s="94">
        <f t="shared" si="373"/>
        <v>360500</v>
      </c>
      <c r="BI156" s="94">
        <f t="shared" si="373"/>
        <v>544000</v>
      </c>
      <c r="BJ156" s="94">
        <f t="shared" si="373"/>
        <v>549000</v>
      </c>
      <c r="BK156" s="9">
        <f t="shared" si="374"/>
        <v>2783000</v>
      </c>
    </row>
    <row r="157" spans="1:63" s="36" customFormat="1">
      <c r="A157" s="34"/>
      <c r="B157" s="34"/>
      <c r="C157" s="35" t="s">
        <v>287</v>
      </c>
      <c r="D157" s="37"/>
      <c r="E157" s="37"/>
      <c r="F157" s="37">
        <f t="shared" ref="F157:BK157" si="375">SUM(F152:F156)</f>
        <v>155000</v>
      </c>
      <c r="G157" s="37">
        <f t="shared" si="375"/>
        <v>1012000</v>
      </c>
      <c r="H157" s="37">
        <f t="shared" si="375"/>
        <v>799500</v>
      </c>
      <c r="I157" s="37">
        <f t="shared" si="375"/>
        <v>580000</v>
      </c>
      <c r="J157" s="37">
        <f t="shared" si="375"/>
        <v>360500</v>
      </c>
      <c r="K157" s="37">
        <f t="shared" si="375"/>
        <v>544000</v>
      </c>
      <c r="L157" s="37">
        <f t="shared" ref="L157" si="376">SUM(L152:L156)</f>
        <v>549000</v>
      </c>
      <c r="M157" s="37">
        <f t="shared" si="375"/>
        <v>4000000</v>
      </c>
      <c r="N157" s="37">
        <f t="shared" si="375"/>
        <v>0</v>
      </c>
      <c r="O157" s="37">
        <f t="shared" si="375"/>
        <v>0</v>
      </c>
      <c r="P157" s="37">
        <f t="shared" si="375"/>
        <v>360000</v>
      </c>
      <c r="Q157" s="37">
        <f t="shared" si="375"/>
        <v>705000</v>
      </c>
      <c r="R157" s="37">
        <f t="shared" si="375"/>
        <v>700000</v>
      </c>
      <c r="S157" s="37">
        <f t="shared" si="375"/>
        <v>1225000</v>
      </c>
      <c r="T157" s="37">
        <f t="shared" ref="T157" si="377">SUM(T152:T156)</f>
        <v>880000</v>
      </c>
      <c r="U157" s="37">
        <f t="shared" si="375"/>
        <v>3870000</v>
      </c>
      <c r="V157" s="37">
        <f t="shared" si="375"/>
        <v>0</v>
      </c>
      <c r="W157" s="37">
        <f t="shared" si="375"/>
        <v>1630000</v>
      </c>
      <c r="X157" s="37">
        <f t="shared" si="375"/>
        <v>826000</v>
      </c>
      <c r="Y157" s="37">
        <f t="shared" si="375"/>
        <v>-135000</v>
      </c>
      <c r="Z157" s="37">
        <f t="shared" si="375"/>
        <v>0</v>
      </c>
      <c r="AA157" s="37">
        <f t="shared" si="375"/>
        <v>0</v>
      </c>
      <c r="AB157" s="37">
        <f t="shared" ref="AB157" si="378">SUM(AB152:AB156)</f>
        <v>0</v>
      </c>
      <c r="AC157" s="37">
        <f t="shared" si="375"/>
        <v>2321000</v>
      </c>
      <c r="AD157" s="37">
        <f t="shared" si="375"/>
        <v>0</v>
      </c>
      <c r="AE157" s="37">
        <f t="shared" si="375"/>
        <v>1068000</v>
      </c>
      <c r="AF157" s="37">
        <f t="shared" si="375"/>
        <v>582000</v>
      </c>
      <c r="AG157" s="37">
        <f t="shared" si="375"/>
        <v>0</v>
      </c>
      <c r="AH157" s="37">
        <f t="shared" si="375"/>
        <v>0</v>
      </c>
      <c r="AI157" s="37">
        <f t="shared" si="375"/>
        <v>0</v>
      </c>
      <c r="AJ157" s="37">
        <f t="shared" ref="AJ157" si="379">SUM(AJ152:AJ156)</f>
        <v>0</v>
      </c>
      <c r="AK157" s="37">
        <f t="shared" si="375"/>
        <v>1650000</v>
      </c>
      <c r="AL157" s="37">
        <f t="shared" si="375"/>
        <v>0</v>
      </c>
      <c r="AM157" s="37">
        <f t="shared" si="375"/>
        <v>0</v>
      </c>
      <c r="AN157" s="37">
        <f t="shared" si="375"/>
        <v>0</v>
      </c>
      <c r="AO157" s="37">
        <f t="shared" ref="AO157" si="380">SUM(AO152:AO156)</f>
        <v>0</v>
      </c>
      <c r="AP157" s="37">
        <f t="shared" si="375"/>
        <v>0</v>
      </c>
      <c r="AQ157" s="37">
        <f t="shared" si="375"/>
        <v>0</v>
      </c>
      <c r="AR157" s="37">
        <f t="shared" si="375"/>
        <v>0</v>
      </c>
      <c r="AS157" s="37">
        <f t="shared" si="375"/>
        <v>0</v>
      </c>
      <c r="AT157" s="37">
        <f t="shared" ref="AT157" si="381">SUM(AT152:AT156)</f>
        <v>0</v>
      </c>
      <c r="AU157" s="37">
        <f t="shared" si="375"/>
        <v>0</v>
      </c>
      <c r="AV157" s="37">
        <f t="shared" si="375"/>
        <v>0</v>
      </c>
      <c r="AW157" s="37">
        <f t="shared" si="375"/>
        <v>0</v>
      </c>
      <c r="AX157" s="37">
        <f t="shared" si="375"/>
        <v>0</v>
      </c>
      <c r="AY157" s="37">
        <f t="shared" si="375"/>
        <v>0</v>
      </c>
      <c r="AZ157" s="37">
        <f t="shared" si="375"/>
        <v>0</v>
      </c>
      <c r="BA157" s="37">
        <f t="shared" si="375"/>
        <v>0</v>
      </c>
      <c r="BB157" s="37">
        <f t="shared" ref="BB157" si="382">SUM(BB152:BB156)</f>
        <v>0</v>
      </c>
      <c r="BC157" s="37">
        <f t="shared" si="375"/>
        <v>0</v>
      </c>
      <c r="BD157" s="37">
        <f t="shared" si="375"/>
        <v>155000</v>
      </c>
      <c r="BE157" s="37">
        <f t="shared" si="375"/>
        <v>3710000</v>
      </c>
      <c r="BF157" s="37">
        <f t="shared" si="375"/>
        <v>2567500</v>
      </c>
      <c r="BG157" s="37">
        <f t="shared" si="375"/>
        <v>1150000</v>
      </c>
      <c r="BH157" s="37">
        <f t="shared" si="375"/>
        <v>1060500</v>
      </c>
      <c r="BI157" s="144">
        <f>SUM(BI152:BI156)</f>
        <v>1769000</v>
      </c>
      <c r="BJ157" s="37">
        <f t="shared" ref="BJ157" si="383">SUM(BJ152:BJ156)</f>
        <v>1429000</v>
      </c>
      <c r="BK157" s="37">
        <f t="shared" si="375"/>
        <v>11841000</v>
      </c>
    </row>
    <row r="158" spans="1:63" ht="31.5">
      <c r="A158" s="185" t="s">
        <v>21</v>
      </c>
      <c r="B158" s="8">
        <v>1</v>
      </c>
      <c r="C158" s="55" t="s">
        <v>288</v>
      </c>
      <c r="D158" s="56" t="s">
        <v>289</v>
      </c>
      <c r="E158" s="56" t="s">
        <v>21</v>
      </c>
      <c r="F158" s="56"/>
      <c r="G158" s="56">
        <v>155000</v>
      </c>
      <c r="H158" s="56">
        <f>100000+50000</f>
        <v>150000</v>
      </c>
      <c r="I158" s="56">
        <v>651500</v>
      </c>
      <c r="J158" s="4">
        <f>157500+180500+175000+133000+110500</f>
        <v>756500</v>
      </c>
      <c r="K158" s="4">
        <f>725500+164000+87000</f>
        <v>976500</v>
      </c>
      <c r="L158" s="4">
        <v>224500</v>
      </c>
      <c r="M158" s="9">
        <f t="shared" ref="M158:M165" si="384">SUM(F158:L158)</f>
        <v>2914000</v>
      </c>
      <c r="N158" s="56"/>
      <c r="O158" s="56"/>
      <c r="P158" s="56"/>
      <c r="Q158" s="56"/>
      <c r="R158" s="4"/>
      <c r="S158" s="4"/>
      <c r="T158" s="4"/>
      <c r="U158" s="9">
        <f t="shared" ref="U158:U165" si="385">SUM(N158:T158)</f>
        <v>0</v>
      </c>
      <c r="V158" s="57"/>
      <c r="W158" s="57"/>
      <c r="X158" s="57"/>
      <c r="Y158" s="57"/>
      <c r="Z158" s="57"/>
      <c r="AA158" s="57"/>
      <c r="AB158" s="57"/>
      <c r="AC158" s="9">
        <f t="shared" ref="AC158:AC165" si="386">SUM(V158:AB158)</f>
        <v>0</v>
      </c>
      <c r="AD158" s="57"/>
      <c r="AE158" s="57"/>
      <c r="AF158" s="57"/>
      <c r="AG158" s="57"/>
      <c r="AH158" s="20"/>
      <c r="AI158" s="20"/>
      <c r="AJ158" s="20"/>
      <c r="AK158" s="21">
        <f t="shared" ref="AK158:AK165" si="387">SUM(AD158:AJ158)</f>
        <v>0</v>
      </c>
      <c r="AL158" s="58"/>
      <c r="AM158" s="20"/>
      <c r="AN158" s="20"/>
      <c r="AO158" s="20"/>
      <c r="AP158" s="21">
        <f t="shared" ref="AP158:AP165" si="388">SUM(AL158:AO158)</f>
        <v>0</v>
      </c>
      <c r="AQ158" s="58"/>
      <c r="AR158" s="57"/>
      <c r="AS158" s="57"/>
      <c r="AT158" s="57"/>
      <c r="AU158" s="21">
        <f t="shared" ref="AU158:AU165" si="389">SUM(AQ158:AT158)</f>
        <v>0</v>
      </c>
      <c r="AV158" s="58"/>
      <c r="AW158" s="58"/>
      <c r="AX158" s="58">
        <v>100000</v>
      </c>
      <c r="AY158" s="58">
        <v>125000</v>
      </c>
      <c r="AZ158" s="20"/>
      <c r="BA158" s="20"/>
      <c r="BB158" s="20"/>
      <c r="BC158" s="21">
        <f t="shared" ref="BC158:BC165" si="390">SUM(AV158:BB158)</f>
        <v>225000</v>
      </c>
      <c r="BD158" s="4">
        <f t="shared" ref="BD158:BF165" si="391">F158+N158+V158+AD158+AV158</f>
        <v>0</v>
      </c>
      <c r="BE158" s="4">
        <f t="shared" si="391"/>
        <v>155000</v>
      </c>
      <c r="BF158" s="4">
        <f t="shared" si="391"/>
        <v>250000</v>
      </c>
      <c r="BG158" s="4">
        <f t="shared" ref="BG158:BJ165" si="392">I158+Q158+Y158+AG158+AL158+AQ158+AY158</f>
        <v>776500</v>
      </c>
      <c r="BH158" s="94">
        <f t="shared" si="392"/>
        <v>756500</v>
      </c>
      <c r="BI158" s="94">
        <f t="shared" si="392"/>
        <v>976500</v>
      </c>
      <c r="BJ158" s="94">
        <f t="shared" si="392"/>
        <v>224500</v>
      </c>
      <c r="BK158" s="9">
        <f t="shared" ref="BK158:BK165" si="393">SUM(BD158:BJ158)</f>
        <v>3139000</v>
      </c>
    </row>
    <row r="159" spans="1:63" ht="31.5">
      <c r="A159" s="186"/>
      <c r="B159" s="8">
        <v>2</v>
      </c>
      <c r="C159" s="1" t="s">
        <v>290</v>
      </c>
      <c r="D159" s="91" t="s">
        <v>417</v>
      </c>
      <c r="E159" s="4" t="s">
        <v>21</v>
      </c>
      <c r="F159" s="4"/>
      <c r="G159" s="4"/>
      <c r="H159" s="4"/>
      <c r="I159" s="4"/>
      <c r="J159" s="4"/>
      <c r="K159" s="4"/>
      <c r="L159" s="4"/>
      <c r="M159" s="9">
        <f t="shared" si="384"/>
        <v>0</v>
      </c>
      <c r="N159" s="4"/>
      <c r="O159" s="4"/>
      <c r="P159" s="4"/>
      <c r="Q159" s="4"/>
      <c r="R159" s="4"/>
      <c r="S159" s="4"/>
      <c r="T159" s="4"/>
      <c r="U159" s="9">
        <f t="shared" si="385"/>
        <v>0</v>
      </c>
      <c r="V159" s="20"/>
      <c r="W159" s="20"/>
      <c r="X159" s="20"/>
      <c r="Y159" s="20"/>
      <c r="Z159" s="20"/>
      <c r="AA159" s="20"/>
      <c r="AB159" s="20"/>
      <c r="AC159" s="9">
        <f t="shared" si="386"/>
        <v>0</v>
      </c>
      <c r="AD159" s="20"/>
      <c r="AE159" s="20">
        <v>256750</v>
      </c>
      <c r="AF159" s="25">
        <v>340750</v>
      </c>
      <c r="AG159" s="24">
        <v>950000</v>
      </c>
      <c r="AH159" s="20">
        <f>70000+210000+420000+140000</f>
        <v>840000</v>
      </c>
      <c r="AI159" s="20">
        <f>889200+197100+98550</f>
        <v>1184850</v>
      </c>
      <c r="AJ159" s="20">
        <v>1331550</v>
      </c>
      <c r="AK159" s="21">
        <f t="shared" si="387"/>
        <v>4903900</v>
      </c>
      <c r="AL159" s="25"/>
      <c r="AM159" s="20"/>
      <c r="AN159" s="20"/>
      <c r="AO159" s="20"/>
      <c r="AP159" s="21">
        <f t="shared" si="388"/>
        <v>0</v>
      </c>
      <c r="AQ159" s="25"/>
      <c r="AR159" s="20"/>
      <c r="AS159" s="20"/>
      <c r="AT159" s="20"/>
      <c r="AU159" s="21">
        <f t="shared" si="389"/>
        <v>0</v>
      </c>
      <c r="AV159" s="25"/>
      <c r="AW159" s="25"/>
      <c r="AX159" s="25"/>
      <c r="AY159" s="25"/>
      <c r="AZ159" s="20"/>
      <c r="BA159" s="20"/>
      <c r="BB159" s="20"/>
      <c r="BC159" s="21">
        <f t="shared" si="390"/>
        <v>0</v>
      </c>
      <c r="BD159" s="4">
        <f t="shared" si="391"/>
        <v>0</v>
      </c>
      <c r="BE159" s="4">
        <f t="shared" si="391"/>
        <v>256750</v>
      </c>
      <c r="BF159" s="4">
        <f t="shared" si="391"/>
        <v>340750</v>
      </c>
      <c r="BG159" s="4">
        <f t="shared" si="392"/>
        <v>950000</v>
      </c>
      <c r="BH159" s="94">
        <f t="shared" si="392"/>
        <v>840000</v>
      </c>
      <c r="BI159" s="94">
        <f t="shared" si="392"/>
        <v>1184850</v>
      </c>
      <c r="BJ159" s="94">
        <f t="shared" si="392"/>
        <v>1331550</v>
      </c>
      <c r="BK159" s="9">
        <f t="shared" si="393"/>
        <v>4903900</v>
      </c>
    </row>
    <row r="160" spans="1:63" ht="47.25">
      <c r="A160" s="186"/>
      <c r="B160" s="8">
        <v>3</v>
      </c>
      <c r="C160" s="42" t="s">
        <v>291</v>
      </c>
      <c r="D160" s="43" t="s">
        <v>292</v>
      </c>
      <c r="E160" s="4" t="s">
        <v>21</v>
      </c>
      <c r="F160" s="4"/>
      <c r="G160" s="4"/>
      <c r="H160" s="4"/>
      <c r="I160" s="4"/>
      <c r="J160" s="4"/>
      <c r="K160" s="4"/>
      <c r="L160" s="4"/>
      <c r="M160" s="9">
        <f t="shared" si="384"/>
        <v>0</v>
      </c>
      <c r="N160" s="4"/>
      <c r="O160" s="4"/>
      <c r="P160" s="4"/>
      <c r="Q160" s="4"/>
      <c r="R160" s="4"/>
      <c r="S160" s="4"/>
      <c r="T160" s="4"/>
      <c r="U160" s="9">
        <f t="shared" si="385"/>
        <v>0</v>
      </c>
      <c r="V160" s="20"/>
      <c r="W160" s="20"/>
      <c r="X160" s="4">
        <v>471935</v>
      </c>
      <c r="Y160" s="22">
        <v>360000</v>
      </c>
      <c r="Z160" s="22">
        <f>825000+225000+225000+225000+150000</f>
        <v>1650000</v>
      </c>
      <c r="AA160" s="22">
        <f>1391000+812000</f>
        <v>2203000</v>
      </c>
      <c r="AB160" s="22">
        <f>203000+406000+406000+203000+203000+406000+203000</f>
        <v>2030000</v>
      </c>
      <c r="AC160" s="9">
        <f t="shared" si="386"/>
        <v>6714935</v>
      </c>
      <c r="AD160" s="20"/>
      <c r="AE160" s="20"/>
      <c r="AF160" s="25"/>
      <c r="AG160" s="25"/>
      <c r="AH160" s="20"/>
      <c r="AI160" s="20"/>
      <c r="AJ160" s="20"/>
      <c r="AK160" s="21">
        <f t="shared" si="387"/>
        <v>0</v>
      </c>
      <c r="AL160" s="25"/>
      <c r="AM160" s="20"/>
      <c r="AN160" s="20"/>
      <c r="AO160" s="20"/>
      <c r="AP160" s="21">
        <f t="shared" si="388"/>
        <v>0</v>
      </c>
      <c r="AQ160" s="25"/>
      <c r="AR160" s="20"/>
      <c r="AS160" s="20"/>
      <c r="AT160" s="20"/>
      <c r="AU160" s="21">
        <f t="shared" si="389"/>
        <v>0</v>
      </c>
      <c r="AV160" s="25"/>
      <c r="AW160" s="25"/>
      <c r="AX160" s="25"/>
      <c r="AY160" s="25"/>
      <c r="AZ160" s="20"/>
      <c r="BA160" s="20"/>
      <c r="BB160" s="20"/>
      <c r="BC160" s="21">
        <f t="shared" si="390"/>
        <v>0</v>
      </c>
      <c r="BD160" s="4">
        <f t="shared" si="391"/>
        <v>0</v>
      </c>
      <c r="BE160" s="4">
        <f t="shared" si="391"/>
        <v>0</v>
      </c>
      <c r="BF160" s="4">
        <f t="shared" si="391"/>
        <v>471935</v>
      </c>
      <c r="BG160" s="4">
        <f t="shared" si="392"/>
        <v>360000</v>
      </c>
      <c r="BH160" s="94">
        <f t="shared" si="392"/>
        <v>1650000</v>
      </c>
      <c r="BI160" s="94">
        <f t="shared" si="392"/>
        <v>2203000</v>
      </c>
      <c r="BJ160" s="94">
        <f t="shared" si="392"/>
        <v>2030000</v>
      </c>
      <c r="BK160" s="9">
        <f t="shared" si="393"/>
        <v>6714935</v>
      </c>
    </row>
    <row r="161" spans="1:63" ht="30">
      <c r="A161" s="186"/>
      <c r="B161" s="8">
        <v>5</v>
      </c>
      <c r="C161" s="2" t="s">
        <v>15</v>
      </c>
      <c r="D161" s="13" t="s">
        <v>41</v>
      </c>
      <c r="E161" s="4" t="s">
        <v>21</v>
      </c>
      <c r="F161" s="4"/>
      <c r="G161" s="4"/>
      <c r="H161" s="4"/>
      <c r="I161" s="4"/>
      <c r="J161" s="4"/>
      <c r="K161" s="4"/>
      <c r="L161" s="4"/>
      <c r="M161" s="9">
        <f t="shared" si="384"/>
        <v>0</v>
      </c>
      <c r="N161" s="4"/>
      <c r="O161" s="4"/>
      <c r="P161" s="4"/>
      <c r="Q161" s="4"/>
      <c r="R161" s="4"/>
      <c r="S161" s="4"/>
      <c r="T161" s="4"/>
      <c r="U161" s="9">
        <f t="shared" si="385"/>
        <v>0</v>
      </c>
      <c r="V161" s="20"/>
      <c r="W161" s="20"/>
      <c r="X161" s="4"/>
      <c r="Y161" s="20"/>
      <c r="Z161" s="20"/>
      <c r="AA161" s="20"/>
      <c r="AB161" s="20"/>
      <c r="AC161" s="9">
        <f t="shared" si="386"/>
        <v>0</v>
      </c>
      <c r="AD161" s="20"/>
      <c r="AE161" s="20"/>
      <c r="AF161" s="25"/>
      <c r="AG161" s="25"/>
      <c r="AH161" s="20"/>
      <c r="AI161" s="20"/>
      <c r="AJ161" s="20"/>
      <c r="AK161" s="21">
        <f t="shared" si="387"/>
        <v>0</v>
      </c>
      <c r="AL161" s="25"/>
      <c r="AM161" s="20"/>
      <c r="AN161" s="20"/>
      <c r="AO161" s="20"/>
      <c r="AP161" s="21">
        <f t="shared" si="388"/>
        <v>0</v>
      </c>
      <c r="AQ161" s="25"/>
      <c r="AR161" s="20"/>
      <c r="AS161" s="20"/>
      <c r="AT161" s="20"/>
      <c r="AU161" s="21">
        <f t="shared" si="389"/>
        <v>0</v>
      </c>
      <c r="AV161" s="25"/>
      <c r="AW161" s="25">
        <v>100000</v>
      </c>
      <c r="AX161" s="25">
        <v>248400</v>
      </c>
      <c r="AY161" s="25">
        <v>240000</v>
      </c>
      <c r="AZ161" s="20"/>
      <c r="BA161" s="20"/>
      <c r="BB161" s="20"/>
      <c r="BC161" s="21">
        <f t="shared" si="390"/>
        <v>588400</v>
      </c>
      <c r="BD161" s="4">
        <f t="shared" si="391"/>
        <v>0</v>
      </c>
      <c r="BE161" s="4">
        <f t="shared" si="391"/>
        <v>100000</v>
      </c>
      <c r="BF161" s="4">
        <f t="shared" si="391"/>
        <v>248400</v>
      </c>
      <c r="BG161" s="4">
        <f t="shared" si="392"/>
        <v>240000</v>
      </c>
      <c r="BH161" s="94">
        <f t="shared" si="392"/>
        <v>0</v>
      </c>
      <c r="BI161" s="94">
        <f t="shared" si="392"/>
        <v>0</v>
      </c>
      <c r="BJ161" s="94">
        <f t="shared" si="392"/>
        <v>0</v>
      </c>
      <c r="BK161" s="9">
        <f t="shared" si="393"/>
        <v>588400</v>
      </c>
    </row>
    <row r="162" spans="1:63" ht="31.5">
      <c r="A162" s="186"/>
      <c r="B162" s="8">
        <v>6</v>
      </c>
      <c r="C162" s="1" t="s">
        <v>294</v>
      </c>
      <c r="D162" s="91" t="s">
        <v>419</v>
      </c>
      <c r="E162" s="4" t="s">
        <v>21</v>
      </c>
      <c r="F162" s="4"/>
      <c r="G162" s="4"/>
      <c r="H162" s="4"/>
      <c r="I162" s="4"/>
      <c r="J162" s="4"/>
      <c r="K162" s="4"/>
      <c r="L162" s="4"/>
      <c r="M162" s="9">
        <f t="shared" si="384"/>
        <v>0</v>
      </c>
      <c r="N162" s="4"/>
      <c r="O162" s="4"/>
      <c r="P162" s="4"/>
      <c r="Q162" s="4"/>
      <c r="R162" s="4"/>
      <c r="S162" s="4"/>
      <c r="T162" s="4"/>
      <c r="U162" s="9">
        <f t="shared" si="385"/>
        <v>0</v>
      </c>
      <c r="V162" s="20"/>
      <c r="W162" s="20"/>
      <c r="X162" s="4"/>
      <c r="Y162" s="20"/>
      <c r="Z162" s="20"/>
      <c r="AA162" s="20"/>
      <c r="AB162" s="20"/>
      <c r="AC162" s="9">
        <f t="shared" si="386"/>
        <v>0</v>
      </c>
      <c r="AD162" s="20"/>
      <c r="AE162" s="25">
        <v>394250</v>
      </c>
      <c r="AF162" s="25">
        <v>480150</v>
      </c>
      <c r="AG162" s="25">
        <v>736500</v>
      </c>
      <c r="AH162" s="20">
        <f>133000+210000+210000+210000+140000</f>
        <v>903000</v>
      </c>
      <c r="AI162" s="20">
        <f>973700+203282+98000</f>
        <v>1274982</v>
      </c>
      <c r="AJ162" s="20">
        <v>1457009</v>
      </c>
      <c r="AK162" s="21">
        <f t="shared" si="387"/>
        <v>5245891</v>
      </c>
      <c r="AL162" s="25"/>
      <c r="AM162" s="20"/>
      <c r="AN162" s="20"/>
      <c r="AO162" s="20"/>
      <c r="AP162" s="21">
        <f t="shared" si="388"/>
        <v>0</v>
      </c>
      <c r="AQ162" s="25"/>
      <c r="AR162" s="20"/>
      <c r="AS162" s="20"/>
      <c r="AT162" s="20"/>
      <c r="AU162" s="21">
        <f t="shared" si="389"/>
        <v>0</v>
      </c>
      <c r="AV162" s="25"/>
      <c r="AW162" s="25"/>
      <c r="AX162" s="25"/>
      <c r="AY162" s="25"/>
      <c r="AZ162" s="20"/>
      <c r="BA162" s="20"/>
      <c r="BB162" s="20"/>
      <c r="BC162" s="21">
        <f t="shared" si="390"/>
        <v>0</v>
      </c>
      <c r="BD162" s="4">
        <f t="shared" si="391"/>
        <v>0</v>
      </c>
      <c r="BE162" s="4">
        <f t="shared" si="391"/>
        <v>394250</v>
      </c>
      <c r="BF162" s="4">
        <f t="shared" si="391"/>
        <v>480150</v>
      </c>
      <c r="BG162" s="4">
        <f t="shared" si="392"/>
        <v>736500</v>
      </c>
      <c r="BH162" s="94">
        <f t="shared" si="392"/>
        <v>903000</v>
      </c>
      <c r="BI162" s="94">
        <f t="shared" si="392"/>
        <v>1274982</v>
      </c>
      <c r="BJ162" s="94">
        <f t="shared" si="392"/>
        <v>1457009</v>
      </c>
      <c r="BK162" s="9">
        <f t="shared" si="393"/>
        <v>5245891</v>
      </c>
    </row>
    <row r="163" spans="1:63" ht="31.5">
      <c r="A163" s="186"/>
      <c r="B163" s="8">
        <v>7</v>
      </c>
      <c r="C163" s="40" t="s">
        <v>295</v>
      </c>
      <c r="D163" s="41" t="s">
        <v>296</v>
      </c>
      <c r="E163" s="4" t="s">
        <v>21</v>
      </c>
      <c r="F163" s="4"/>
      <c r="G163" s="4"/>
      <c r="H163" s="4"/>
      <c r="I163" s="4"/>
      <c r="J163" s="4"/>
      <c r="K163" s="4"/>
      <c r="L163" s="4"/>
      <c r="M163" s="9">
        <f t="shared" si="384"/>
        <v>0</v>
      </c>
      <c r="N163" s="76">
        <v>290000</v>
      </c>
      <c r="O163" s="76">
        <v>1230000</v>
      </c>
      <c r="P163" s="76">
        <v>1610000</v>
      </c>
      <c r="Q163" s="76">
        <v>300000</v>
      </c>
      <c r="R163" s="4"/>
      <c r="S163" s="4"/>
      <c r="T163" s="4"/>
      <c r="U163" s="9">
        <f t="shared" si="385"/>
        <v>3430000</v>
      </c>
      <c r="V163" s="20">
        <v>290000</v>
      </c>
      <c r="W163" s="22">
        <v>609000</v>
      </c>
      <c r="X163" s="4">
        <v>2842000</v>
      </c>
      <c r="Y163" s="22">
        <v>360000</v>
      </c>
      <c r="Z163" s="22"/>
      <c r="AA163" s="22"/>
      <c r="AB163" s="22"/>
      <c r="AC163" s="9">
        <f t="shared" si="386"/>
        <v>4101000</v>
      </c>
      <c r="AD163" s="20"/>
      <c r="AE163" s="25"/>
      <c r="AF163" s="25"/>
      <c r="AG163" s="25"/>
      <c r="AH163" s="20"/>
      <c r="AI163" s="20"/>
      <c r="AJ163" s="20"/>
      <c r="AK163" s="21">
        <f t="shared" si="387"/>
        <v>0</v>
      </c>
      <c r="AL163" s="25"/>
      <c r="AM163" s="20"/>
      <c r="AN163" s="20"/>
      <c r="AO163" s="20"/>
      <c r="AP163" s="21">
        <f t="shared" si="388"/>
        <v>0</v>
      </c>
      <c r="AQ163" s="25">
        <v>800000</v>
      </c>
      <c r="AR163" s="20">
        <f>300000+300000+300000+300000+200000</f>
        <v>1400000</v>
      </c>
      <c r="AS163" s="20">
        <f>1876500+255000</f>
        <v>2131500</v>
      </c>
      <c r="AT163" s="20">
        <f>509500+306000+765000+255000+255000+510000+255000</f>
        <v>2855500</v>
      </c>
      <c r="AU163" s="21">
        <f t="shared" si="389"/>
        <v>7187000</v>
      </c>
      <c r="AV163" s="25"/>
      <c r="AW163" s="25"/>
      <c r="AX163" s="25"/>
      <c r="AY163" s="25"/>
      <c r="AZ163" s="20"/>
      <c r="BA163" s="20"/>
      <c r="BB163" s="20"/>
      <c r="BC163" s="21">
        <f t="shared" si="390"/>
        <v>0</v>
      </c>
      <c r="BD163" s="4">
        <f t="shared" si="391"/>
        <v>580000</v>
      </c>
      <c r="BE163" s="4">
        <f t="shared" si="391"/>
        <v>1839000</v>
      </c>
      <c r="BF163" s="4">
        <f t="shared" si="391"/>
        <v>4452000</v>
      </c>
      <c r="BG163" s="4">
        <f t="shared" si="392"/>
        <v>1460000</v>
      </c>
      <c r="BH163" s="94">
        <f t="shared" si="392"/>
        <v>1400000</v>
      </c>
      <c r="BI163" s="94">
        <f t="shared" si="392"/>
        <v>2131500</v>
      </c>
      <c r="BJ163" s="94">
        <f t="shared" si="392"/>
        <v>2855500</v>
      </c>
      <c r="BK163" s="9">
        <f t="shared" si="393"/>
        <v>14718000</v>
      </c>
    </row>
    <row r="164" spans="1:63" ht="37.5">
      <c r="A164" s="186"/>
      <c r="B164" s="8">
        <v>8</v>
      </c>
      <c r="C164" s="1" t="s">
        <v>297</v>
      </c>
      <c r="D164" s="91" t="s">
        <v>418</v>
      </c>
      <c r="E164" s="4" t="s">
        <v>21</v>
      </c>
      <c r="F164" s="4"/>
      <c r="G164" s="4"/>
      <c r="H164" s="4"/>
      <c r="I164" s="4"/>
      <c r="J164" s="4"/>
      <c r="K164" s="4"/>
      <c r="L164" s="4"/>
      <c r="M164" s="9">
        <f t="shared" si="384"/>
        <v>0</v>
      </c>
      <c r="N164" s="76"/>
      <c r="O164" s="76"/>
      <c r="P164" s="76"/>
      <c r="Q164" s="76"/>
      <c r="R164" s="4"/>
      <c r="S164" s="4"/>
      <c r="T164" s="4"/>
      <c r="U164" s="9">
        <f t="shared" si="385"/>
        <v>0</v>
      </c>
      <c r="V164" s="20"/>
      <c r="W164" s="20"/>
      <c r="X164" s="4"/>
      <c r="Y164" s="20"/>
      <c r="Z164" s="20"/>
      <c r="AA164" s="20"/>
      <c r="AB164" s="20"/>
      <c r="AC164" s="9">
        <f t="shared" si="386"/>
        <v>0</v>
      </c>
      <c r="AD164" s="20"/>
      <c r="AE164" s="25">
        <v>195000</v>
      </c>
      <c r="AF164" s="25">
        <f>238250+30000</f>
        <v>268250</v>
      </c>
      <c r="AG164" s="25">
        <v>706500</v>
      </c>
      <c r="AH164" s="20">
        <v>56000</v>
      </c>
      <c r="AI164" s="20"/>
      <c r="AJ164" s="20"/>
      <c r="AK164" s="21">
        <f t="shared" si="387"/>
        <v>1225750</v>
      </c>
      <c r="AL164" s="25"/>
      <c r="AM164" s="20"/>
      <c r="AN164" s="20"/>
      <c r="AO164" s="20"/>
      <c r="AP164" s="21">
        <f t="shared" si="388"/>
        <v>0</v>
      </c>
      <c r="AQ164" s="25"/>
      <c r="AR164" s="20"/>
      <c r="AS164" s="20"/>
      <c r="AT164" s="20"/>
      <c r="AU164" s="21">
        <f t="shared" si="389"/>
        <v>0</v>
      </c>
      <c r="AV164" s="25"/>
      <c r="AW164" s="25"/>
      <c r="AX164" s="25"/>
      <c r="AY164" s="25"/>
      <c r="AZ164" s="20"/>
      <c r="BA164" s="20"/>
      <c r="BB164" s="20"/>
      <c r="BC164" s="21">
        <f t="shared" si="390"/>
        <v>0</v>
      </c>
      <c r="BD164" s="4">
        <f t="shared" si="391"/>
        <v>0</v>
      </c>
      <c r="BE164" s="4">
        <f t="shared" si="391"/>
        <v>195000</v>
      </c>
      <c r="BF164" s="4">
        <f t="shared" si="391"/>
        <v>268250</v>
      </c>
      <c r="BG164" s="4">
        <f t="shared" si="392"/>
        <v>706500</v>
      </c>
      <c r="BH164" s="94">
        <f t="shared" si="392"/>
        <v>56000</v>
      </c>
      <c r="BI164" s="94">
        <f t="shared" si="392"/>
        <v>0</v>
      </c>
      <c r="BJ164" s="94">
        <f t="shared" si="392"/>
        <v>0</v>
      </c>
      <c r="BK164" s="9">
        <f t="shared" si="393"/>
        <v>1225750</v>
      </c>
    </row>
    <row r="165" spans="1:63" ht="31.5">
      <c r="A165" s="187"/>
      <c r="B165" s="8">
        <v>9</v>
      </c>
      <c r="C165" s="42" t="s">
        <v>298</v>
      </c>
      <c r="D165" s="43" t="s">
        <v>299</v>
      </c>
      <c r="E165" s="4" t="s">
        <v>21</v>
      </c>
      <c r="F165" s="4"/>
      <c r="G165" s="4"/>
      <c r="H165" s="4"/>
      <c r="I165" s="4"/>
      <c r="J165" s="4"/>
      <c r="K165" s="4"/>
      <c r="L165" s="4"/>
      <c r="M165" s="9">
        <f t="shared" si="384"/>
        <v>0</v>
      </c>
      <c r="N165" s="4"/>
      <c r="O165" s="4"/>
      <c r="P165" s="4"/>
      <c r="Q165" s="4"/>
      <c r="R165" s="4"/>
      <c r="S165" s="4"/>
      <c r="T165" s="4"/>
      <c r="U165" s="9">
        <f t="shared" si="385"/>
        <v>0</v>
      </c>
      <c r="V165" s="20"/>
      <c r="W165" s="20"/>
      <c r="X165" s="4">
        <v>439000</v>
      </c>
      <c r="Y165" s="22">
        <v>376000</v>
      </c>
      <c r="Z165" s="22">
        <f>1105000+225000+225000+150000</f>
        <v>1705000</v>
      </c>
      <c r="AA165" s="22">
        <f>903000+420000</f>
        <v>1323000</v>
      </c>
      <c r="AB165" s="22">
        <f>140000+420000+154000+308000+147000+154000+308000</f>
        <v>1631000</v>
      </c>
      <c r="AC165" s="9">
        <f t="shared" si="386"/>
        <v>5474000</v>
      </c>
      <c r="AD165" s="20"/>
      <c r="AE165" s="25"/>
      <c r="AF165" s="25"/>
      <c r="AG165" s="25"/>
      <c r="AH165" s="20"/>
      <c r="AI165" s="20"/>
      <c r="AJ165" s="20"/>
      <c r="AK165" s="21">
        <f t="shared" si="387"/>
        <v>0</v>
      </c>
      <c r="AL165" s="25"/>
      <c r="AM165" s="20"/>
      <c r="AN165" s="20"/>
      <c r="AO165" s="20"/>
      <c r="AP165" s="21">
        <f t="shared" si="388"/>
        <v>0</v>
      </c>
      <c r="AQ165" s="25"/>
      <c r="AR165" s="20"/>
      <c r="AS165" s="20"/>
      <c r="AT165" s="20"/>
      <c r="AU165" s="21">
        <f t="shared" si="389"/>
        <v>0</v>
      </c>
      <c r="AV165" s="25"/>
      <c r="AW165" s="25"/>
      <c r="AX165" s="25"/>
      <c r="AY165" s="25"/>
      <c r="AZ165" s="20"/>
      <c r="BA165" s="20"/>
      <c r="BB165" s="20"/>
      <c r="BC165" s="21">
        <f t="shared" si="390"/>
        <v>0</v>
      </c>
      <c r="BD165" s="4">
        <f t="shared" si="391"/>
        <v>0</v>
      </c>
      <c r="BE165" s="4">
        <f t="shared" si="391"/>
        <v>0</v>
      </c>
      <c r="BF165" s="4">
        <f t="shared" si="391"/>
        <v>439000</v>
      </c>
      <c r="BG165" s="4">
        <f t="shared" si="392"/>
        <v>376000</v>
      </c>
      <c r="BH165" s="94">
        <f t="shared" si="392"/>
        <v>1705000</v>
      </c>
      <c r="BI165" s="94">
        <f t="shared" si="392"/>
        <v>1323000</v>
      </c>
      <c r="BJ165" s="94">
        <f t="shared" si="392"/>
        <v>1631000</v>
      </c>
      <c r="BK165" s="9">
        <f t="shared" si="393"/>
        <v>5474000</v>
      </c>
    </row>
    <row r="166" spans="1:63" s="38" customFormat="1">
      <c r="A166" s="34"/>
      <c r="B166" s="34"/>
      <c r="C166" s="59" t="s">
        <v>300</v>
      </c>
      <c r="D166" s="60"/>
      <c r="E166" s="37"/>
      <c r="F166" s="37">
        <f>SUM(F158:F165)</f>
        <v>0</v>
      </c>
      <c r="G166" s="37">
        <f t="shared" ref="G166:BK166" si="394">SUM(G158:G165)</f>
        <v>155000</v>
      </c>
      <c r="H166" s="37">
        <f t="shared" si="394"/>
        <v>150000</v>
      </c>
      <c r="I166" s="37">
        <f t="shared" si="394"/>
        <v>651500</v>
      </c>
      <c r="J166" s="37">
        <f t="shared" si="394"/>
        <v>756500</v>
      </c>
      <c r="K166" s="37">
        <f t="shared" si="394"/>
        <v>976500</v>
      </c>
      <c r="L166" s="37">
        <f t="shared" ref="L166" si="395">SUM(L158:L165)</f>
        <v>224500</v>
      </c>
      <c r="M166" s="37">
        <f t="shared" si="394"/>
        <v>2914000</v>
      </c>
      <c r="N166" s="37">
        <f t="shared" si="394"/>
        <v>290000</v>
      </c>
      <c r="O166" s="37">
        <f t="shared" si="394"/>
        <v>1230000</v>
      </c>
      <c r="P166" s="37">
        <f t="shared" si="394"/>
        <v>1610000</v>
      </c>
      <c r="Q166" s="37">
        <f t="shared" si="394"/>
        <v>300000</v>
      </c>
      <c r="R166" s="37">
        <f t="shared" si="394"/>
        <v>0</v>
      </c>
      <c r="S166" s="37">
        <f t="shared" si="394"/>
        <v>0</v>
      </c>
      <c r="T166" s="37">
        <f t="shared" ref="T166" si="396">SUM(T158:T165)</f>
        <v>0</v>
      </c>
      <c r="U166" s="37">
        <f t="shared" si="394"/>
        <v>3430000</v>
      </c>
      <c r="V166" s="37">
        <f t="shared" si="394"/>
        <v>290000</v>
      </c>
      <c r="W166" s="37">
        <f t="shared" si="394"/>
        <v>609000</v>
      </c>
      <c r="X166" s="37">
        <f t="shared" si="394"/>
        <v>3752935</v>
      </c>
      <c r="Y166" s="37">
        <f t="shared" si="394"/>
        <v>1096000</v>
      </c>
      <c r="Z166" s="37">
        <f t="shared" si="394"/>
        <v>3355000</v>
      </c>
      <c r="AA166" s="37">
        <f t="shared" si="394"/>
        <v>3526000</v>
      </c>
      <c r="AB166" s="37">
        <f t="shared" ref="AB166" si="397">SUM(AB158:AB165)</f>
        <v>3661000</v>
      </c>
      <c r="AC166" s="37">
        <f t="shared" si="394"/>
        <v>16289935</v>
      </c>
      <c r="AD166" s="37">
        <f t="shared" si="394"/>
        <v>0</v>
      </c>
      <c r="AE166" s="37">
        <f t="shared" si="394"/>
        <v>846000</v>
      </c>
      <c r="AF166" s="37">
        <f t="shared" si="394"/>
        <v>1089150</v>
      </c>
      <c r="AG166" s="37">
        <f t="shared" si="394"/>
        <v>2393000</v>
      </c>
      <c r="AH166" s="37">
        <f t="shared" si="394"/>
        <v>1799000</v>
      </c>
      <c r="AI166" s="37">
        <f t="shared" si="394"/>
        <v>2459832</v>
      </c>
      <c r="AJ166" s="37">
        <f t="shared" ref="AJ166" si="398">SUM(AJ158:AJ165)</f>
        <v>2788559</v>
      </c>
      <c r="AK166" s="37">
        <f t="shared" si="394"/>
        <v>11375541</v>
      </c>
      <c r="AL166" s="37">
        <f t="shared" si="394"/>
        <v>0</v>
      </c>
      <c r="AM166" s="37">
        <f t="shared" si="394"/>
        <v>0</v>
      </c>
      <c r="AN166" s="37">
        <f t="shared" si="394"/>
        <v>0</v>
      </c>
      <c r="AO166" s="37">
        <f t="shared" ref="AO166" si="399">SUM(AO158:AO165)</f>
        <v>0</v>
      </c>
      <c r="AP166" s="37">
        <f t="shared" si="394"/>
        <v>0</v>
      </c>
      <c r="AQ166" s="37">
        <f t="shared" si="394"/>
        <v>800000</v>
      </c>
      <c r="AR166" s="37">
        <f t="shared" si="394"/>
        <v>1400000</v>
      </c>
      <c r="AS166" s="37">
        <f t="shared" si="394"/>
        <v>2131500</v>
      </c>
      <c r="AT166" s="37">
        <f t="shared" ref="AT166" si="400">SUM(AT158:AT165)</f>
        <v>2855500</v>
      </c>
      <c r="AU166" s="37">
        <f t="shared" si="394"/>
        <v>7187000</v>
      </c>
      <c r="AV166" s="37">
        <f t="shared" si="394"/>
        <v>0</v>
      </c>
      <c r="AW166" s="37">
        <f t="shared" si="394"/>
        <v>100000</v>
      </c>
      <c r="AX166" s="37">
        <f t="shared" si="394"/>
        <v>348400</v>
      </c>
      <c r="AY166" s="37">
        <f t="shared" si="394"/>
        <v>365000</v>
      </c>
      <c r="AZ166" s="37">
        <f t="shared" si="394"/>
        <v>0</v>
      </c>
      <c r="BA166" s="37">
        <f t="shared" si="394"/>
        <v>0</v>
      </c>
      <c r="BB166" s="37">
        <f t="shared" ref="BB166" si="401">SUM(BB158:BB165)</f>
        <v>0</v>
      </c>
      <c r="BC166" s="37">
        <f t="shared" si="394"/>
        <v>813400</v>
      </c>
      <c r="BD166" s="37">
        <f t="shared" si="394"/>
        <v>580000</v>
      </c>
      <c r="BE166" s="37">
        <f t="shared" si="394"/>
        <v>2940000</v>
      </c>
      <c r="BF166" s="37">
        <f t="shared" si="394"/>
        <v>6950485</v>
      </c>
      <c r="BG166" s="37">
        <f t="shared" si="394"/>
        <v>5605500</v>
      </c>
      <c r="BH166" s="37">
        <f t="shared" si="394"/>
        <v>7310500</v>
      </c>
      <c r="BI166" s="144">
        <f>SUM(BI158:BI165)</f>
        <v>9093832</v>
      </c>
      <c r="BJ166" s="37">
        <f t="shared" ref="BJ166" si="402">SUM(BJ158:BJ165)</f>
        <v>9529559</v>
      </c>
      <c r="BK166" s="37">
        <f t="shared" si="394"/>
        <v>42009876</v>
      </c>
    </row>
    <row r="167" spans="1:63">
      <c r="A167" s="185" t="s">
        <v>32</v>
      </c>
      <c r="B167" s="8">
        <v>1</v>
      </c>
      <c r="C167" s="40" t="s">
        <v>4</v>
      </c>
      <c r="D167" s="41" t="s">
        <v>420</v>
      </c>
      <c r="E167" s="4" t="s">
        <v>32</v>
      </c>
      <c r="F167" s="4"/>
      <c r="G167" s="4"/>
      <c r="H167" s="5"/>
      <c r="I167" s="4"/>
      <c r="J167" s="4"/>
      <c r="K167" s="4"/>
      <c r="L167" s="4"/>
      <c r="M167" s="9">
        <f t="shared" ref="M167:M171" si="403">SUM(F167:L167)</f>
        <v>0</v>
      </c>
      <c r="N167" s="4"/>
      <c r="O167" s="4"/>
      <c r="P167" s="4"/>
      <c r="Q167" s="4"/>
      <c r="R167" s="4"/>
      <c r="S167" s="4"/>
      <c r="T167" s="4"/>
      <c r="U167" s="9">
        <f t="shared" ref="U167:U171" si="404">SUM(N167:T167)</f>
        <v>0</v>
      </c>
      <c r="V167" s="20"/>
      <c r="W167" s="20"/>
      <c r="X167" s="20"/>
      <c r="Y167" s="20"/>
      <c r="Z167" s="20"/>
      <c r="AA167" s="20"/>
      <c r="AB167" s="20"/>
      <c r="AC167" s="9">
        <f t="shared" ref="AC167:AC171" si="405">SUM(V167:AB167)</f>
        <v>0</v>
      </c>
      <c r="AD167" s="20"/>
      <c r="AE167" s="25">
        <v>423800</v>
      </c>
      <c r="AF167" s="25">
        <v>729850</v>
      </c>
      <c r="AG167" s="25"/>
      <c r="AH167" s="20"/>
      <c r="AI167" s="20"/>
      <c r="AJ167" s="20"/>
      <c r="AK167" s="21">
        <f t="shared" ref="AK167:AK171" si="406">SUM(AD167:AJ167)</f>
        <v>1153650</v>
      </c>
      <c r="AL167" s="25"/>
      <c r="AM167" s="20"/>
      <c r="AN167" s="20"/>
      <c r="AO167" s="20"/>
      <c r="AP167" s="21">
        <f t="shared" ref="AP167:AP171" si="407">SUM(AL167:AO167)</f>
        <v>0</v>
      </c>
      <c r="AQ167" s="25"/>
      <c r="AR167" s="20"/>
      <c r="AS167" s="20"/>
      <c r="AT167" s="20"/>
      <c r="AU167" s="21">
        <f t="shared" ref="AU167:AU171" si="408">SUM(AQ167:AT167)</f>
        <v>0</v>
      </c>
      <c r="AV167" s="25"/>
      <c r="AW167" s="25"/>
      <c r="AX167" s="25"/>
      <c r="AY167" s="25"/>
      <c r="AZ167" s="20"/>
      <c r="BA167" s="20"/>
      <c r="BB167" s="20"/>
      <c r="BC167" s="21">
        <f t="shared" ref="BC167:BC171" si="409">SUM(AV167:BB167)</f>
        <v>0</v>
      </c>
      <c r="BD167" s="4">
        <f t="shared" ref="BD167:BF171" si="410">F167+N167+V167+AD167+AV167</f>
        <v>0</v>
      </c>
      <c r="BE167" s="4">
        <f t="shared" si="410"/>
        <v>423800</v>
      </c>
      <c r="BF167" s="4">
        <f t="shared" si="410"/>
        <v>729850</v>
      </c>
      <c r="BG167" s="4">
        <f t="shared" ref="BG167:BJ171" si="411">I167+Q167+Y167+AG167+AL167+AQ167+AY167</f>
        <v>0</v>
      </c>
      <c r="BH167" s="94">
        <f t="shared" si="411"/>
        <v>0</v>
      </c>
      <c r="BI167" s="94">
        <f t="shared" si="411"/>
        <v>0</v>
      </c>
      <c r="BJ167" s="94">
        <f t="shared" si="411"/>
        <v>0</v>
      </c>
      <c r="BK167" s="9">
        <f t="shared" ref="BK167:BK171" si="412">SUM(BD167:BJ167)</f>
        <v>1153650</v>
      </c>
    </row>
    <row r="168" spans="1:63" ht="47.25">
      <c r="A168" s="186"/>
      <c r="B168" s="8">
        <v>2</v>
      </c>
      <c r="C168" s="40" t="s">
        <v>490</v>
      </c>
      <c r="D168" s="41" t="s">
        <v>491</v>
      </c>
      <c r="E168" s="4" t="s">
        <v>32</v>
      </c>
      <c r="F168" s="4"/>
      <c r="G168" s="4"/>
      <c r="H168" s="5"/>
      <c r="I168" s="4"/>
      <c r="J168" s="4"/>
      <c r="K168" s="4"/>
      <c r="L168" s="4"/>
      <c r="M168" s="9">
        <f t="shared" si="403"/>
        <v>0</v>
      </c>
      <c r="N168" s="76"/>
      <c r="O168" s="76"/>
      <c r="P168" s="76"/>
      <c r="Q168" s="76"/>
      <c r="R168" s="4"/>
      <c r="S168" s="4"/>
      <c r="T168" s="4"/>
      <c r="U168" s="9">
        <f t="shared" si="404"/>
        <v>0</v>
      </c>
      <c r="V168" s="20"/>
      <c r="W168" s="20"/>
      <c r="X168" s="20"/>
      <c r="Y168" s="20"/>
      <c r="Z168" s="20"/>
      <c r="AA168" s="20"/>
      <c r="AB168" s="20"/>
      <c r="AC168" s="9">
        <f t="shared" si="405"/>
        <v>0</v>
      </c>
      <c r="AD168" s="20">
        <v>195000</v>
      </c>
      <c r="AE168" s="25">
        <v>733900</v>
      </c>
      <c r="AF168" s="25">
        <v>649900</v>
      </c>
      <c r="AG168" s="24">
        <v>810000</v>
      </c>
      <c r="AH168" s="20">
        <f>210000+210000+140000+70000+210000+140000</f>
        <v>980000</v>
      </c>
      <c r="AI168" s="20">
        <v>944600</v>
      </c>
      <c r="AJ168" s="20">
        <v>1522450</v>
      </c>
      <c r="AK168" s="21">
        <f t="shared" si="406"/>
        <v>5835850</v>
      </c>
      <c r="AL168" s="25"/>
      <c r="AM168" s="20"/>
      <c r="AN168" s="20"/>
      <c r="AO168" s="20"/>
      <c r="AP168" s="21">
        <f t="shared" si="407"/>
        <v>0</v>
      </c>
      <c r="AQ168" s="25"/>
      <c r="AR168" s="20"/>
      <c r="AS168" s="20"/>
      <c r="AT168" s="20"/>
      <c r="AU168" s="21">
        <f t="shared" si="408"/>
        <v>0</v>
      </c>
      <c r="AV168" s="25"/>
      <c r="AW168" s="25"/>
      <c r="AX168" s="25"/>
      <c r="AY168" s="25"/>
      <c r="AZ168" s="20"/>
      <c r="BA168" s="20"/>
      <c r="BB168" s="20"/>
      <c r="BC168" s="21">
        <f t="shared" si="409"/>
        <v>0</v>
      </c>
      <c r="BD168" s="4">
        <f t="shared" si="410"/>
        <v>195000</v>
      </c>
      <c r="BE168" s="4">
        <f t="shared" si="410"/>
        <v>733900</v>
      </c>
      <c r="BF168" s="4">
        <f t="shared" si="410"/>
        <v>649900</v>
      </c>
      <c r="BG168" s="4">
        <f t="shared" si="411"/>
        <v>810000</v>
      </c>
      <c r="BH168" s="94">
        <f t="shared" si="411"/>
        <v>980000</v>
      </c>
      <c r="BI168" s="94">
        <f t="shared" si="411"/>
        <v>944600</v>
      </c>
      <c r="BJ168" s="94">
        <f t="shared" si="411"/>
        <v>1522450</v>
      </c>
      <c r="BK168" s="9">
        <f t="shared" si="412"/>
        <v>5835850</v>
      </c>
    </row>
    <row r="169" spans="1:63" ht="31.5">
      <c r="A169" s="186"/>
      <c r="B169" s="8">
        <v>3</v>
      </c>
      <c r="C169" s="40" t="s">
        <v>303</v>
      </c>
      <c r="D169" s="41" t="s">
        <v>304</v>
      </c>
      <c r="E169" s="4" t="s">
        <v>32</v>
      </c>
      <c r="F169" s="4"/>
      <c r="G169" s="4"/>
      <c r="H169" s="5"/>
      <c r="I169" s="4"/>
      <c r="J169" s="4"/>
      <c r="K169" s="4"/>
      <c r="L169" s="4"/>
      <c r="M169" s="9">
        <f t="shared" si="403"/>
        <v>0</v>
      </c>
      <c r="N169" s="76"/>
      <c r="O169" s="76"/>
      <c r="P169" s="76">
        <v>1490000</v>
      </c>
      <c r="Q169" s="76">
        <v>250000</v>
      </c>
      <c r="R169" s="4"/>
      <c r="S169" s="4"/>
      <c r="T169" s="4"/>
      <c r="U169" s="9">
        <f t="shared" si="404"/>
        <v>1740000</v>
      </c>
      <c r="V169" s="20"/>
      <c r="W169" s="20"/>
      <c r="X169" s="20"/>
      <c r="Y169" s="20"/>
      <c r="Z169" s="20"/>
      <c r="AA169" s="20"/>
      <c r="AB169" s="20"/>
      <c r="AC169" s="9">
        <f t="shared" si="405"/>
        <v>0</v>
      </c>
      <c r="AD169" s="20"/>
      <c r="AE169" s="25">
        <v>1184650</v>
      </c>
      <c r="AF169" s="25">
        <v>994500</v>
      </c>
      <c r="AG169" s="25">
        <v>821500</v>
      </c>
      <c r="AH169" s="20">
        <f>136000+204000+204500+205500+205500</f>
        <v>955500</v>
      </c>
      <c r="AI169" s="20">
        <f>1037900+223100+111550</f>
        <v>1372550</v>
      </c>
      <c r="AJ169" s="20">
        <v>1338600</v>
      </c>
      <c r="AK169" s="21">
        <f t="shared" si="406"/>
        <v>6667300</v>
      </c>
      <c r="AL169" s="25"/>
      <c r="AM169" s="20"/>
      <c r="AN169" s="20"/>
      <c r="AO169" s="20"/>
      <c r="AP169" s="21">
        <f t="shared" si="407"/>
        <v>0</v>
      </c>
      <c r="AQ169" s="25"/>
      <c r="AR169" s="20"/>
      <c r="AS169" s="20"/>
      <c r="AT169" s="20"/>
      <c r="AU169" s="21">
        <f t="shared" si="408"/>
        <v>0</v>
      </c>
      <c r="AV169" s="25"/>
      <c r="AW169" s="25">
        <v>100000</v>
      </c>
      <c r="AX169" s="25">
        <v>253600</v>
      </c>
      <c r="AY169" s="25"/>
      <c r="AZ169" s="20"/>
      <c r="BA169" s="20"/>
      <c r="BB169" s="20"/>
      <c r="BC169" s="21">
        <f t="shared" si="409"/>
        <v>353600</v>
      </c>
      <c r="BD169" s="4">
        <f t="shared" si="410"/>
        <v>0</v>
      </c>
      <c r="BE169" s="4">
        <f t="shared" si="410"/>
        <v>1284650</v>
      </c>
      <c r="BF169" s="4">
        <f t="shared" si="410"/>
        <v>2738100</v>
      </c>
      <c r="BG169" s="4">
        <f t="shared" si="411"/>
        <v>1071500</v>
      </c>
      <c r="BH169" s="94">
        <f t="shared" si="411"/>
        <v>955500</v>
      </c>
      <c r="BI169" s="94">
        <f t="shared" si="411"/>
        <v>1372550</v>
      </c>
      <c r="BJ169" s="94">
        <f t="shared" si="411"/>
        <v>1338600</v>
      </c>
      <c r="BK169" s="9">
        <f t="shared" si="412"/>
        <v>8760900</v>
      </c>
    </row>
    <row r="170" spans="1:63">
      <c r="A170" s="186"/>
      <c r="B170" s="8">
        <v>4</v>
      </c>
      <c r="C170" s="40" t="s">
        <v>305</v>
      </c>
      <c r="D170" s="41" t="s">
        <v>304</v>
      </c>
      <c r="E170" s="4" t="s">
        <v>32</v>
      </c>
      <c r="F170" s="4"/>
      <c r="G170" s="4"/>
      <c r="H170" s="5"/>
      <c r="I170" s="4"/>
      <c r="J170" s="4"/>
      <c r="K170" s="4"/>
      <c r="L170" s="4"/>
      <c r="M170" s="9">
        <f t="shared" si="403"/>
        <v>0</v>
      </c>
      <c r="N170" s="4"/>
      <c r="O170" s="4"/>
      <c r="P170" s="27"/>
      <c r="Q170" s="10"/>
      <c r="R170" s="4"/>
      <c r="S170" s="4"/>
      <c r="T170" s="4"/>
      <c r="U170" s="9">
        <f t="shared" si="404"/>
        <v>0</v>
      </c>
      <c r="V170" s="20"/>
      <c r="W170" s="20"/>
      <c r="X170" s="4">
        <v>500000</v>
      </c>
      <c r="Y170" s="20">
        <v>52000</v>
      </c>
      <c r="Z170" s="20"/>
      <c r="AA170" s="20"/>
      <c r="AB170" s="20"/>
      <c r="AC170" s="9">
        <f t="shared" si="405"/>
        <v>552000</v>
      </c>
      <c r="AD170" s="20"/>
      <c r="AE170" s="25"/>
      <c r="AF170" s="25"/>
      <c r="AG170" s="25"/>
      <c r="AH170" s="20"/>
      <c r="AI170" s="20"/>
      <c r="AJ170" s="20"/>
      <c r="AK170" s="21">
        <f t="shared" si="406"/>
        <v>0</v>
      </c>
      <c r="AL170" s="25"/>
      <c r="AM170" s="20"/>
      <c r="AN170" s="20"/>
      <c r="AO170" s="20"/>
      <c r="AP170" s="21">
        <f t="shared" si="407"/>
        <v>0</v>
      </c>
      <c r="AQ170" s="25"/>
      <c r="AR170" s="20"/>
      <c r="AS170" s="20"/>
      <c r="AT170" s="20"/>
      <c r="AU170" s="21">
        <f t="shared" si="408"/>
        <v>0</v>
      </c>
      <c r="AV170" s="25"/>
      <c r="AW170" s="25"/>
      <c r="AX170" s="25"/>
      <c r="AY170" s="25"/>
      <c r="AZ170" s="20"/>
      <c r="BA170" s="20"/>
      <c r="BB170" s="20"/>
      <c r="BC170" s="21">
        <f t="shared" si="409"/>
        <v>0</v>
      </c>
      <c r="BD170" s="4">
        <f t="shared" si="410"/>
        <v>0</v>
      </c>
      <c r="BE170" s="4">
        <f t="shared" si="410"/>
        <v>0</v>
      </c>
      <c r="BF170" s="4">
        <f t="shared" si="410"/>
        <v>500000</v>
      </c>
      <c r="BG170" s="4">
        <f t="shared" si="411"/>
        <v>52000</v>
      </c>
      <c r="BH170" s="94">
        <f t="shared" si="411"/>
        <v>0</v>
      </c>
      <c r="BI170" s="94">
        <f t="shared" si="411"/>
        <v>0</v>
      </c>
      <c r="BJ170" s="94">
        <f t="shared" si="411"/>
        <v>0</v>
      </c>
      <c r="BK170" s="9">
        <f t="shared" si="412"/>
        <v>552000</v>
      </c>
    </row>
    <row r="171" spans="1:63">
      <c r="A171" s="187"/>
      <c r="B171" s="8">
        <v>5</v>
      </c>
      <c r="C171" s="40" t="s">
        <v>306</v>
      </c>
      <c r="D171" s="41" t="s">
        <v>304</v>
      </c>
      <c r="E171" s="4" t="s">
        <v>32</v>
      </c>
      <c r="F171" s="4"/>
      <c r="G171" s="4"/>
      <c r="H171" s="5"/>
      <c r="I171" s="4"/>
      <c r="J171" s="4"/>
      <c r="K171" s="4"/>
      <c r="L171" s="4"/>
      <c r="M171" s="9">
        <f t="shared" si="403"/>
        <v>0</v>
      </c>
      <c r="N171" s="76">
        <v>290000</v>
      </c>
      <c r="O171" s="76">
        <v>1860000</v>
      </c>
      <c r="P171" s="76">
        <v>270000</v>
      </c>
      <c r="Q171" s="76">
        <v>1500000</v>
      </c>
      <c r="R171" s="4">
        <f>175000+225000+225000+225000+150000</f>
        <v>1000000</v>
      </c>
      <c r="S171" s="4">
        <f>1485000+320000</f>
        <v>1805000</v>
      </c>
      <c r="T171" s="4">
        <f>640000+480000+160000+160000+320000+160000+200000</f>
        <v>2120000</v>
      </c>
      <c r="U171" s="9">
        <f t="shared" si="404"/>
        <v>8845000</v>
      </c>
      <c r="V171" s="20"/>
      <c r="W171" s="20"/>
      <c r="X171" s="20"/>
      <c r="Y171" s="20"/>
      <c r="Z171" s="20"/>
      <c r="AA171" s="20"/>
      <c r="AB171" s="20"/>
      <c r="AC171" s="9">
        <f t="shared" si="405"/>
        <v>0</v>
      </c>
      <c r="AD171" s="20"/>
      <c r="AE171" s="25">
        <v>733350</v>
      </c>
      <c r="AF171" s="25">
        <v>388000</v>
      </c>
      <c r="AG171" s="25">
        <v>148000</v>
      </c>
      <c r="AH171" s="20"/>
      <c r="AI171" s="20"/>
      <c r="AJ171" s="20"/>
      <c r="AK171" s="21">
        <f t="shared" si="406"/>
        <v>1269350</v>
      </c>
      <c r="AL171" s="25"/>
      <c r="AM171" s="20"/>
      <c r="AN171" s="20"/>
      <c r="AO171" s="20"/>
      <c r="AP171" s="21">
        <f t="shared" si="407"/>
        <v>0</v>
      </c>
      <c r="AQ171" s="25"/>
      <c r="AR171" s="20"/>
      <c r="AS171" s="20"/>
      <c r="AT171" s="20"/>
      <c r="AU171" s="21">
        <f t="shared" si="408"/>
        <v>0</v>
      </c>
      <c r="AV171" s="25"/>
      <c r="AW171" s="25"/>
      <c r="AX171" s="25"/>
      <c r="AY171" s="25"/>
      <c r="AZ171" s="20"/>
      <c r="BA171" s="20"/>
      <c r="BB171" s="20"/>
      <c r="BC171" s="21">
        <f t="shared" si="409"/>
        <v>0</v>
      </c>
      <c r="BD171" s="4">
        <f t="shared" si="410"/>
        <v>290000</v>
      </c>
      <c r="BE171" s="4">
        <f t="shared" si="410"/>
        <v>2593350</v>
      </c>
      <c r="BF171" s="4">
        <f t="shared" si="410"/>
        <v>658000</v>
      </c>
      <c r="BG171" s="4">
        <f t="shared" si="411"/>
        <v>1648000</v>
      </c>
      <c r="BH171" s="94">
        <f t="shared" si="411"/>
        <v>1000000</v>
      </c>
      <c r="BI171" s="94">
        <f t="shared" si="411"/>
        <v>1805000</v>
      </c>
      <c r="BJ171" s="94">
        <f t="shared" si="411"/>
        <v>2120000</v>
      </c>
      <c r="BK171" s="9">
        <f t="shared" si="412"/>
        <v>10114350</v>
      </c>
    </row>
    <row r="172" spans="1:63" s="38" customFormat="1">
      <c r="A172" s="34"/>
      <c r="B172" s="34"/>
      <c r="C172" s="35" t="s">
        <v>307</v>
      </c>
      <c r="D172" s="36"/>
      <c r="E172" s="37"/>
      <c r="F172" s="37">
        <f>SUM(F167:F171)</f>
        <v>0</v>
      </c>
      <c r="G172" s="37">
        <f t="shared" ref="G172:BK172" si="413">SUM(G167:G171)</f>
        <v>0</v>
      </c>
      <c r="H172" s="37">
        <f t="shared" si="413"/>
        <v>0</v>
      </c>
      <c r="I172" s="37">
        <f t="shared" si="413"/>
        <v>0</v>
      </c>
      <c r="J172" s="37">
        <f t="shared" si="413"/>
        <v>0</v>
      </c>
      <c r="K172" s="37">
        <f t="shared" si="413"/>
        <v>0</v>
      </c>
      <c r="L172" s="37">
        <f t="shared" ref="L172" si="414">SUM(L167:L171)</f>
        <v>0</v>
      </c>
      <c r="M172" s="37">
        <f t="shared" si="413"/>
        <v>0</v>
      </c>
      <c r="N172" s="37">
        <f t="shared" si="413"/>
        <v>290000</v>
      </c>
      <c r="O172" s="37">
        <f t="shared" si="413"/>
        <v>1860000</v>
      </c>
      <c r="P172" s="37">
        <f t="shared" si="413"/>
        <v>1760000</v>
      </c>
      <c r="Q172" s="37">
        <f t="shared" si="413"/>
        <v>1750000</v>
      </c>
      <c r="R172" s="37">
        <f t="shared" si="413"/>
        <v>1000000</v>
      </c>
      <c r="S172" s="37">
        <f t="shared" si="413"/>
        <v>1805000</v>
      </c>
      <c r="T172" s="37">
        <f t="shared" ref="T172" si="415">SUM(T167:T171)</f>
        <v>2120000</v>
      </c>
      <c r="U172" s="37">
        <f t="shared" si="413"/>
        <v>10585000</v>
      </c>
      <c r="V172" s="37">
        <f t="shared" si="413"/>
        <v>0</v>
      </c>
      <c r="W172" s="37">
        <f t="shared" si="413"/>
        <v>0</v>
      </c>
      <c r="X172" s="37">
        <f t="shared" si="413"/>
        <v>500000</v>
      </c>
      <c r="Y172" s="37">
        <f t="shared" si="413"/>
        <v>52000</v>
      </c>
      <c r="Z172" s="37">
        <f t="shared" si="413"/>
        <v>0</v>
      </c>
      <c r="AA172" s="37">
        <f t="shared" si="413"/>
        <v>0</v>
      </c>
      <c r="AB172" s="37">
        <f t="shared" ref="AB172" si="416">SUM(AB167:AB171)</f>
        <v>0</v>
      </c>
      <c r="AC172" s="37">
        <f t="shared" si="413"/>
        <v>552000</v>
      </c>
      <c r="AD172" s="37">
        <f t="shared" si="413"/>
        <v>195000</v>
      </c>
      <c r="AE172" s="37">
        <f t="shared" si="413"/>
        <v>3075700</v>
      </c>
      <c r="AF172" s="37">
        <f t="shared" si="413"/>
        <v>2762250</v>
      </c>
      <c r="AG172" s="37">
        <f t="shared" si="413"/>
        <v>1779500</v>
      </c>
      <c r="AH172" s="37">
        <f t="shared" si="413"/>
        <v>1935500</v>
      </c>
      <c r="AI172" s="37">
        <f t="shared" si="413"/>
        <v>2317150</v>
      </c>
      <c r="AJ172" s="37">
        <f t="shared" ref="AJ172" si="417">SUM(AJ167:AJ171)</f>
        <v>2861050</v>
      </c>
      <c r="AK172" s="37">
        <f t="shared" si="413"/>
        <v>14926150</v>
      </c>
      <c r="AL172" s="37">
        <f t="shared" si="413"/>
        <v>0</v>
      </c>
      <c r="AM172" s="37">
        <f t="shared" si="413"/>
        <v>0</v>
      </c>
      <c r="AN172" s="37">
        <f t="shared" si="413"/>
        <v>0</v>
      </c>
      <c r="AO172" s="37">
        <f t="shared" ref="AO172" si="418">SUM(AO167:AO171)</f>
        <v>0</v>
      </c>
      <c r="AP172" s="37">
        <f t="shared" si="413"/>
        <v>0</v>
      </c>
      <c r="AQ172" s="37">
        <f t="shared" si="413"/>
        <v>0</v>
      </c>
      <c r="AR172" s="37">
        <f t="shared" si="413"/>
        <v>0</v>
      </c>
      <c r="AS172" s="37">
        <f t="shared" si="413"/>
        <v>0</v>
      </c>
      <c r="AT172" s="37">
        <f t="shared" ref="AT172" si="419">SUM(AT167:AT171)</f>
        <v>0</v>
      </c>
      <c r="AU172" s="37">
        <f t="shared" si="413"/>
        <v>0</v>
      </c>
      <c r="AV172" s="37">
        <f t="shared" si="413"/>
        <v>0</v>
      </c>
      <c r="AW172" s="37">
        <f t="shared" si="413"/>
        <v>100000</v>
      </c>
      <c r="AX172" s="37">
        <f t="shared" si="413"/>
        <v>253600</v>
      </c>
      <c r="AY172" s="37">
        <f t="shared" si="413"/>
        <v>0</v>
      </c>
      <c r="AZ172" s="37">
        <f t="shared" si="413"/>
        <v>0</v>
      </c>
      <c r="BA172" s="37">
        <f t="shared" si="413"/>
        <v>0</v>
      </c>
      <c r="BB172" s="37">
        <f t="shared" ref="BB172" si="420">SUM(BB167:BB171)</f>
        <v>0</v>
      </c>
      <c r="BC172" s="37">
        <f t="shared" si="413"/>
        <v>353600</v>
      </c>
      <c r="BD172" s="37">
        <f t="shared" si="413"/>
        <v>485000</v>
      </c>
      <c r="BE172" s="37">
        <f t="shared" si="413"/>
        <v>5035700</v>
      </c>
      <c r="BF172" s="37">
        <f t="shared" si="413"/>
        <v>5275850</v>
      </c>
      <c r="BG172" s="37">
        <f t="shared" si="413"/>
        <v>3581500</v>
      </c>
      <c r="BH172" s="37">
        <f t="shared" si="413"/>
        <v>2935500</v>
      </c>
      <c r="BI172" s="144">
        <f>SUM(BI167:BI171)</f>
        <v>4122150</v>
      </c>
      <c r="BJ172" s="37">
        <f t="shared" ref="BJ172" si="421">SUM(BJ167:BJ171)</f>
        <v>4981050</v>
      </c>
      <c r="BK172" s="37">
        <f t="shared" si="413"/>
        <v>26416750</v>
      </c>
    </row>
    <row r="173" spans="1:63">
      <c r="A173" s="185" t="s">
        <v>24</v>
      </c>
      <c r="B173" s="8">
        <v>1</v>
      </c>
      <c r="C173" s="1" t="s">
        <v>308</v>
      </c>
      <c r="D173" s="61" t="s">
        <v>309</v>
      </c>
      <c r="E173" s="4" t="s">
        <v>24</v>
      </c>
      <c r="F173" s="4"/>
      <c r="G173" s="4"/>
      <c r="H173" s="5"/>
      <c r="I173" s="4"/>
      <c r="J173" s="4"/>
      <c r="K173" s="4"/>
      <c r="L173" s="4"/>
      <c r="M173" s="9">
        <f t="shared" ref="M173:M209" si="422">SUM(F173:L173)</f>
        <v>0</v>
      </c>
      <c r="N173" s="4"/>
      <c r="O173" s="4"/>
      <c r="P173" s="4"/>
      <c r="Q173" s="4"/>
      <c r="R173" s="4"/>
      <c r="S173" s="4"/>
      <c r="T173" s="4"/>
      <c r="U173" s="9">
        <f t="shared" ref="U173:U209" si="423">SUM(N173:T173)</f>
        <v>0</v>
      </c>
      <c r="V173" s="20"/>
      <c r="W173" s="20"/>
      <c r="X173" s="20"/>
      <c r="Y173" s="20"/>
      <c r="Z173" s="20"/>
      <c r="AA173" s="20"/>
      <c r="AB173" s="20"/>
      <c r="AC173" s="9">
        <f t="shared" ref="AC173:AC209" si="424">SUM(V173:AB173)</f>
        <v>0</v>
      </c>
      <c r="AD173" s="20">
        <v>195000</v>
      </c>
      <c r="AE173" s="25">
        <v>271600</v>
      </c>
      <c r="AF173" s="24">
        <v>38800</v>
      </c>
      <c r="AG173" s="24">
        <v>514000</v>
      </c>
      <c r="AH173" s="20">
        <f>77000+122500+126000+147000+98000</f>
        <v>570500</v>
      </c>
      <c r="AI173" s="20">
        <f>693400+135800+67900</f>
        <v>897100</v>
      </c>
      <c r="AJ173" s="20">
        <v>814800</v>
      </c>
      <c r="AK173" s="21">
        <f t="shared" ref="AK173:AK209" si="425">SUM(AD173:AJ173)</f>
        <v>3301800</v>
      </c>
      <c r="AL173" s="25">
        <v>0</v>
      </c>
      <c r="AM173" s="20"/>
      <c r="AN173" s="20"/>
      <c r="AO173" s="20"/>
      <c r="AP173" s="21">
        <f t="shared" ref="AP173:AP209" si="426">SUM(AL173:AO173)</f>
        <v>0</v>
      </c>
      <c r="AQ173" s="25"/>
      <c r="AR173" s="20"/>
      <c r="AS173" s="20"/>
      <c r="AT173" s="20"/>
      <c r="AU173" s="21">
        <f t="shared" ref="AU173:AU209" si="427">SUM(AQ173:AT173)</f>
        <v>0</v>
      </c>
      <c r="AV173" s="25"/>
      <c r="AW173" s="25"/>
      <c r="AX173" s="25"/>
      <c r="AY173" s="25"/>
      <c r="AZ173" s="20"/>
      <c r="BA173" s="20"/>
      <c r="BB173" s="20"/>
      <c r="BC173" s="21">
        <f t="shared" ref="BC173:BC209" si="428">SUM(AV173:BB173)</f>
        <v>0</v>
      </c>
      <c r="BD173" s="4">
        <f t="shared" ref="BD173:BD209" si="429">F173+N173+V173+AD173+AV173</f>
        <v>195000</v>
      </c>
      <c r="BE173" s="4">
        <f t="shared" ref="BE173:BE209" si="430">G173+O173+W173+AE173+AW173</f>
        <v>271600</v>
      </c>
      <c r="BF173" s="4">
        <f t="shared" ref="BF173:BF209" si="431">H173+P173+X173+AF173+AX173</f>
        <v>38800</v>
      </c>
      <c r="BG173" s="4">
        <f t="shared" ref="BG173:BG209" si="432">I173+Q173+Y173+AG173+AL173+AQ173+AY173</f>
        <v>514000</v>
      </c>
      <c r="BH173" s="94">
        <f t="shared" ref="BH173:BH211" si="433">J173+R173+Z173+AH173+AM173+AR173+AZ173</f>
        <v>570500</v>
      </c>
      <c r="BI173" s="94">
        <f t="shared" ref="BI173:BI209" si="434">K173+S173+AA173+AI173+AN173+AS173+BA173</f>
        <v>897100</v>
      </c>
      <c r="BJ173" s="94">
        <f t="shared" ref="BJ173:BJ209" si="435">L173+T173+AB173+AJ173+AO173+AT173+BB173</f>
        <v>814800</v>
      </c>
      <c r="BK173" s="9">
        <f t="shared" ref="BK173:BK209" si="436">SUM(BD173:BJ173)</f>
        <v>3301800</v>
      </c>
    </row>
    <row r="174" spans="1:63">
      <c r="A174" s="186"/>
      <c r="B174" s="8">
        <v>2</v>
      </c>
      <c r="C174" s="1" t="s">
        <v>310</v>
      </c>
      <c r="D174" s="12" t="s">
        <v>448</v>
      </c>
      <c r="E174" s="4" t="s">
        <v>24</v>
      </c>
      <c r="F174" s="4">
        <v>155000</v>
      </c>
      <c r="G174" s="4">
        <v>881000</v>
      </c>
      <c r="H174" s="4">
        <f>110000+110000+330000</f>
        <v>550000</v>
      </c>
      <c r="I174" s="4">
        <f>160000+20000</f>
        <v>180000</v>
      </c>
      <c r="J174" s="4"/>
      <c r="K174" s="4"/>
      <c r="L174" s="4"/>
      <c r="M174" s="9">
        <f t="shared" si="422"/>
        <v>1766000</v>
      </c>
      <c r="N174" s="4"/>
      <c r="O174" s="4"/>
      <c r="P174" s="4"/>
      <c r="Q174" s="4"/>
      <c r="R174" s="4"/>
      <c r="S174" s="4"/>
      <c r="T174" s="4"/>
      <c r="U174" s="9">
        <f t="shared" si="423"/>
        <v>0</v>
      </c>
      <c r="V174" s="20"/>
      <c r="W174" s="20"/>
      <c r="X174" s="20"/>
      <c r="Y174" s="20"/>
      <c r="Z174" s="20"/>
      <c r="AA174" s="20"/>
      <c r="AB174" s="20"/>
      <c r="AC174" s="9">
        <f t="shared" si="424"/>
        <v>0</v>
      </c>
      <c r="AD174" s="20"/>
      <c r="AE174" s="25">
        <v>1020900</v>
      </c>
      <c r="AF174" s="24">
        <v>621200</v>
      </c>
      <c r="AG174" s="24">
        <v>240000</v>
      </c>
      <c r="AH174" s="20"/>
      <c r="AI174" s="20"/>
      <c r="AJ174" s="20"/>
      <c r="AK174" s="21">
        <f t="shared" si="425"/>
        <v>1882100</v>
      </c>
      <c r="AL174" s="25">
        <v>1155000</v>
      </c>
      <c r="AM174" s="20">
        <f>105000+311500+315000+315000+210000</f>
        <v>1256500</v>
      </c>
      <c r="AN174" s="20">
        <f>1387200+296000+148000</f>
        <v>1831200</v>
      </c>
      <c r="AO174" s="20">
        <v>1539000</v>
      </c>
      <c r="AP174" s="21">
        <f t="shared" si="426"/>
        <v>5781700</v>
      </c>
      <c r="AQ174" s="25"/>
      <c r="AR174" s="20"/>
      <c r="AS174" s="20"/>
      <c r="AT174" s="20"/>
      <c r="AU174" s="21">
        <f t="shared" si="427"/>
        <v>0</v>
      </c>
      <c r="AV174" s="25"/>
      <c r="AW174" s="25">
        <v>100000</v>
      </c>
      <c r="AX174" s="25">
        <f>218150+257600</f>
        <v>475750</v>
      </c>
      <c r="AY174" s="25"/>
      <c r="AZ174" s="20"/>
      <c r="BA174" s="20"/>
      <c r="BB174" s="20"/>
      <c r="BC174" s="21">
        <f t="shared" si="428"/>
        <v>575750</v>
      </c>
      <c r="BD174" s="4">
        <f t="shared" si="429"/>
        <v>155000</v>
      </c>
      <c r="BE174" s="4">
        <f t="shared" si="430"/>
        <v>2001900</v>
      </c>
      <c r="BF174" s="4">
        <f t="shared" si="431"/>
        <v>1646950</v>
      </c>
      <c r="BG174" s="4">
        <f t="shared" si="432"/>
        <v>1575000</v>
      </c>
      <c r="BH174" s="94">
        <f t="shared" si="433"/>
        <v>1256500</v>
      </c>
      <c r="BI174" s="94">
        <f t="shared" si="434"/>
        <v>1831200</v>
      </c>
      <c r="BJ174" s="94">
        <f t="shared" si="435"/>
        <v>1539000</v>
      </c>
      <c r="BK174" s="9">
        <f t="shared" si="436"/>
        <v>10005550</v>
      </c>
    </row>
    <row r="175" spans="1:63" ht="30">
      <c r="A175" s="186"/>
      <c r="B175" s="8">
        <v>3</v>
      </c>
      <c r="C175" s="2" t="s">
        <v>312</v>
      </c>
      <c r="D175" s="13" t="s">
        <v>313</v>
      </c>
      <c r="E175" s="4" t="s">
        <v>24</v>
      </c>
      <c r="F175" s="4"/>
      <c r="G175" s="4"/>
      <c r="H175" s="4"/>
      <c r="I175" s="4"/>
      <c r="J175" s="4"/>
      <c r="K175" s="4"/>
      <c r="L175" s="4"/>
      <c r="M175" s="9">
        <f t="shared" si="422"/>
        <v>0</v>
      </c>
      <c r="N175" s="4"/>
      <c r="O175" s="4"/>
      <c r="P175" s="4"/>
      <c r="Q175" s="4"/>
      <c r="R175" s="4"/>
      <c r="S175" s="4"/>
      <c r="T175" s="4"/>
      <c r="U175" s="9">
        <f t="shared" si="423"/>
        <v>0</v>
      </c>
      <c r="V175" s="20"/>
      <c r="W175" s="20"/>
      <c r="X175" s="20"/>
      <c r="Y175" s="20"/>
      <c r="Z175" s="20"/>
      <c r="AA175" s="20"/>
      <c r="AB175" s="20"/>
      <c r="AC175" s="9">
        <f t="shared" si="424"/>
        <v>0</v>
      </c>
      <c r="AD175" s="20"/>
      <c r="AE175" s="25"/>
      <c r="AF175" s="24"/>
      <c r="AG175" s="24"/>
      <c r="AH175" s="20"/>
      <c r="AI175" s="20"/>
      <c r="AJ175" s="20"/>
      <c r="AK175" s="21">
        <f t="shared" si="425"/>
        <v>0</v>
      </c>
      <c r="AL175" s="25">
        <v>0</v>
      </c>
      <c r="AM175" s="20"/>
      <c r="AN175" s="20"/>
      <c r="AO175" s="20"/>
      <c r="AP175" s="21">
        <f t="shared" si="426"/>
        <v>0</v>
      </c>
      <c r="AQ175" s="25"/>
      <c r="AR175" s="20"/>
      <c r="AS175" s="20"/>
      <c r="AT175" s="20"/>
      <c r="AU175" s="21">
        <f t="shared" si="427"/>
        <v>0</v>
      </c>
      <c r="AV175" s="25"/>
      <c r="AW175" s="25">
        <v>100000</v>
      </c>
      <c r="AX175" s="25">
        <v>276000</v>
      </c>
      <c r="AY175" s="25"/>
      <c r="AZ175" s="20"/>
      <c r="BA175" s="20"/>
      <c r="BB175" s="20"/>
      <c r="BC175" s="21">
        <f t="shared" si="428"/>
        <v>376000</v>
      </c>
      <c r="BD175" s="4">
        <f t="shared" si="429"/>
        <v>0</v>
      </c>
      <c r="BE175" s="4">
        <f t="shared" si="430"/>
        <v>100000</v>
      </c>
      <c r="BF175" s="4">
        <f t="shared" si="431"/>
        <v>276000</v>
      </c>
      <c r="BG175" s="4">
        <f t="shared" si="432"/>
        <v>0</v>
      </c>
      <c r="BH175" s="94">
        <f t="shared" si="433"/>
        <v>0</v>
      </c>
      <c r="BI175" s="94">
        <f t="shared" si="434"/>
        <v>0</v>
      </c>
      <c r="BJ175" s="94">
        <f t="shared" si="435"/>
        <v>0</v>
      </c>
      <c r="BK175" s="9">
        <f t="shared" si="436"/>
        <v>376000</v>
      </c>
    </row>
    <row r="176" spans="1:63">
      <c r="A176" s="186"/>
      <c r="B176" s="8">
        <v>4</v>
      </c>
      <c r="C176" s="1" t="s">
        <v>314</v>
      </c>
      <c r="D176" s="12" t="s">
        <v>26</v>
      </c>
      <c r="E176" s="4" t="s">
        <v>24</v>
      </c>
      <c r="F176" s="4"/>
      <c r="G176" s="4">
        <v>155000</v>
      </c>
      <c r="H176" s="4">
        <f>368500+47500+82500</f>
        <v>498500</v>
      </c>
      <c r="I176" s="4">
        <f>100000+120000</f>
        <v>220000</v>
      </c>
      <c r="J176" s="4"/>
      <c r="K176" s="4"/>
      <c r="L176" s="4"/>
      <c r="M176" s="9">
        <f t="shared" si="422"/>
        <v>873500</v>
      </c>
      <c r="N176" s="4"/>
      <c r="O176" s="4"/>
      <c r="P176" s="4"/>
      <c r="Q176" s="4"/>
      <c r="R176" s="4"/>
      <c r="S176" s="4"/>
      <c r="T176" s="4"/>
      <c r="U176" s="9">
        <f t="shared" si="423"/>
        <v>0</v>
      </c>
      <c r="V176" s="20"/>
      <c r="W176" s="20"/>
      <c r="X176" s="20"/>
      <c r="Y176" s="20"/>
      <c r="Z176" s="20"/>
      <c r="AA176" s="20"/>
      <c r="AB176" s="20"/>
      <c r="AC176" s="9">
        <f t="shared" si="424"/>
        <v>0</v>
      </c>
      <c r="AD176" s="20"/>
      <c r="AE176" s="25">
        <v>607050</v>
      </c>
      <c r="AF176" s="24">
        <v>506100</v>
      </c>
      <c r="AG176" s="24">
        <v>180000</v>
      </c>
      <c r="AH176" s="20"/>
      <c r="AI176" s="20"/>
      <c r="AJ176" s="20"/>
      <c r="AK176" s="21">
        <f t="shared" si="425"/>
        <v>1293150</v>
      </c>
      <c r="AL176" s="25">
        <v>921500</v>
      </c>
      <c r="AM176" s="20">
        <f>310500+309000+305500+307500+203500</f>
        <v>1436000</v>
      </c>
      <c r="AN176" s="20">
        <f>1352500+280800+140000</f>
        <v>1773300</v>
      </c>
      <c r="AO176" s="20">
        <v>1692000</v>
      </c>
      <c r="AP176" s="21">
        <f t="shared" si="426"/>
        <v>5822800</v>
      </c>
      <c r="AQ176" s="25"/>
      <c r="AR176" s="20"/>
      <c r="AS176" s="20"/>
      <c r="AT176" s="20"/>
      <c r="AU176" s="21">
        <f t="shared" si="427"/>
        <v>0</v>
      </c>
      <c r="AV176" s="25"/>
      <c r="AW176" s="25"/>
      <c r="AX176" s="25"/>
      <c r="AY176" s="25"/>
      <c r="AZ176" s="20"/>
      <c r="BA176" s="20"/>
      <c r="BB176" s="20"/>
      <c r="BC176" s="21">
        <f t="shared" si="428"/>
        <v>0</v>
      </c>
      <c r="BD176" s="4">
        <f t="shared" si="429"/>
        <v>0</v>
      </c>
      <c r="BE176" s="4">
        <f t="shared" si="430"/>
        <v>762050</v>
      </c>
      <c r="BF176" s="4">
        <f t="shared" si="431"/>
        <v>1004600</v>
      </c>
      <c r="BG176" s="4">
        <f t="shared" si="432"/>
        <v>1321500</v>
      </c>
      <c r="BH176" s="94">
        <f t="shared" si="433"/>
        <v>1436000</v>
      </c>
      <c r="BI176" s="94">
        <f t="shared" si="434"/>
        <v>1773300</v>
      </c>
      <c r="BJ176" s="94">
        <f t="shared" si="435"/>
        <v>1692000</v>
      </c>
      <c r="BK176" s="9">
        <f t="shared" si="436"/>
        <v>7989450</v>
      </c>
    </row>
    <row r="177" spans="1:63">
      <c r="A177" s="186"/>
      <c r="B177" s="8">
        <v>5</v>
      </c>
      <c r="C177" s="1" t="s">
        <v>315</v>
      </c>
      <c r="D177" s="12" t="s">
        <v>316</v>
      </c>
      <c r="E177" s="4" t="s">
        <v>24</v>
      </c>
      <c r="F177" s="4"/>
      <c r="G177" s="4"/>
      <c r="H177" s="4">
        <v>155000</v>
      </c>
      <c r="I177" s="4">
        <f>64000+12000</f>
        <v>76000</v>
      </c>
      <c r="J177" s="4"/>
      <c r="K177" s="4"/>
      <c r="L177" s="4"/>
      <c r="M177" s="9">
        <f t="shared" si="422"/>
        <v>231000</v>
      </c>
      <c r="N177" s="4"/>
      <c r="O177" s="4"/>
      <c r="P177" s="4"/>
      <c r="Q177" s="4"/>
      <c r="R177" s="4"/>
      <c r="S177" s="4"/>
      <c r="T177" s="4"/>
      <c r="U177" s="9">
        <f t="shared" si="423"/>
        <v>0</v>
      </c>
      <c r="V177" s="20"/>
      <c r="W177" s="20"/>
      <c r="X177" s="20"/>
      <c r="Y177" s="20"/>
      <c r="Z177" s="20"/>
      <c r="AA177" s="20"/>
      <c r="AB177" s="20"/>
      <c r="AC177" s="9">
        <f t="shared" si="424"/>
        <v>0</v>
      </c>
      <c r="AD177" s="20"/>
      <c r="AE177" s="25">
        <v>195000</v>
      </c>
      <c r="AF177" s="24">
        <v>377200</v>
      </c>
      <c r="AG177" s="24">
        <v>140000</v>
      </c>
      <c r="AH177" s="20"/>
      <c r="AI177" s="20"/>
      <c r="AJ177" s="20"/>
      <c r="AK177" s="21">
        <f t="shared" si="425"/>
        <v>712200</v>
      </c>
      <c r="AL177" s="25">
        <v>612500</v>
      </c>
      <c r="AM177" s="20">
        <f>56000+175000+189000+189000+126000</f>
        <v>735000</v>
      </c>
      <c r="AN177" s="20">
        <f>705600+126000+63000</f>
        <v>894600</v>
      </c>
      <c r="AO177" s="20">
        <v>756000</v>
      </c>
      <c r="AP177" s="21">
        <f t="shared" si="426"/>
        <v>2998100</v>
      </c>
      <c r="AQ177" s="25"/>
      <c r="AR177" s="20"/>
      <c r="AS177" s="20"/>
      <c r="AT177" s="20"/>
      <c r="AU177" s="21">
        <f t="shared" si="427"/>
        <v>0</v>
      </c>
      <c r="AV177" s="25"/>
      <c r="AW177" s="25">
        <v>100000</v>
      </c>
      <c r="AX177" s="25">
        <v>276000</v>
      </c>
      <c r="AY177" s="25"/>
      <c r="AZ177" s="20"/>
      <c r="BA177" s="20"/>
      <c r="BB177" s="20"/>
      <c r="BC177" s="21">
        <f t="shared" si="428"/>
        <v>376000</v>
      </c>
      <c r="BD177" s="4">
        <f t="shared" si="429"/>
        <v>0</v>
      </c>
      <c r="BE177" s="4">
        <f t="shared" si="430"/>
        <v>295000</v>
      </c>
      <c r="BF177" s="4">
        <f t="shared" si="431"/>
        <v>808200</v>
      </c>
      <c r="BG177" s="4">
        <f t="shared" si="432"/>
        <v>828500</v>
      </c>
      <c r="BH177" s="94">
        <f t="shared" si="433"/>
        <v>735000</v>
      </c>
      <c r="BI177" s="94">
        <f t="shared" si="434"/>
        <v>894600</v>
      </c>
      <c r="BJ177" s="94">
        <f t="shared" si="435"/>
        <v>756000</v>
      </c>
      <c r="BK177" s="9">
        <f t="shared" si="436"/>
        <v>4317300</v>
      </c>
    </row>
    <row r="178" spans="1:63" ht="47.25">
      <c r="A178" s="186"/>
      <c r="B178" s="8">
        <v>6</v>
      </c>
      <c r="C178" s="44" t="s">
        <v>317</v>
      </c>
      <c r="D178" s="62" t="s">
        <v>318</v>
      </c>
      <c r="E178" s="4" t="s">
        <v>24</v>
      </c>
      <c r="F178" s="4"/>
      <c r="G178" s="4"/>
      <c r="H178" s="4"/>
      <c r="I178" s="4"/>
      <c r="J178" s="4"/>
      <c r="K178" s="4"/>
      <c r="L178" s="4"/>
      <c r="M178" s="9">
        <f t="shared" si="422"/>
        <v>0</v>
      </c>
      <c r="N178" s="76"/>
      <c r="O178" s="76"/>
      <c r="P178" s="76">
        <v>290000</v>
      </c>
      <c r="Q178" s="76"/>
      <c r="R178" s="4"/>
      <c r="S178" s="4"/>
      <c r="T178" s="4">
        <v>875000</v>
      </c>
      <c r="U178" s="9">
        <f t="shared" si="423"/>
        <v>1165000</v>
      </c>
      <c r="V178" s="20"/>
      <c r="W178" s="20"/>
      <c r="X178" s="20"/>
      <c r="Y178" s="20"/>
      <c r="Z178" s="20"/>
      <c r="AA178" s="20"/>
      <c r="AB178" s="20"/>
      <c r="AC178" s="9">
        <f t="shared" si="424"/>
        <v>0</v>
      </c>
      <c r="AD178" s="20"/>
      <c r="AE178" s="25"/>
      <c r="AF178" s="24"/>
      <c r="AG178" s="24"/>
      <c r="AH178" s="20"/>
      <c r="AI178" s="20"/>
      <c r="AJ178" s="20"/>
      <c r="AK178" s="21">
        <f t="shared" si="425"/>
        <v>0</v>
      </c>
      <c r="AL178" s="25">
        <v>0</v>
      </c>
      <c r="AM178" s="20"/>
      <c r="AN178" s="20"/>
      <c r="AO178" s="20"/>
      <c r="AP178" s="21">
        <f t="shared" si="426"/>
        <v>0</v>
      </c>
      <c r="AQ178" s="25"/>
      <c r="AR178" s="20"/>
      <c r="AS178" s="20"/>
      <c r="AT178" s="20"/>
      <c r="AU178" s="21">
        <f t="shared" si="427"/>
        <v>0</v>
      </c>
      <c r="AV178" s="25"/>
      <c r="AW178" s="25"/>
      <c r="AX178" s="25"/>
      <c r="AY178" s="25"/>
      <c r="AZ178" s="20"/>
      <c r="BA178" s="20"/>
      <c r="BB178" s="20"/>
      <c r="BC178" s="21">
        <f t="shared" si="428"/>
        <v>0</v>
      </c>
      <c r="BD178" s="4">
        <f t="shared" si="429"/>
        <v>0</v>
      </c>
      <c r="BE178" s="4">
        <f t="shared" si="430"/>
        <v>0</v>
      </c>
      <c r="BF178" s="4">
        <f t="shared" si="431"/>
        <v>290000</v>
      </c>
      <c r="BG178" s="4">
        <f t="shared" si="432"/>
        <v>0</v>
      </c>
      <c r="BH178" s="94">
        <f t="shared" si="433"/>
        <v>0</v>
      </c>
      <c r="BI178" s="94">
        <f t="shared" si="434"/>
        <v>0</v>
      </c>
      <c r="BJ178" s="94">
        <f t="shared" si="435"/>
        <v>875000</v>
      </c>
      <c r="BK178" s="9">
        <f t="shared" si="436"/>
        <v>1165000</v>
      </c>
    </row>
    <row r="179" spans="1:63">
      <c r="A179" s="186"/>
      <c r="B179" s="8">
        <v>7</v>
      </c>
      <c r="C179" s="1" t="s">
        <v>319</v>
      </c>
      <c r="D179" s="12" t="s">
        <v>320</v>
      </c>
      <c r="E179" s="4" t="s">
        <v>24</v>
      </c>
      <c r="F179" s="4"/>
      <c r="G179" s="4">
        <v>155000</v>
      </c>
      <c r="H179" s="4"/>
      <c r="I179" s="4"/>
      <c r="J179" s="4"/>
      <c r="K179" s="4"/>
      <c r="L179" s="4"/>
      <c r="M179" s="9">
        <f t="shared" si="422"/>
        <v>155000</v>
      </c>
      <c r="N179" s="4"/>
      <c r="O179" s="4"/>
      <c r="P179" s="4"/>
      <c r="Q179" s="4"/>
      <c r="R179" s="4"/>
      <c r="S179" s="4"/>
      <c r="T179" s="4"/>
      <c r="U179" s="9">
        <f t="shared" si="423"/>
        <v>0</v>
      </c>
      <c r="V179" s="20"/>
      <c r="W179" s="20"/>
      <c r="X179" s="20"/>
      <c r="Y179" s="20"/>
      <c r="Z179" s="20"/>
      <c r="AA179" s="20"/>
      <c r="AB179" s="20"/>
      <c r="AC179" s="9">
        <f t="shared" si="424"/>
        <v>0</v>
      </c>
      <c r="AD179" s="20"/>
      <c r="AE179" s="20">
        <v>345350</v>
      </c>
      <c r="AF179" s="24">
        <v>155200</v>
      </c>
      <c r="AG179" s="24"/>
      <c r="AH179" s="20"/>
      <c r="AI179" s="20"/>
      <c r="AJ179" s="20">
        <v>291000</v>
      </c>
      <c r="AK179" s="21">
        <f t="shared" si="425"/>
        <v>791550</v>
      </c>
      <c r="AL179" s="25">
        <v>0</v>
      </c>
      <c r="AM179" s="20"/>
      <c r="AN179" s="20"/>
      <c r="AO179" s="20">
        <v>312000</v>
      </c>
      <c r="AP179" s="21">
        <f t="shared" si="426"/>
        <v>312000</v>
      </c>
      <c r="AQ179" s="25"/>
      <c r="AR179" s="20"/>
      <c r="AS179" s="20"/>
      <c r="AT179" s="20"/>
      <c r="AU179" s="21">
        <f t="shared" si="427"/>
        <v>0</v>
      </c>
      <c r="AV179" s="25"/>
      <c r="AW179" s="25"/>
      <c r="AX179" s="25"/>
      <c r="AY179" s="25"/>
      <c r="AZ179" s="20"/>
      <c r="BA179" s="20"/>
      <c r="BB179" s="20"/>
      <c r="BC179" s="21">
        <f t="shared" si="428"/>
        <v>0</v>
      </c>
      <c r="BD179" s="4">
        <f t="shared" si="429"/>
        <v>0</v>
      </c>
      <c r="BE179" s="4">
        <f t="shared" si="430"/>
        <v>500350</v>
      </c>
      <c r="BF179" s="4">
        <f t="shared" si="431"/>
        <v>155200</v>
      </c>
      <c r="BG179" s="4">
        <f t="shared" si="432"/>
        <v>0</v>
      </c>
      <c r="BH179" s="94">
        <f t="shared" si="433"/>
        <v>0</v>
      </c>
      <c r="BI179" s="94">
        <f t="shared" si="434"/>
        <v>0</v>
      </c>
      <c r="BJ179" s="94">
        <f t="shared" si="435"/>
        <v>603000</v>
      </c>
      <c r="BK179" s="9">
        <f t="shared" si="436"/>
        <v>1258550</v>
      </c>
    </row>
    <row r="180" spans="1:63">
      <c r="A180" s="186"/>
      <c r="B180" s="8">
        <v>8</v>
      </c>
      <c r="C180" s="1" t="s">
        <v>321</v>
      </c>
      <c r="D180" s="12" t="s">
        <v>313</v>
      </c>
      <c r="E180" s="4" t="s">
        <v>24</v>
      </c>
      <c r="F180" s="4"/>
      <c r="G180" s="4">
        <v>255000</v>
      </c>
      <c r="H180" s="4">
        <f>52000+60500+209000+77000</f>
        <v>398500</v>
      </c>
      <c r="I180" s="4">
        <f>140000+20000</f>
        <v>160000</v>
      </c>
      <c r="J180" s="4"/>
      <c r="K180" s="4"/>
      <c r="L180" s="4"/>
      <c r="M180" s="9">
        <f t="shared" si="422"/>
        <v>813500</v>
      </c>
      <c r="N180" s="4"/>
      <c r="O180" s="4"/>
      <c r="P180" s="4"/>
      <c r="Q180" s="4"/>
      <c r="R180" s="4"/>
      <c r="S180" s="4"/>
      <c r="T180" s="4"/>
      <c r="U180" s="9">
        <f t="shared" si="423"/>
        <v>0</v>
      </c>
      <c r="V180" s="20"/>
      <c r="W180" s="20"/>
      <c r="X180" s="20"/>
      <c r="Y180" s="20"/>
      <c r="Z180" s="20"/>
      <c r="AA180" s="20"/>
      <c r="AB180" s="20"/>
      <c r="AC180" s="9">
        <f t="shared" si="424"/>
        <v>0</v>
      </c>
      <c r="AD180" s="20"/>
      <c r="AE180" s="25">
        <v>392250</v>
      </c>
      <c r="AF180" s="24">
        <v>664450</v>
      </c>
      <c r="AG180" s="24">
        <v>270000</v>
      </c>
      <c r="AH180" s="20"/>
      <c r="AI180" s="20"/>
      <c r="AJ180" s="20"/>
      <c r="AK180" s="21">
        <f t="shared" si="425"/>
        <v>1326700</v>
      </c>
      <c r="AL180" s="25">
        <v>1155000</v>
      </c>
      <c r="AM180" s="20">
        <f>105000+315000+315000+315000+210000</f>
        <v>1260000</v>
      </c>
      <c r="AN180" s="20">
        <f>1364000+312000+156000</f>
        <v>1832000</v>
      </c>
      <c r="AO180" s="20">
        <v>1872000</v>
      </c>
      <c r="AP180" s="21">
        <f t="shared" si="426"/>
        <v>6119000</v>
      </c>
      <c r="AQ180" s="25"/>
      <c r="AR180" s="20"/>
      <c r="AS180" s="20"/>
      <c r="AT180" s="20"/>
      <c r="AU180" s="21">
        <f t="shared" si="427"/>
        <v>0</v>
      </c>
      <c r="AV180" s="25"/>
      <c r="AW180" s="25">
        <v>100000</v>
      </c>
      <c r="AX180" s="25">
        <v>276000</v>
      </c>
      <c r="AY180" s="25"/>
      <c r="AZ180" s="20"/>
      <c r="BA180" s="20"/>
      <c r="BB180" s="20"/>
      <c r="BC180" s="21">
        <f t="shared" si="428"/>
        <v>376000</v>
      </c>
      <c r="BD180" s="4">
        <f t="shared" si="429"/>
        <v>0</v>
      </c>
      <c r="BE180" s="4">
        <f t="shared" si="430"/>
        <v>747250</v>
      </c>
      <c r="BF180" s="4">
        <f t="shared" si="431"/>
        <v>1338950</v>
      </c>
      <c r="BG180" s="4">
        <f t="shared" si="432"/>
        <v>1585000</v>
      </c>
      <c r="BH180" s="94">
        <f t="shared" si="433"/>
        <v>1260000</v>
      </c>
      <c r="BI180" s="94">
        <f t="shared" si="434"/>
        <v>1832000</v>
      </c>
      <c r="BJ180" s="94">
        <f t="shared" si="435"/>
        <v>1872000</v>
      </c>
      <c r="BK180" s="9">
        <f t="shared" si="436"/>
        <v>8635200</v>
      </c>
    </row>
    <row r="181" spans="1:63" ht="47.25">
      <c r="A181" s="186"/>
      <c r="B181" s="8">
        <v>9</v>
      </c>
      <c r="C181" s="1" t="s">
        <v>322</v>
      </c>
      <c r="D181" s="12" t="s">
        <v>323</v>
      </c>
      <c r="E181" s="4" t="s">
        <v>24</v>
      </c>
      <c r="F181" s="4">
        <v>155000</v>
      </c>
      <c r="G181" s="4">
        <v>137500</v>
      </c>
      <c r="H181" s="4">
        <f>115500+38500+44000+33000</f>
        <v>231000</v>
      </c>
      <c r="I181" s="4"/>
      <c r="J181" s="4"/>
      <c r="K181" s="4"/>
      <c r="L181" s="4"/>
      <c r="M181" s="9">
        <f t="shared" si="422"/>
        <v>523500</v>
      </c>
      <c r="N181" s="4"/>
      <c r="O181" s="4"/>
      <c r="P181" s="4"/>
      <c r="Q181" s="4"/>
      <c r="R181" s="4"/>
      <c r="S181" s="4"/>
      <c r="T181" s="4"/>
      <c r="U181" s="9">
        <f t="shared" si="423"/>
        <v>0</v>
      </c>
      <c r="V181" s="20">
        <v>290000</v>
      </c>
      <c r="W181" s="20"/>
      <c r="X181" s="4">
        <v>1218000</v>
      </c>
      <c r="Y181" s="22"/>
      <c r="Z181" s="22"/>
      <c r="AA181" s="22"/>
      <c r="AB181" s="22">
        <f>540000+630000+210000</f>
        <v>1380000</v>
      </c>
      <c r="AC181" s="9">
        <f t="shared" si="424"/>
        <v>2888000</v>
      </c>
      <c r="AD181" s="20">
        <v>195000</v>
      </c>
      <c r="AE181" s="25">
        <v>359450</v>
      </c>
      <c r="AF181" s="24">
        <v>55200</v>
      </c>
      <c r="AG181" s="24"/>
      <c r="AH181" s="20"/>
      <c r="AI181" s="20"/>
      <c r="AJ181" s="20"/>
      <c r="AK181" s="21">
        <f t="shared" si="425"/>
        <v>609650</v>
      </c>
      <c r="AL181" s="25">
        <v>0</v>
      </c>
      <c r="AM181" s="20"/>
      <c r="AN181" s="20"/>
      <c r="AO181" s="20"/>
      <c r="AP181" s="21">
        <f t="shared" si="426"/>
        <v>0</v>
      </c>
      <c r="AQ181" s="25"/>
      <c r="AR181" s="20"/>
      <c r="AS181" s="20"/>
      <c r="AT181" s="20"/>
      <c r="AU181" s="21">
        <f t="shared" si="427"/>
        <v>0</v>
      </c>
      <c r="AV181" s="25"/>
      <c r="AW181" s="25"/>
      <c r="AX181" s="25"/>
      <c r="AY181" s="25"/>
      <c r="AZ181" s="20"/>
      <c r="BA181" s="20"/>
      <c r="BB181" s="20"/>
      <c r="BC181" s="21">
        <f t="shared" si="428"/>
        <v>0</v>
      </c>
      <c r="BD181" s="4">
        <f t="shared" si="429"/>
        <v>640000</v>
      </c>
      <c r="BE181" s="4">
        <f t="shared" si="430"/>
        <v>496950</v>
      </c>
      <c r="BF181" s="4">
        <f t="shared" si="431"/>
        <v>1504200</v>
      </c>
      <c r="BG181" s="4">
        <f t="shared" si="432"/>
        <v>0</v>
      </c>
      <c r="BH181" s="94">
        <f t="shared" si="433"/>
        <v>0</v>
      </c>
      <c r="BI181" s="94">
        <f t="shared" si="434"/>
        <v>0</v>
      </c>
      <c r="BJ181" s="94">
        <f t="shared" si="435"/>
        <v>1380000</v>
      </c>
      <c r="BK181" s="9">
        <f t="shared" si="436"/>
        <v>4021150</v>
      </c>
    </row>
    <row r="182" spans="1:63">
      <c r="A182" s="186"/>
      <c r="B182" s="8">
        <v>10</v>
      </c>
      <c r="C182" s="1" t="s">
        <v>324</v>
      </c>
      <c r="D182" s="12" t="s">
        <v>26</v>
      </c>
      <c r="E182" s="4" t="s">
        <v>24</v>
      </c>
      <c r="F182" s="4"/>
      <c r="G182" s="4"/>
      <c r="H182" s="4"/>
      <c r="I182" s="4"/>
      <c r="J182" s="4"/>
      <c r="K182" s="4"/>
      <c r="L182" s="4"/>
      <c r="M182" s="9">
        <f t="shared" si="422"/>
        <v>0</v>
      </c>
      <c r="N182" s="4"/>
      <c r="O182" s="4"/>
      <c r="P182" s="4"/>
      <c r="Q182" s="4"/>
      <c r="R182" s="4"/>
      <c r="S182" s="4"/>
      <c r="T182" s="4"/>
      <c r="U182" s="9">
        <f t="shared" si="423"/>
        <v>0</v>
      </c>
      <c r="V182" s="20">
        <v>290000</v>
      </c>
      <c r="W182" s="20"/>
      <c r="X182" s="4">
        <v>252000</v>
      </c>
      <c r="Y182" s="22"/>
      <c r="Z182" s="22"/>
      <c r="AA182" s="22"/>
      <c r="AB182" s="22"/>
      <c r="AC182" s="9">
        <f t="shared" si="424"/>
        <v>542000</v>
      </c>
      <c r="AD182" s="20"/>
      <c r="AE182" s="25"/>
      <c r="AF182" s="24"/>
      <c r="AG182" s="24"/>
      <c r="AH182" s="20"/>
      <c r="AI182" s="20"/>
      <c r="AJ182" s="20"/>
      <c r="AK182" s="21">
        <f t="shared" si="425"/>
        <v>0</v>
      </c>
      <c r="AL182" s="25">
        <v>0</v>
      </c>
      <c r="AM182" s="20"/>
      <c r="AN182" s="20"/>
      <c r="AO182" s="20"/>
      <c r="AP182" s="21">
        <f t="shared" si="426"/>
        <v>0</v>
      </c>
      <c r="AQ182" s="25"/>
      <c r="AR182" s="20"/>
      <c r="AS182" s="20"/>
      <c r="AT182" s="20"/>
      <c r="AU182" s="21">
        <f t="shared" si="427"/>
        <v>0</v>
      </c>
      <c r="AV182" s="25"/>
      <c r="AW182" s="25"/>
      <c r="AX182" s="25"/>
      <c r="AY182" s="25"/>
      <c r="AZ182" s="20"/>
      <c r="BA182" s="20"/>
      <c r="BB182" s="20"/>
      <c r="BC182" s="21">
        <f t="shared" si="428"/>
        <v>0</v>
      </c>
      <c r="BD182" s="4">
        <f t="shared" si="429"/>
        <v>290000</v>
      </c>
      <c r="BE182" s="4">
        <f t="shared" si="430"/>
        <v>0</v>
      </c>
      <c r="BF182" s="4">
        <f t="shared" si="431"/>
        <v>252000</v>
      </c>
      <c r="BG182" s="4">
        <f t="shared" si="432"/>
        <v>0</v>
      </c>
      <c r="BH182" s="94">
        <f t="shared" si="433"/>
        <v>0</v>
      </c>
      <c r="BI182" s="94">
        <f t="shared" si="434"/>
        <v>0</v>
      </c>
      <c r="BJ182" s="94">
        <f t="shared" si="435"/>
        <v>0</v>
      </c>
      <c r="BK182" s="9">
        <f t="shared" si="436"/>
        <v>542000</v>
      </c>
    </row>
    <row r="183" spans="1:63">
      <c r="A183" s="186"/>
      <c r="B183" s="8">
        <v>11</v>
      </c>
      <c r="C183" s="1" t="s">
        <v>325</v>
      </c>
      <c r="D183" s="61" t="s">
        <v>326</v>
      </c>
      <c r="E183" s="4" t="s">
        <v>24</v>
      </c>
      <c r="F183" s="4"/>
      <c r="G183" s="4"/>
      <c r="H183" s="4"/>
      <c r="I183" s="4"/>
      <c r="J183" s="4"/>
      <c r="K183" s="4"/>
      <c r="L183" s="4"/>
      <c r="M183" s="9">
        <f t="shared" si="422"/>
        <v>0</v>
      </c>
      <c r="N183" s="4"/>
      <c r="O183" s="4"/>
      <c r="P183" s="4"/>
      <c r="Q183" s="4"/>
      <c r="R183" s="4"/>
      <c r="S183" s="4"/>
      <c r="T183" s="4"/>
      <c r="U183" s="9">
        <f t="shared" si="423"/>
        <v>0</v>
      </c>
      <c r="V183" s="20">
        <v>290000</v>
      </c>
      <c r="W183" s="22">
        <v>931000</v>
      </c>
      <c r="X183" s="4">
        <v>112000</v>
      </c>
      <c r="Y183" s="73">
        <v>720000</v>
      </c>
      <c r="Z183" s="73">
        <f>1125000+225000+225000+150000</f>
        <v>1725000</v>
      </c>
      <c r="AA183" s="73">
        <f>1244000+560000</f>
        <v>1804000</v>
      </c>
      <c r="AB183" s="73">
        <f>420000+420000+140000+140000+280000+140000</f>
        <v>1540000</v>
      </c>
      <c r="AC183" s="9">
        <f t="shared" si="424"/>
        <v>7122000</v>
      </c>
      <c r="AD183" s="20">
        <v>195000</v>
      </c>
      <c r="AE183" s="25">
        <v>557300</v>
      </c>
      <c r="AF183" s="24">
        <v>216700</v>
      </c>
      <c r="AG183" s="24">
        <v>96000</v>
      </c>
      <c r="AH183" s="20"/>
      <c r="AI183" s="20"/>
      <c r="AJ183" s="20"/>
      <c r="AK183" s="21">
        <f t="shared" si="425"/>
        <v>1065000</v>
      </c>
      <c r="AL183" s="25">
        <v>0</v>
      </c>
      <c r="AM183" s="20"/>
      <c r="AN183" s="20"/>
      <c r="AO183" s="20"/>
      <c r="AP183" s="21">
        <f t="shared" si="426"/>
        <v>0</v>
      </c>
      <c r="AQ183" s="25"/>
      <c r="AR183" s="20"/>
      <c r="AS183" s="20"/>
      <c r="AT183" s="20"/>
      <c r="AU183" s="21">
        <f t="shared" si="427"/>
        <v>0</v>
      </c>
      <c r="AV183" s="25"/>
      <c r="AW183" s="25"/>
      <c r="AX183" s="25"/>
      <c r="AY183" s="25"/>
      <c r="AZ183" s="20"/>
      <c r="BA183" s="20"/>
      <c r="BB183" s="20"/>
      <c r="BC183" s="21">
        <f t="shared" si="428"/>
        <v>0</v>
      </c>
      <c r="BD183" s="4">
        <f t="shared" si="429"/>
        <v>485000</v>
      </c>
      <c r="BE183" s="4">
        <f t="shared" si="430"/>
        <v>1488300</v>
      </c>
      <c r="BF183" s="4">
        <f t="shared" si="431"/>
        <v>328700</v>
      </c>
      <c r="BG183" s="4">
        <f t="shared" si="432"/>
        <v>816000</v>
      </c>
      <c r="BH183" s="94">
        <f t="shared" si="433"/>
        <v>1725000</v>
      </c>
      <c r="BI183" s="94">
        <f t="shared" si="434"/>
        <v>1804000</v>
      </c>
      <c r="BJ183" s="94">
        <f t="shared" si="435"/>
        <v>1540000</v>
      </c>
      <c r="BK183" s="9">
        <f t="shared" si="436"/>
        <v>8187000</v>
      </c>
    </row>
    <row r="184" spans="1:63">
      <c r="A184" s="186"/>
      <c r="B184" s="8">
        <v>12</v>
      </c>
      <c r="C184" s="1" t="s">
        <v>327</v>
      </c>
      <c r="D184" s="12" t="s">
        <v>313</v>
      </c>
      <c r="E184" s="4" t="s">
        <v>24</v>
      </c>
      <c r="F184" s="4"/>
      <c r="G184" s="4">
        <v>155000</v>
      </c>
      <c r="H184" s="4">
        <f>155000+64000+60000</f>
        <v>279000</v>
      </c>
      <c r="I184" s="4">
        <f>80000+20000</f>
        <v>100000</v>
      </c>
      <c r="J184" s="4"/>
      <c r="K184" s="4"/>
      <c r="L184" s="4"/>
      <c r="M184" s="9">
        <f t="shared" si="422"/>
        <v>534000</v>
      </c>
      <c r="N184" s="4"/>
      <c r="O184" s="4"/>
      <c r="P184" s="4"/>
      <c r="Q184" s="4"/>
      <c r="R184" s="4"/>
      <c r="S184" s="4"/>
      <c r="T184" s="4"/>
      <c r="U184" s="9">
        <f t="shared" si="423"/>
        <v>0</v>
      </c>
      <c r="V184" s="20"/>
      <c r="W184" s="20"/>
      <c r="X184" s="4"/>
      <c r="Y184" s="20"/>
      <c r="Z184" s="20"/>
      <c r="AA184" s="20"/>
      <c r="AB184" s="20"/>
      <c r="AC184" s="9">
        <f t="shared" si="424"/>
        <v>0</v>
      </c>
      <c r="AD184" s="20"/>
      <c r="AE184" s="20">
        <v>258750</v>
      </c>
      <c r="AF184" s="24">
        <v>388150</v>
      </c>
      <c r="AG184" s="24">
        <v>150000</v>
      </c>
      <c r="AH184" s="20"/>
      <c r="AI184" s="20"/>
      <c r="AJ184" s="20"/>
      <c r="AK184" s="21">
        <f t="shared" si="425"/>
        <v>796900</v>
      </c>
      <c r="AL184" s="25">
        <v>945000</v>
      </c>
      <c r="AM184" s="20">
        <f>294000+315000+315000+315000+210000</f>
        <v>1449000</v>
      </c>
      <c r="AN184" s="20">
        <f>1379000+296000+148000</f>
        <v>1823000</v>
      </c>
      <c r="AO184" s="20">
        <v>1840000</v>
      </c>
      <c r="AP184" s="21">
        <f t="shared" si="426"/>
        <v>6057000</v>
      </c>
      <c r="AQ184" s="25"/>
      <c r="AR184" s="20"/>
      <c r="AS184" s="20"/>
      <c r="AT184" s="20"/>
      <c r="AU184" s="21">
        <f t="shared" si="427"/>
        <v>0</v>
      </c>
      <c r="AV184" s="25"/>
      <c r="AW184" s="25"/>
      <c r="AX184" s="25"/>
      <c r="AY184" s="25"/>
      <c r="AZ184" s="20"/>
      <c r="BA184" s="20"/>
      <c r="BB184" s="20"/>
      <c r="BC184" s="21">
        <f t="shared" si="428"/>
        <v>0</v>
      </c>
      <c r="BD184" s="4">
        <f t="shared" si="429"/>
        <v>0</v>
      </c>
      <c r="BE184" s="4">
        <f t="shared" si="430"/>
        <v>413750</v>
      </c>
      <c r="BF184" s="4">
        <f t="shared" si="431"/>
        <v>667150</v>
      </c>
      <c r="BG184" s="4">
        <f t="shared" si="432"/>
        <v>1195000</v>
      </c>
      <c r="BH184" s="94">
        <f t="shared" si="433"/>
        <v>1449000</v>
      </c>
      <c r="BI184" s="94">
        <f t="shared" si="434"/>
        <v>1823000</v>
      </c>
      <c r="BJ184" s="94">
        <f t="shared" si="435"/>
        <v>1840000</v>
      </c>
      <c r="BK184" s="9">
        <f t="shared" si="436"/>
        <v>7387900</v>
      </c>
    </row>
    <row r="185" spans="1:63">
      <c r="A185" s="186"/>
      <c r="B185" s="8">
        <v>13</v>
      </c>
      <c r="C185" s="1" t="s">
        <v>329</v>
      </c>
      <c r="D185" s="12" t="s">
        <v>330</v>
      </c>
      <c r="E185" s="4" t="s">
        <v>24</v>
      </c>
      <c r="F185" s="4">
        <v>155000</v>
      </c>
      <c r="G185" s="4">
        <v>1039000</v>
      </c>
      <c r="H185" s="4">
        <f>220000+297000+80000</f>
        <v>597000</v>
      </c>
      <c r="I185" s="4">
        <f>60000+40000</f>
        <v>100000</v>
      </c>
      <c r="J185" s="4"/>
      <c r="K185" s="4"/>
      <c r="L185" s="4"/>
      <c r="M185" s="9">
        <f t="shared" si="422"/>
        <v>1891000</v>
      </c>
      <c r="N185" s="76"/>
      <c r="O185" s="76">
        <v>1010000</v>
      </c>
      <c r="P185" s="76">
        <v>1670000</v>
      </c>
      <c r="Q185" s="76">
        <v>250000</v>
      </c>
      <c r="R185" s="4"/>
      <c r="S185" s="4"/>
      <c r="T185" s="4"/>
      <c r="U185" s="9">
        <f t="shared" si="423"/>
        <v>2930000</v>
      </c>
      <c r="V185" s="20"/>
      <c r="W185" s="22">
        <v>899000</v>
      </c>
      <c r="X185" s="4">
        <v>870000</v>
      </c>
      <c r="Y185" s="32">
        <v>300000</v>
      </c>
      <c r="Z185" s="32"/>
      <c r="AA185" s="32"/>
      <c r="AB185" s="32"/>
      <c r="AC185" s="9">
        <f t="shared" si="424"/>
        <v>2069000</v>
      </c>
      <c r="AD185" s="20">
        <v>195000</v>
      </c>
      <c r="AE185" s="25">
        <v>1164700</v>
      </c>
      <c r="AF185" s="24">
        <v>483750</v>
      </c>
      <c r="AG185" s="24">
        <v>150000</v>
      </c>
      <c r="AH185" s="20"/>
      <c r="AI185" s="20"/>
      <c r="AJ185" s="20"/>
      <c r="AK185" s="21">
        <f t="shared" si="425"/>
        <v>1993450</v>
      </c>
      <c r="AL185" s="25">
        <v>0</v>
      </c>
      <c r="AM185" s="20"/>
      <c r="AN185" s="20"/>
      <c r="AO185" s="20"/>
      <c r="AP185" s="21">
        <f t="shared" si="426"/>
        <v>0</v>
      </c>
      <c r="AQ185" s="24">
        <v>900000</v>
      </c>
      <c r="AR185" s="20">
        <f>300000+300000+300000+300000+200000</f>
        <v>1400000</v>
      </c>
      <c r="AS185" s="20">
        <f>1970000+765000</f>
        <v>2735000</v>
      </c>
      <c r="AT185" s="20">
        <f>255000+765000+510000+255000+255000+510000+255000</f>
        <v>2805000</v>
      </c>
      <c r="AU185" s="21">
        <f t="shared" si="427"/>
        <v>7840000</v>
      </c>
      <c r="AV185" s="25"/>
      <c r="AW185" s="24">
        <f>100000+276000</f>
        <v>376000</v>
      </c>
      <c r="AX185" s="25"/>
      <c r="AY185" s="25"/>
      <c r="AZ185" s="20"/>
      <c r="BA185" s="20"/>
      <c r="BB185" s="20"/>
      <c r="BC185" s="21">
        <f t="shared" si="428"/>
        <v>376000</v>
      </c>
      <c r="BD185" s="4">
        <f t="shared" si="429"/>
        <v>350000</v>
      </c>
      <c r="BE185" s="4">
        <f t="shared" si="430"/>
        <v>4488700</v>
      </c>
      <c r="BF185" s="4">
        <f t="shared" si="431"/>
        <v>3620750</v>
      </c>
      <c r="BG185" s="4">
        <f t="shared" si="432"/>
        <v>1700000</v>
      </c>
      <c r="BH185" s="94">
        <f t="shared" si="433"/>
        <v>1400000</v>
      </c>
      <c r="BI185" s="94">
        <f t="shared" si="434"/>
        <v>2735000</v>
      </c>
      <c r="BJ185" s="94">
        <f t="shared" si="435"/>
        <v>2805000</v>
      </c>
      <c r="BK185" s="9">
        <f t="shared" si="436"/>
        <v>17099450</v>
      </c>
    </row>
    <row r="186" spans="1:63" ht="31.5">
      <c r="A186" s="186"/>
      <c r="B186" s="8">
        <v>14</v>
      </c>
      <c r="C186" s="1" t="s">
        <v>331</v>
      </c>
      <c r="D186" s="5" t="s">
        <v>421</v>
      </c>
      <c r="E186" s="4" t="s">
        <v>24</v>
      </c>
      <c r="F186" s="4"/>
      <c r="G186" s="4"/>
      <c r="H186" s="4"/>
      <c r="I186" s="4"/>
      <c r="J186" s="4"/>
      <c r="K186" s="4"/>
      <c r="L186" s="4"/>
      <c r="M186" s="9">
        <f t="shared" si="422"/>
        <v>0</v>
      </c>
      <c r="N186" s="4"/>
      <c r="O186" s="4"/>
      <c r="P186" s="4"/>
      <c r="Q186" s="4"/>
      <c r="R186" s="4"/>
      <c r="S186" s="4"/>
      <c r="T186" s="4"/>
      <c r="U186" s="9">
        <f t="shared" si="423"/>
        <v>0</v>
      </c>
      <c r="V186" s="20"/>
      <c r="W186" s="20"/>
      <c r="X186" s="4"/>
      <c r="Y186" s="20"/>
      <c r="Z186" s="20"/>
      <c r="AA186" s="20"/>
      <c r="AB186" s="20"/>
      <c r="AC186" s="9">
        <f t="shared" si="424"/>
        <v>0</v>
      </c>
      <c r="AD186" s="20"/>
      <c r="AE186" s="25">
        <v>195000</v>
      </c>
      <c r="AF186" s="24">
        <v>275000</v>
      </c>
      <c r="AG186" s="24">
        <v>1010000</v>
      </c>
      <c r="AH186" s="20">
        <f>70000+210000+210000+210000+140000</f>
        <v>840000</v>
      </c>
      <c r="AI186" s="20">
        <f>797050+195500+99700</f>
        <v>1092250</v>
      </c>
      <c r="AJ186" s="20">
        <v>1444850</v>
      </c>
      <c r="AK186" s="21">
        <f t="shared" si="425"/>
        <v>4857100</v>
      </c>
      <c r="AL186" s="25">
        <v>0</v>
      </c>
      <c r="AM186" s="20"/>
      <c r="AN186" s="20"/>
      <c r="AO186" s="20"/>
      <c r="AP186" s="21">
        <f t="shared" si="426"/>
        <v>0</v>
      </c>
      <c r="AQ186" s="25"/>
      <c r="AR186" s="20"/>
      <c r="AS186" s="20"/>
      <c r="AT186" s="20"/>
      <c r="AU186" s="21">
        <f t="shared" si="427"/>
        <v>0</v>
      </c>
      <c r="AV186" s="25"/>
      <c r="AW186" s="25">
        <v>100000</v>
      </c>
      <c r="AX186" s="25">
        <v>239200</v>
      </c>
      <c r="AY186" s="25"/>
      <c r="AZ186" s="20"/>
      <c r="BA186" s="20"/>
      <c r="BB186" s="20"/>
      <c r="BC186" s="21">
        <f t="shared" si="428"/>
        <v>339200</v>
      </c>
      <c r="BD186" s="4">
        <f t="shared" si="429"/>
        <v>0</v>
      </c>
      <c r="BE186" s="4">
        <f t="shared" si="430"/>
        <v>295000</v>
      </c>
      <c r="BF186" s="4">
        <f t="shared" si="431"/>
        <v>514200</v>
      </c>
      <c r="BG186" s="4">
        <f t="shared" si="432"/>
        <v>1010000</v>
      </c>
      <c r="BH186" s="94">
        <f t="shared" si="433"/>
        <v>840000</v>
      </c>
      <c r="BI186" s="94">
        <f t="shared" si="434"/>
        <v>1092250</v>
      </c>
      <c r="BJ186" s="94">
        <f t="shared" si="435"/>
        <v>1444850</v>
      </c>
      <c r="BK186" s="9">
        <f t="shared" si="436"/>
        <v>5196300</v>
      </c>
    </row>
    <row r="187" spans="1:63">
      <c r="A187" s="186"/>
      <c r="B187" s="8">
        <v>15</v>
      </c>
      <c r="C187" s="1" t="s">
        <v>332</v>
      </c>
      <c r="D187" s="4" t="s">
        <v>333</v>
      </c>
      <c r="E187" s="4" t="s">
        <v>24</v>
      </c>
      <c r="F187" s="4"/>
      <c r="G187" s="4">
        <v>741983</v>
      </c>
      <c r="H187" s="4">
        <f>88000+110000+220000</f>
        <v>418000</v>
      </c>
      <c r="I187" s="4"/>
      <c r="J187" s="4"/>
      <c r="K187" s="4"/>
      <c r="L187" s="4">
        <v>180000</v>
      </c>
      <c r="M187" s="9">
        <f t="shared" si="422"/>
        <v>1339983</v>
      </c>
      <c r="N187" s="4"/>
      <c r="O187" s="4"/>
      <c r="P187" s="4"/>
      <c r="Q187" s="4"/>
      <c r="R187" s="4"/>
      <c r="S187" s="4"/>
      <c r="T187" s="4"/>
      <c r="U187" s="9">
        <f t="shared" si="423"/>
        <v>0</v>
      </c>
      <c r="V187" s="20"/>
      <c r="W187" s="22">
        <v>1078065</v>
      </c>
      <c r="X187" s="4">
        <v>2130000</v>
      </c>
      <c r="Y187" s="32"/>
      <c r="Z187" s="32"/>
      <c r="AA187" s="32"/>
      <c r="AB187" s="32">
        <v>300000</v>
      </c>
      <c r="AC187" s="9">
        <f t="shared" si="424"/>
        <v>3508065</v>
      </c>
      <c r="AD187" s="20"/>
      <c r="AE187" s="25">
        <v>1012650</v>
      </c>
      <c r="AF187" s="24">
        <v>477000</v>
      </c>
      <c r="AG187" s="24"/>
      <c r="AH187" s="20"/>
      <c r="AI187" s="20"/>
      <c r="AJ187" s="20">
        <v>270000</v>
      </c>
      <c r="AK187" s="21">
        <f t="shared" si="425"/>
        <v>1759650</v>
      </c>
      <c r="AL187" s="25">
        <v>0</v>
      </c>
      <c r="AM187" s="20"/>
      <c r="AN187" s="20"/>
      <c r="AO187" s="20"/>
      <c r="AP187" s="21">
        <f t="shared" si="426"/>
        <v>0</v>
      </c>
      <c r="AQ187" s="25"/>
      <c r="AR187" s="20"/>
      <c r="AS187" s="20"/>
      <c r="AT187" s="20"/>
      <c r="AU187" s="21">
        <f t="shared" si="427"/>
        <v>0</v>
      </c>
      <c r="AV187" s="25"/>
      <c r="AW187" s="25"/>
      <c r="AX187" s="25"/>
      <c r="AY187" s="25"/>
      <c r="AZ187" s="20"/>
      <c r="BA187" s="20"/>
      <c r="BB187" s="20"/>
      <c r="BC187" s="21">
        <f t="shared" si="428"/>
        <v>0</v>
      </c>
      <c r="BD187" s="4">
        <f t="shared" si="429"/>
        <v>0</v>
      </c>
      <c r="BE187" s="4">
        <f t="shared" si="430"/>
        <v>2832698</v>
      </c>
      <c r="BF187" s="4">
        <f t="shared" si="431"/>
        <v>3025000</v>
      </c>
      <c r="BG187" s="4">
        <f t="shared" si="432"/>
        <v>0</v>
      </c>
      <c r="BH187" s="94">
        <f t="shared" si="433"/>
        <v>0</v>
      </c>
      <c r="BI187" s="94">
        <f t="shared" si="434"/>
        <v>0</v>
      </c>
      <c r="BJ187" s="94">
        <f t="shared" si="435"/>
        <v>750000</v>
      </c>
      <c r="BK187" s="9">
        <f t="shared" si="436"/>
        <v>6607698</v>
      </c>
    </row>
    <row r="188" spans="1:63">
      <c r="A188" s="186"/>
      <c r="B188" s="8">
        <v>16</v>
      </c>
      <c r="C188" s="1" t="s">
        <v>334</v>
      </c>
      <c r="D188" s="4" t="s">
        <v>335</v>
      </c>
      <c r="E188" s="4" t="s">
        <v>24</v>
      </c>
      <c r="F188" s="4"/>
      <c r="G188" s="4">
        <v>155000</v>
      </c>
      <c r="H188" s="4"/>
      <c r="I188" s="4"/>
      <c r="J188" s="4"/>
      <c r="K188" s="4"/>
      <c r="L188" s="4"/>
      <c r="M188" s="9">
        <f t="shared" si="422"/>
        <v>155000</v>
      </c>
      <c r="N188" s="4"/>
      <c r="O188" s="4"/>
      <c r="P188" s="4"/>
      <c r="Q188" s="4"/>
      <c r="R188" s="4"/>
      <c r="S188" s="4"/>
      <c r="T188" s="4"/>
      <c r="U188" s="9">
        <f t="shared" si="423"/>
        <v>0</v>
      </c>
      <c r="V188" s="20"/>
      <c r="W188" s="20"/>
      <c r="X188" s="20"/>
      <c r="Y188" s="20"/>
      <c r="Z188" s="20"/>
      <c r="AA188" s="20"/>
      <c r="AB188" s="20"/>
      <c r="AC188" s="9">
        <f t="shared" si="424"/>
        <v>0</v>
      </c>
      <c r="AD188" s="20"/>
      <c r="AE188" s="25">
        <v>841750</v>
      </c>
      <c r="AF188" s="20"/>
      <c r="AG188" s="20"/>
      <c r="AH188" s="20"/>
      <c r="AI188" s="20"/>
      <c r="AJ188" s="20"/>
      <c r="AK188" s="21">
        <f t="shared" si="425"/>
        <v>841750</v>
      </c>
      <c r="AL188" s="25">
        <v>0</v>
      </c>
      <c r="AM188" s="20"/>
      <c r="AN188" s="20"/>
      <c r="AO188" s="20"/>
      <c r="AP188" s="21">
        <f t="shared" si="426"/>
        <v>0</v>
      </c>
      <c r="AQ188" s="25"/>
      <c r="AR188" s="20"/>
      <c r="AS188" s="20"/>
      <c r="AT188" s="20"/>
      <c r="AU188" s="21">
        <f t="shared" si="427"/>
        <v>0</v>
      </c>
      <c r="AV188" s="25"/>
      <c r="AW188" s="25">
        <v>100000</v>
      </c>
      <c r="AX188" s="25"/>
      <c r="AY188" s="25"/>
      <c r="AZ188" s="20"/>
      <c r="BA188" s="20"/>
      <c r="BB188" s="20"/>
      <c r="BC188" s="21">
        <f t="shared" si="428"/>
        <v>100000</v>
      </c>
      <c r="BD188" s="4">
        <f t="shared" si="429"/>
        <v>0</v>
      </c>
      <c r="BE188" s="4">
        <f t="shared" si="430"/>
        <v>1096750</v>
      </c>
      <c r="BF188" s="4">
        <f t="shared" si="431"/>
        <v>0</v>
      </c>
      <c r="BG188" s="4">
        <f t="shared" si="432"/>
        <v>0</v>
      </c>
      <c r="BH188" s="94">
        <f t="shared" si="433"/>
        <v>0</v>
      </c>
      <c r="BI188" s="94">
        <f t="shared" si="434"/>
        <v>0</v>
      </c>
      <c r="BJ188" s="94">
        <f t="shared" si="435"/>
        <v>0</v>
      </c>
      <c r="BK188" s="9">
        <f t="shared" si="436"/>
        <v>1096750</v>
      </c>
    </row>
    <row r="189" spans="1:63">
      <c r="A189" s="186"/>
      <c r="B189" s="8">
        <v>17</v>
      </c>
      <c r="C189" s="1" t="s">
        <v>336</v>
      </c>
      <c r="D189" s="4" t="s">
        <v>26</v>
      </c>
      <c r="E189" s="4" t="s">
        <v>24</v>
      </c>
      <c r="F189" s="4">
        <v>155000</v>
      </c>
      <c r="G189" s="4">
        <v>412000</v>
      </c>
      <c r="H189" s="4">
        <f>38500+209000</f>
        <v>247500</v>
      </c>
      <c r="I189" s="4"/>
      <c r="J189" s="4"/>
      <c r="K189" s="4"/>
      <c r="L189" s="4"/>
      <c r="M189" s="9">
        <f t="shared" si="422"/>
        <v>814500</v>
      </c>
      <c r="N189" s="4"/>
      <c r="O189" s="4"/>
      <c r="P189" s="4"/>
      <c r="Q189" s="4"/>
      <c r="R189" s="4"/>
      <c r="S189" s="4"/>
      <c r="T189" s="4"/>
      <c r="U189" s="9">
        <f t="shared" si="423"/>
        <v>0</v>
      </c>
      <c r="V189" s="20"/>
      <c r="W189" s="20"/>
      <c r="X189" s="20"/>
      <c r="Y189" s="20"/>
      <c r="Z189" s="20"/>
      <c r="AA189" s="20"/>
      <c r="AB189" s="20"/>
      <c r="AC189" s="9">
        <f t="shared" si="424"/>
        <v>0</v>
      </c>
      <c r="AD189" s="20">
        <v>195000</v>
      </c>
      <c r="AE189" s="25">
        <v>689400</v>
      </c>
      <c r="AF189" s="24">
        <v>235500</v>
      </c>
      <c r="AG189" s="25"/>
      <c r="AH189" s="20"/>
      <c r="AI189" s="20"/>
      <c r="AJ189" s="20"/>
      <c r="AK189" s="21">
        <f t="shared" si="425"/>
        <v>1119900</v>
      </c>
      <c r="AL189" s="25">
        <v>0</v>
      </c>
      <c r="AM189" s="20"/>
      <c r="AN189" s="20">
        <f>1288000+280500+140000</f>
        <v>1708500</v>
      </c>
      <c r="AO189" s="20">
        <v>1725000</v>
      </c>
      <c r="AP189" s="21">
        <f t="shared" si="426"/>
        <v>3433500</v>
      </c>
      <c r="AQ189" s="25"/>
      <c r="AR189" s="20"/>
      <c r="AS189" s="20"/>
      <c r="AT189" s="20"/>
      <c r="AU189" s="21">
        <f t="shared" si="427"/>
        <v>0</v>
      </c>
      <c r="AV189" s="25"/>
      <c r="AW189" s="25">
        <v>100000</v>
      </c>
      <c r="AX189" s="25">
        <v>432000</v>
      </c>
      <c r="AY189" s="25"/>
      <c r="AZ189" s="20"/>
      <c r="BA189" s="20"/>
      <c r="BB189" s="20"/>
      <c r="BC189" s="21">
        <f t="shared" si="428"/>
        <v>532000</v>
      </c>
      <c r="BD189" s="4">
        <f t="shared" si="429"/>
        <v>350000</v>
      </c>
      <c r="BE189" s="4">
        <f t="shared" si="430"/>
        <v>1201400</v>
      </c>
      <c r="BF189" s="4">
        <f t="shared" si="431"/>
        <v>915000</v>
      </c>
      <c r="BG189" s="4">
        <f t="shared" si="432"/>
        <v>0</v>
      </c>
      <c r="BH189" s="94">
        <f t="shared" si="433"/>
        <v>0</v>
      </c>
      <c r="BI189" s="94">
        <f t="shared" si="434"/>
        <v>1708500</v>
      </c>
      <c r="BJ189" s="94">
        <f t="shared" si="435"/>
        <v>1725000</v>
      </c>
      <c r="BK189" s="9">
        <f t="shared" si="436"/>
        <v>5899900</v>
      </c>
    </row>
    <row r="190" spans="1:63">
      <c r="A190" s="186"/>
      <c r="B190" s="8">
        <v>18</v>
      </c>
      <c r="C190" s="1" t="s">
        <v>337</v>
      </c>
      <c r="D190" s="5" t="s">
        <v>335</v>
      </c>
      <c r="E190" s="4" t="s">
        <v>24</v>
      </c>
      <c r="F190" s="4"/>
      <c r="G190" s="4"/>
      <c r="H190" s="4"/>
      <c r="I190" s="4"/>
      <c r="J190" s="4"/>
      <c r="K190" s="4"/>
      <c r="L190" s="4"/>
      <c r="M190" s="9">
        <f t="shared" si="422"/>
        <v>0</v>
      </c>
      <c r="N190" s="4"/>
      <c r="O190" s="4"/>
      <c r="P190" s="4"/>
      <c r="Q190" s="4"/>
      <c r="R190" s="4"/>
      <c r="S190" s="4"/>
      <c r="T190" s="4"/>
      <c r="U190" s="9">
        <f t="shared" si="423"/>
        <v>0</v>
      </c>
      <c r="V190" s="20"/>
      <c r="W190" s="20"/>
      <c r="X190" s="20"/>
      <c r="Y190" s="20"/>
      <c r="Z190" s="20"/>
      <c r="AA190" s="20"/>
      <c r="AB190" s="20"/>
      <c r="AC190" s="9">
        <f t="shared" si="424"/>
        <v>0</v>
      </c>
      <c r="AD190" s="20"/>
      <c r="AE190" s="25">
        <v>195000</v>
      </c>
      <c r="AF190" s="20"/>
      <c r="AG190" s="20"/>
      <c r="AH190" s="20"/>
      <c r="AI190" s="20"/>
      <c r="AJ190" s="20"/>
      <c r="AK190" s="21">
        <f t="shared" si="425"/>
        <v>195000</v>
      </c>
      <c r="AL190" s="25">
        <v>0</v>
      </c>
      <c r="AM190" s="20"/>
      <c r="AN190" s="20"/>
      <c r="AO190" s="20"/>
      <c r="AP190" s="21">
        <f t="shared" si="426"/>
        <v>0</v>
      </c>
      <c r="AQ190" s="25"/>
      <c r="AR190" s="20"/>
      <c r="AS190" s="20"/>
      <c r="AT190" s="20"/>
      <c r="AU190" s="21">
        <f t="shared" si="427"/>
        <v>0</v>
      </c>
      <c r="AV190" s="25"/>
      <c r="AW190" s="25"/>
      <c r="AX190" s="25"/>
      <c r="AY190" s="25"/>
      <c r="AZ190" s="20"/>
      <c r="BA190" s="20"/>
      <c r="BB190" s="20"/>
      <c r="BC190" s="21">
        <f t="shared" si="428"/>
        <v>0</v>
      </c>
      <c r="BD190" s="4">
        <f t="shared" si="429"/>
        <v>0</v>
      </c>
      <c r="BE190" s="4">
        <f t="shared" si="430"/>
        <v>195000</v>
      </c>
      <c r="BF190" s="4">
        <f t="shared" si="431"/>
        <v>0</v>
      </c>
      <c r="BG190" s="4">
        <f t="shared" si="432"/>
        <v>0</v>
      </c>
      <c r="BH190" s="94">
        <f t="shared" si="433"/>
        <v>0</v>
      </c>
      <c r="BI190" s="94">
        <f t="shared" si="434"/>
        <v>0</v>
      </c>
      <c r="BJ190" s="94">
        <f t="shared" si="435"/>
        <v>0</v>
      </c>
      <c r="BK190" s="9">
        <f t="shared" si="436"/>
        <v>195000</v>
      </c>
    </row>
    <row r="191" spans="1:63" ht="31.5">
      <c r="A191" s="186"/>
      <c r="B191" s="8">
        <v>19</v>
      </c>
      <c r="C191" s="1" t="s">
        <v>471</v>
      </c>
      <c r="D191" s="4" t="s">
        <v>26</v>
      </c>
      <c r="E191" s="4" t="s">
        <v>24</v>
      </c>
      <c r="F191" s="4">
        <v>155000</v>
      </c>
      <c r="G191" s="4">
        <v>343000</v>
      </c>
      <c r="H191" s="4">
        <f>77000+38500</f>
        <v>115500</v>
      </c>
      <c r="I191" s="4">
        <f>126000+14000</f>
        <v>140000</v>
      </c>
      <c r="J191" s="4"/>
      <c r="K191" s="4"/>
      <c r="L191" s="4"/>
      <c r="M191" s="9">
        <f t="shared" si="422"/>
        <v>753500</v>
      </c>
      <c r="N191" s="4"/>
      <c r="O191" s="4"/>
      <c r="P191" s="4"/>
      <c r="Q191" s="4"/>
      <c r="R191" s="4"/>
      <c r="S191" s="4"/>
      <c r="T191" s="4"/>
      <c r="U191" s="9">
        <f t="shared" si="423"/>
        <v>0</v>
      </c>
      <c r="V191" s="20"/>
      <c r="W191" s="20"/>
      <c r="X191" s="20"/>
      <c r="Y191" s="20"/>
      <c r="Z191" s="20"/>
      <c r="AA191" s="20"/>
      <c r="AB191" s="20"/>
      <c r="AC191" s="9">
        <f t="shared" si="424"/>
        <v>0</v>
      </c>
      <c r="AD191" s="20">
        <v>195000</v>
      </c>
      <c r="AE191" s="25">
        <v>835150</v>
      </c>
      <c r="AF191" s="24">
        <v>494400</v>
      </c>
      <c r="AG191" s="25">
        <v>150000</v>
      </c>
      <c r="AH191" s="20"/>
      <c r="AI191" s="20"/>
      <c r="AJ191" s="20"/>
      <c r="AK191" s="21">
        <f t="shared" si="425"/>
        <v>1674550</v>
      </c>
      <c r="AL191" s="25">
        <v>946000</v>
      </c>
      <c r="AM191" s="20">
        <f>101000+301500+200000+100500+300000+201000</f>
        <v>1204000</v>
      </c>
      <c r="AN191" s="20">
        <f>1359200+295600+147800</f>
        <v>1802600</v>
      </c>
      <c r="AO191" s="20">
        <v>1767000</v>
      </c>
      <c r="AP191" s="21">
        <f t="shared" si="426"/>
        <v>5719600</v>
      </c>
      <c r="AQ191" s="25"/>
      <c r="AR191" s="20"/>
      <c r="AS191" s="20"/>
      <c r="AT191" s="20"/>
      <c r="AU191" s="21">
        <f t="shared" si="427"/>
        <v>0</v>
      </c>
      <c r="AV191" s="25"/>
      <c r="AW191" s="25"/>
      <c r="AX191" s="25"/>
      <c r="AY191" s="25"/>
      <c r="AZ191" s="20"/>
      <c r="BA191" s="20"/>
      <c r="BB191" s="20"/>
      <c r="BC191" s="21">
        <f t="shared" si="428"/>
        <v>0</v>
      </c>
      <c r="BD191" s="4">
        <f t="shared" si="429"/>
        <v>350000</v>
      </c>
      <c r="BE191" s="4">
        <f t="shared" si="430"/>
        <v>1178150</v>
      </c>
      <c r="BF191" s="4">
        <f t="shared" si="431"/>
        <v>609900</v>
      </c>
      <c r="BG191" s="4">
        <f t="shared" si="432"/>
        <v>1236000</v>
      </c>
      <c r="BH191" s="94">
        <f t="shared" si="433"/>
        <v>1204000</v>
      </c>
      <c r="BI191" s="94">
        <f t="shared" si="434"/>
        <v>1802600</v>
      </c>
      <c r="BJ191" s="94">
        <f t="shared" si="435"/>
        <v>1767000</v>
      </c>
      <c r="BK191" s="9">
        <f t="shared" si="436"/>
        <v>8147650</v>
      </c>
    </row>
    <row r="192" spans="1:63">
      <c r="A192" s="186"/>
      <c r="B192" s="8">
        <v>20</v>
      </c>
      <c r="C192" s="1" t="s">
        <v>339</v>
      </c>
      <c r="D192" s="4" t="s">
        <v>335</v>
      </c>
      <c r="E192" s="4" t="s">
        <v>24</v>
      </c>
      <c r="F192" s="4"/>
      <c r="G192" s="4">
        <v>155000</v>
      </c>
      <c r="H192" s="4">
        <f>397500+88000</f>
        <v>485500</v>
      </c>
      <c r="I192" s="4">
        <v>420000</v>
      </c>
      <c r="J192" s="4">
        <f>210000+210000+210000+210000+140000</f>
        <v>980000</v>
      </c>
      <c r="K192" s="4">
        <f>1000000+220000+110000</f>
        <v>1330000</v>
      </c>
      <c r="L192" s="4">
        <v>1281500</v>
      </c>
      <c r="M192" s="9">
        <f t="shared" si="422"/>
        <v>4652000</v>
      </c>
      <c r="N192" s="4"/>
      <c r="O192" s="4"/>
      <c r="P192" s="4"/>
      <c r="Q192" s="4"/>
      <c r="R192" s="4"/>
      <c r="S192" s="4"/>
      <c r="T192" s="4"/>
      <c r="U192" s="9">
        <f t="shared" si="423"/>
        <v>0</v>
      </c>
      <c r="V192" s="20"/>
      <c r="W192" s="20"/>
      <c r="X192" s="20"/>
      <c r="Y192" s="20"/>
      <c r="Z192" s="20"/>
      <c r="AA192" s="20"/>
      <c r="AB192" s="20"/>
      <c r="AC192" s="9">
        <f t="shared" si="424"/>
        <v>0</v>
      </c>
      <c r="AD192" s="20"/>
      <c r="AE192" s="20"/>
      <c r="AF192" s="20"/>
      <c r="AG192" s="20"/>
      <c r="AH192" s="20"/>
      <c r="AI192" s="20"/>
      <c r="AJ192" s="20"/>
      <c r="AK192" s="21">
        <f t="shared" si="425"/>
        <v>0</v>
      </c>
      <c r="AL192" s="25">
        <v>0</v>
      </c>
      <c r="AM192" s="20"/>
      <c r="AN192" s="20"/>
      <c r="AO192" s="20"/>
      <c r="AP192" s="21">
        <f t="shared" si="426"/>
        <v>0</v>
      </c>
      <c r="AQ192" s="25"/>
      <c r="AR192" s="20"/>
      <c r="AS192" s="20"/>
      <c r="AT192" s="20"/>
      <c r="AU192" s="21">
        <f t="shared" si="427"/>
        <v>0</v>
      </c>
      <c r="AV192" s="25"/>
      <c r="AW192" s="25"/>
      <c r="AX192" s="25">
        <v>100000</v>
      </c>
      <c r="AY192" s="25">
        <v>150000</v>
      </c>
      <c r="AZ192" s="20"/>
      <c r="BA192" s="20"/>
      <c r="BB192" s="20"/>
      <c r="BC192" s="21">
        <f t="shared" si="428"/>
        <v>250000</v>
      </c>
      <c r="BD192" s="4">
        <f t="shared" si="429"/>
        <v>0</v>
      </c>
      <c r="BE192" s="4">
        <f t="shared" si="430"/>
        <v>155000</v>
      </c>
      <c r="BF192" s="4">
        <f t="shared" si="431"/>
        <v>585500</v>
      </c>
      <c r="BG192" s="4">
        <f t="shared" si="432"/>
        <v>570000</v>
      </c>
      <c r="BH192" s="94">
        <f t="shared" si="433"/>
        <v>980000</v>
      </c>
      <c r="BI192" s="94">
        <f t="shared" si="434"/>
        <v>1330000</v>
      </c>
      <c r="BJ192" s="94">
        <f t="shared" si="435"/>
        <v>1281500</v>
      </c>
      <c r="BK192" s="9">
        <f t="shared" si="436"/>
        <v>4902000</v>
      </c>
    </row>
    <row r="193" spans="1:63">
      <c r="A193" s="186"/>
      <c r="B193" s="8">
        <v>21</v>
      </c>
      <c r="C193" s="1" t="s">
        <v>340</v>
      </c>
      <c r="D193" s="4" t="s">
        <v>341</v>
      </c>
      <c r="E193" s="4" t="s">
        <v>24</v>
      </c>
      <c r="F193" s="4">
        <v>155000</v>
      </c>
      <c r="G193" s="4">
        <v>762000</v>
      </c>
      <c r="H193" s="4">
        <f>93500+187000+291500</f>
        <v>572000</v>
      </c>
      <c r="I193" s="4">
        <v>225500</v>
      </c>
      <c r="J193" s="4"/>
      <c r="K193" s="4"/>
      <c r="L193" s="4"/>
      <c r="M193" s="9">
        <f t="shared" si="422"/>
        <v>1714500</v>
      </c>
      <c r="N193" s="76"/>
      <c r="O193" s="76">
        <v>290000</v>
      </c>
      <c r="P193" s="76">
        <v>800000</v>
      </c>
      <c r="Q193" s="76">
        <v>925000</v>
      </c>
      <c r="R193" s="4">
        <f>225000+225000+225000+225000+150000</f>
        <v>1050000</v>
      </c>
      <c r="S193" s="4">
        <f>1565000+400000</f>
        <v>1965000</v>
      </c>
      <c r="T193" s="4">
        <f>1000000+400000+200000+200000+400000+200000+200000</f>
        <v>2600000</v>
      </c>
      <c r="U193" s="9">
        <f t="shared" si="423"/>
        <v>7630000</v>
      </c>
      <c r="V193" s="20"/>
      <c r="W193" s="20"/>
      <c r="X193" s="20"/>
      <c r="Y193" s="20"/>
      <c r="Z193" s="20"/>
      <c r="AA193" s="20"/>
      <c r="AB193" s="20"/>
      <c r="AC193" s="9">
        <f t="shared" si="424"/>
        <v>0</v>
      </c>
      <c r="AD193" s="20">
        <v>195000</v>
      </c>
      <c r="AE193" s="25">
        <v>953000</v>
      </c>
      <c r="AF193" s="24">
        <v>722650</v>
      </c>
      <c r="AG193" s="25">
        <v>270000</v>
      </c>
      <c r="AH193" s="20"/>
      <c r="AI193" s="20"/>
      <c r="AJ193" s="20"/>
      <c r="AK193" s="21">
        <f t="shared" si="425"/>
        <v>2140650</v>
      </c>
      <c r="AL193" s="25">
        <v>0</v>
      </c>
      <c r="AM193" s="20"/>
      <c r="AN193" s="20"/>
      <c r="AO193" s="20"/>
      <c r="AP193" s="21">
        <f t="shared" si="426"/>
        <v>0</v>
      </c>
      <c r="AQ193" s="25"/>
      <c r="AR193" s="20"/>
      <c r="AS193" s="20"/>
      <c r="AT193" s="20"/>
      <c r="AU193" s="21">
        <f t="shared" si="427"/>
        <v>0</v>
      </c>
      <c r="AV193" s="25"/>
      <c r="AW193" s="25"/>
      <c r="AX193" s="25"/>
      <c r="AY193" s="25"/>
      <c r="AZ193" s="20"/>
      <c r="BA193" s="20"/>
      <c r="BB193" s="20"/>
      <c r="BC193" s="21">
        <f t="shared" si="428"/>
        <v>0</v>
      </c>
      <c r="BD193" s="4">
        <f t="shared" si="429"/>
        <v>350000</v>
      </c>
      <c r="BE193" s="4">
        <f t="shared" si="430"/>
        <v>2005000</v>
      </c>
      <c r="BF193" s="4">
        <f t="shared" si="431"/>
        <v>2094650</v>
      </c>
      <c r="BG193" s="4">
        <f t="shared" si="432"/>
        <v>1420500</v>
      </c>
      <c r="BH193" s="94">
        <f t="shared" si="433"/>
        <v>1050000</v>
      </c>
      <c r="BI193" s="94">
        <f t="shared" si="434"/>
        <v>1965000</v>
      </c>
      <c r="BJ193" s="94">
        <f t="shared" si="435"/>
        <v>2600000</v>
      </c>
      <c r="BK193" s="9">
        <f t="shared" si="436"/>
        <v>11485150</v>
      </c>
    </row>
    <row r="194" spans="1:63" ht="31.5">
      <c r="A194" s="186"/>
      <c r="B194" s="8">
        <v>22</v>
      </c>
      <c r="C194" s="1" t="s">
        <v>342</v>
      </c>
      <c r="D194" s="4" t="s">
        <v>343</v>
      </c>
      <c r="E194" s="4" t="s">
        <v>24</v>
      </c>
      <c r="F194" s="4"/>
      <c r="G194" s="4">
        <v>155000</v>
      </c>
      <c r="H194" s="4">
        <f>341000+214500</f>
        <v>555500</v>
      </c>
      <c r="I194" s="4">
        <v>180000</v>
      </c>
      <c r="J194" s="4"/>
      <c r="K194" s="4"/>
      <c r="L194" s="4"/>
      <c r="M194" s="9">
        <f t="shared" si="422"/>
        <v>890500</v>
      </c>
      <c r="N194" s="76"/>
      <c r="O194" s="76">
        <v>1140000</v>
      </c>
      <c r="P194" s="76">
        <v>670000</v>
      </c>
      <c r="Q194" s="76">
        <v>975000</v>
      </c>
      <c r="R194" s="4">
        <f>225000+225000+225000+225000+150000</f>
        <v>1050000</v>
      </c>
      <c r="S194" s="4">
        <v>2145000</v>
      </c>
      <c r="T194" s="4">
        <f>600000+800000+600000+200000+200000</f>
        <v>2400000</v>
      </c>
      <c r="U194" s="9">
        <f t="shared" si="423"/>
        <v>8380000</v>
      </c>
      <c r="V194" s="20"/>
      <c r="W194" s="20"/>
      <c r="X194" s="20"/>
      <c r="Y194" s="20"/>
      <c r="Z194" s="20"/>
      <c r="AA194" s="20"/>
      <c r="AB194" s="20"/>
      <c r="AC194" s="9">
        <f t="shared" si="424"/>
        <v>0</v>
      </c>
      <c r="AD194" s="20"/>
      <c r="AE194" s="20"/>
      <c r="AF194" s="20"/>
      <c r="AG194" s="20"/>
      <c r="AH194" s="20"/>
      <c r="AI194" s="20"/>
      <c r="AJ194" s="20"/>
      <c r="AK194" s="21">
        <f t="shared" si="425"/>
        <v>0</v>
      </c>
      <c r="AL194" s="25">
        <v>0</v>
      </c>
      <c r="AM194" s="20"/>
      <c r="AN194" s="20"/>
      <c r="AO194" s="20"/>
      <c r="AP194" s="21">
        <f t="shared" si="426"/>
        <v>0</v>
      </c>
      <c r="AQ194" s="25"/>
      <c r="AR194" s="20"/>
      <c r="AS194" s="20"/>
      <c r="AT194" s="20"/>
      <c r="AU194" s="21">
        <f t="shared" si="427"/>
        <v>0</v>
      </c>
      <c r="AV194" s="25"/>
      <c r="AW194" s="25"/>
      <c r="AX194" s="25"/>
      <c r="AY194" s="25"/>
      <c r="AZ194" s="20"/>
      <c r="BA194" s="20"/>
      <c r="BB194" s="20"/>
      <c r="BC194" s="21">
        <f t="shared" si="428"/>
        <v>0</v>
      </c>
      <c r="BD194" s="4">
        <f t="shared" si="429"/>
        <v>0</v>
      </c>
      <c r="BE194" s="4">
        <f t="shared" si="430"/>
        <v>1295000</v>
      </c>
      <c r="BF194" s="4">
        <f t="shared" si="431"/>
        <v>1225500</v>
      </c>
      <c r="BG194" s="4">
        <f t="shared" si="432"/>
        <v>1155000</v>
      </c>
      <c r="BH194" s="94">
        <f t="shared" si="433"/>
        <v>1050000</v>
      </c>
      <c r="BI194" s="94">
        <f t="shared" si="434"/>
        <v>2145000</v>
      </c>
      <c r="BJ194" s="94">
        <f t="shared" si="435"/>
        <v>2400000</v>
      </c>
      <c r="BK194" s="9">
        <f t="shared" si="436"/>
        <v>9270500</v>
      </c>
    </row>
    <row r="195" spans="1:63" ht="47.25">
      <c r="A195" s="186"/>
      <c r="B195" s="8">
        <v>23</v>
      </c>
      <c r="C195" s="1" t="s">
        <v>344</v>
      </c>
      <c r="D195" s="4" t="s">
        <v>345</v>
      </c>
      <c r="E195" s="4" t="s">
        <v>24</v>
      </c>
      <c r="F195" s="4"/>
      <c r="G195" s="4"/>
      <c r="H195" s="4">
        <v>155000</v>
      </c>
      <c r="I195" s="4"/>
      <c r="J195" s="4"/>
      <c r="K195" s="4"/>
      <c r="L195" s="4"/>
      <c r="M195" s="9">
        <f t="shared" si="422"/>
        <v>155000</v>
      </c>
      <c r="N195" s="4"/>
      <c r="O195" s="4"/>
      <c r="P195" s="4"/>
      <c r="Q195" s="4"/>
      <c r="R195" s="4"/>
      <c r="S195" s="4"/>
      <c r="T195" s="4"/>
      <c r="U195" s="9">
        <f t="shared" si="423"/>
        <v>0</v>
      </c>
      <c r="V195" s="20"/>
      <c r="W195" s="20"/>
      <c r="X195" s="20"/>
      <c r="Y195" s="20"/>
      <c r="Z195" s="20"/>
      <c r="AA195" s="20"/>
      <c r="AB195" s="20"/>
      <c r="AC195" s="9">
        <f t="shared" si="424"/>
        <v>0</v>
      </c>
      <c r="AD195" s="20"/>
      <c r="AE195" s="20">
        <v>195000</v>
      </c>
      <c r="AF195" s="20"/>
      <c r="AG195" s="20"/>
      <c r="AH195" s="20"/>
      <c r="AI195" s="20"/>
      <c r="AJ195" s="20">
        <v>310400</v>
      </c>
      <c r="AK195" s="21">
        <f t="shared" si="425"/>
        <v>505400</v>
      </c>
      <c r="AL195" s="25">
        <v>0</v>
      </c>
      <c r="AM195" s="20"/>
      <c r="AN195" s="20"/>
      <c r="AO195" s="20"/>
      <c r="AP195" s="21">
        <f t="shared" si="426"/>
        <v>0</v>
      </c>
      <c r="AQ195" s="25"/>
      <c r="AR195" s="20"/>
      <c r="AS195" s="20"/>
      <c r="AT195" s="20"/>
      <c r="AU195" s="21">
        <f t="shared" si="427"/>
        <v>0</v>
      </c>
      <c r="AV195" s="25"/>
      <c r="AW195" s="25"/>
      <c r="AX195" s="25"/>
      <c r="AY195" s="25"/>
      <c r="AZ195" s="20"/>
      <c r="BA195" s="20"/>
      <c r="BB195" s="20"/>
      <c r="BC195" s="21">
        <f t="shared" si="428"/>
        <v>0</v>
      </c>
      <c r="BD195" s="4">
        <f t="shared" si="429"/>
        <v>0</v>
      </c>
      <c r="BE195" s="4">
        <f t="shared" si="430"/>
        <v>195000</v>
      </c>
      <c r="BF195" s="4">
        <f t="shared" si="431"/>
        <v>155000</v>
      </c>
      <c r="BG195" s="4">
        <f t="shared" si="432"/>
        <v>0</v>
      </c>
      <c r="BH195" s="94">
        <f t="shared" si="433"/>
        <v>0</v>
      </c>
      <c r="BI195" s="94">
        <f t="shared" si="434"/>
        <v>0</v>
      </c>
      <c r="BJ195" s="94">
        <f t="shared" si="435"/>
        <v>310400</v>
      </c>
      <c r="BK195" s="9">
        <f t="shared" si="436"/>
        <v>660400</v>
      </c>
    </row>
    <row r="196" spans="1:63">
      <c r="A196" s="186"/>
      <c r="B196" s="8">
        <v>24</v>
      </c>
      <c r="C196" s="1" t="s">
        <v>346</v>
      </c>
      <c r="D196" s="4" t="s">
        <v>347</v>
      </c>
      <c r="E196" s="4" t="s">
        <v>24</v>
      </c>
      <c r="F196" s="4">
        <v>155000</v>
      </c>
      <c r="G196" s="4">
        <v>927000</v>
      </c>
      <c r="H196" s="4">
        <f>209000+313500</f>
        <v>522500</v>
      </c>
      <c r="I196" s="4">
        <f>160000+20000</f>
        <v>180000</v>
      </c>
      <c r="J196" s="4"/>
      <c r="K196" s="4"/>
      <c r="L196" s="4"/>
      <c r="M196" s="9">
        <f t="shared" si="422"/>
        <v>1784500</v>
      </c>
      <c r="N196" s="76"/>
      <c r="O196" s="76">
        <v>1340000</v>
      </c>
      <c r="P196" s="76">
        <v>980000</v>
      </c>
      <c r="Q196" s="76">
        <v>250000</v>
      </c>
      <c r="R196" s="4"/>
      <c r="S196" s="4"/>
      <c r="T196" s="4"/>
      <c r="U196" s="9">
        <f t="shared" si="423"/>
        <v>2570000</v>
      </c>
      <c r="V196" s="20">
        <v>290000</v>
      </c>
      <c r="W196" s="22">
        <v>1323000</v>
      </c>
      <c r="X196" s="4">
        <v>741000</v>
      </c>
      <c r="Y196" s="32">
        <v>300000</v>
      </c>
      <c r="Z196" s="32"/>
      <c r="AA196" s="32"/>
      <c r="AB196" s="32"/>
      <c r="AC196" s="9">
        <f t="shared" si="424"/>
        <v>2654000</v>
      </c>
      <c r="AD196" s="20"/>
      <c r="AE196" s="20">
        <v>195000</v>
      </c>
      <c r="AF196" s="24">
        <v>297250</v>
      </c>
      <c r="AG196" s="25">
        <v>142000</v>
      </c>
      <c r="AH196" s="20"/>
      <c r="AI196" s="20"/>
      <c r="AJ196" s="20"/>
      <c r="AK196" s="21">
        <f t="shared" si="425"/>
        <v>634250</v>
      </c>
      <c r="AL196" s="25">
        <v>0</v>
      </c>
      <c r="AM196" s="20"/>
      <c r="AN196" s="20"/>
      <c r="AO196" s="20"/>
      <c r="AP196" s="21">
        <f t="shared" si="426"/>
        <v>0</v>
      </c>
      <c r="AQ196" s="24">
        <v>890000</v>
      </c>
      <c r="AR196" s="20">
        <f>300000+300000+280000+285000+190000</f>
        <v>1355000</v>
      </c>
      <c r="AS196" s="20">
        <f>1633500+612000</f>
        <v>2245500</v>
      </c>
      <c r="AT196" s="20">
        <f>204000+612000+408000+204000+204000+416500+212500</f>
        <v>2261000</v>
      </c>
      <c r="AU196" s="21">
        <f t="shared" si="427"/>
        <v>6751500</v>
      </c>
      <c r="AV196" s="25"/>
      <c r="AW196" s="25">
        <v>100000</v>
      </c>
      <c r="AX196" s="25">
        <v>220800</v>
      </c>
      <c r="AY196" s="25"/>
      <c r="AZ196" s="20"/>
      <c r="BA196" s="20"/>
      <c r="BB196" s="20"/>
      <c r="BC196" s="21">
        <f t="shared" si="428"/>
        <v>320800</v>
      </c>
      <c r="BD196" s="4">
        <f t="shared" si="429"/>
        <v>445000</v>
      </c>
      <c r="BE196" s="4">
        <f t="shared" si="430"/>
        <v>3885000</v>
      </c>
      <c r="BF196" s="4">
        <f t="shared" si="431"/>
        <v>2761550</v>
      </c>
      <c r="BG196" s="4">
        <f t="shared" si="432"/>
        <v>1762000</v>
      </c>
      <c r="BH196" s="94">
        <f t="shared" si="433"/>
        <v>1355000</v>
      </c>
      <c r="BI196" s="94">
        <f t="shared" si="434"/>
        <v>2245500</v>
      </c>
      <c r="BJ196" s="94">
        <f t="shared" si="435"/>
        <v>2261000</v>
      </c>
      <c r="BK196" s="9">
        <f t="shared" si="436"/>
        <v>14715050</v>
      </c>
    </row>
    <row r="197" spans="1:63">
      <c r="A197" s="186"/>
      <c r="B197" s="8">
        <v>25</v>
      </c>
      <c r="C197" s="1" t="s">
        <v>348</v>
      </c>
      <c r="D197" s="5" t="s">
        <v>422</v>
      </c>
      <c r="E197" s="4" t="s">
        <v>24</v>
      </c>
      <c r="F197" s="4"/>
      <c r="G197" s="4"/>
      <c r="H197" s="4"/>
      <c r="I197" s="4"/>
      <c r="J197" s="4"/>
      <c r="K197" s="4"/>
      <c r="L197" s="4"/>
      <c r="M197" s="9">
        <f t="shared" si="422"/>
        <v>0</v>
      </c>
      <c r="N197" s="4"/>
      <c r="O197" s="4"/>
      <c r="P197" s="4"/>
      <c r="Q197" s="4"/>
      <c r="R197" s="4"/>
      <c r="S197" s="4"/>
      <c r="T197" s="4"/>
      <c r="U197" s="9">
        <f t="shared" si="423"/>
        <v>0</v>
      </c>
      <c r="V197" s="20"/>
      <c r="W197" s="20"/>
      <c r="X197" s="20"/>
      <c r="Y197" s="20"/>
      <c r="Z197" s="20"/>
      <c r="AA197" s="20"/>
      <c r="AB197" s="20"/>
      <c r="AC197" s="9">
        <f t="shared" si="424"/>
        <v>0</v>
      </c>
      <c r="AD197" s="20"/>
      <c r="AE197" s="20">
        <v>195000</v>
      </c>
      <c r="AF197" s="24"/>
      <c r="AG197" s="25"/>
      <c r="AH197" s="20"/>
      <c r="AI197" s="20">
        <f>638500+76800</f>
        <v>715300</v>
      </c>
      <c r="AJ197" s="20"/>
      <c r="AK197" s="21">
        <f t="shared" si="425"/>
        <v>910300</v>
      </c>
      <c r="AL197" s="25">
        <v>0</v>
      </c>
      <c r="AM197" s="20"/>
      <c r="AN197" s="20"/>
      <c r="AO197" s="20"/>
      <c r="AP197" s="21">
        <f t="shared" si="426"/>
        <v>0</v>
      </c>
      <c r="AQ197" s="25"/>
      <c r="AR197" s="20"/>
      <c r="AS197" s="20"/>
      <c r="AT197" s="20"/>
      <c r="AU197" s="21">
        <f t="shared" si="427"/>
        <v>0</v>
      </c>
      <c r="AV197" s="25"/>
      <c r="AW197" s="25"/>
      <c r="AX197" s="25"/>
      <c r="AY197" s="25"/>
      <c r="AZ197" s="20"/>
      <c r="BA197" s="20"/>
      <c r="BB197" s="20"/>
      <c r="BC197" s="21">
        <f t="shared" si="428"/>
        <v>0</v>
      </c>
      <c r="BD197" s="4">
        <f t="shared" si="429"/>
        <v>0</v>
      </c>
      <c r="BE197" s="4">
        <f t="shared" si="430"/>
        <v>195000</v>
      </c>
      <c r="BF197" s="4">
        <f t="shared" si="431"/>
        <v>0</v>
      </c>
      <c r="BG197" s="4">
        <f t="shared" si="432"/>
        <v>0</v>
      </c>
      <c r="BH197" s="94">
        <f t="shared" si="433"/>
        <v>0</v>
      </c>
      <c r="BI197" s="94">
        <f t="shared" si="434"/>
        <v>715300</v>
      </c>
      <c r="BJ197" s="94">
        <f t="shared" si="435"/>
        <v>0</v>
      </c>
      <c r="BK197" s="9">
        <f t="shared" si="436"/>
        <v>910300</v>
      </c>
    </row>
    <row r="198" spans="1:63">
      <c r="A198" s="186"/>
      <c r="B198" s="8">
        <v>26</v>
      </c>
      <c r="C198" s="63" t="s">
        <v>349</v>
      </c>
      <c r="D198" s="5" t="s">
        <v>423</v>
      </c>
      <c r="E198" s="4" t="s">
        <v>24</v>
      </c>
      <c r="F198" s="4"/>
      <c r="G198" s="4"/>
      <c r="H198" s="4"/>
      <c r="I198" s="4"/>
      <c r="J198" s="4"/>
      <c r="K198" s="4"/>
      <c r="L198" s="4"/>
      <c r="M198" s="9">
        <f t="shared" si="422"/>
        <v>0</v>
      </c>
      <c r="N198" s="4"/>
      <c r="O198" s="4"/>
      <c r="P198" s="4"/>
      <c r="Q198" s="4"/>
      <c r="R198" s="4"/>
      <c r="S198" s="4"/>
      <c r="T198" s="4"/>
      <c r="U198" s="9">
        <f t="shared" si="423"/>
        <v>0</v>
      </c>
      <c r="V198" s="20"/>
      <c r="W198" s="20"/>
      <c r="X198" s="20"/>
      <c r="Y198" s="20"/>
      <c r="Z198" s="20"/>
      <c r="AA198" s="20"/>
      <c r="AB198" s="20"/>
      <c r="AC198" s="9">
        <f t="shared" si="424"/>
        <v>0</v>
      </c>
      <c r="AD198" s="20"/>
      <c r="AE198" s="20">
        <v>258750</v>
      </c>
      <c r="AF198" s="24">
        <v>359000</v>
      </c>
      <c r="AG198" s="25">
        <v>876000</v>
      </c>
      <c r="AH198" s="20">
        <v>742000</v>
      </c>
      <c r="AI198" s="20"/>
      <c r="AJ198" s="20">
        <v>1732550</v>
      </c>
      <c r="AK198" s="21">
        <f t="shared" si="425"/>
        <v>3968300</v>
      </c>
      <c r="AL198" s="25">
        <v>0</v>
      </c>
      <c r="AM198" s="20"/>
      <c r="AN198" s="20"/>
      <c r="AO198" s="20"/>
      <c r="AP198" s="21">
        <f t="shared" si="426"/>
        <v>0</v>
      </c>
      <c r="AQ198" s="25"/>
      <c r="AR198" s="20"/>
      <c r="AS198" s="20"/>
      <c r="AT198" s="20"/>
      <c r="AU198" s="21">
        <f t="shared" si="427"/>
        <v>0</v>
      </c>
      <c r="AV198" s="25"/>
      <c r="AW198" s="25"/>
      <c r="AX198" s="25"/>
      <c r="AY198" s="25"/>
      <c r="AZ198" s="20"/>
      <c r="BA198" s="20"/>
      <c r="BB198" s="20"/>
      <c r="BC198" s="21">
        <f t="shared" si="428"/>
        <v>0</v>
      </c>
      <c r="BD198" s="4">
        <f t="shared" si="429"/>
        <v>0</v>
      </c>
      <c r="BE198" s="4">
        <f t="shared" si="430"/>
        <v>258750</v>
      </c>
      <c r="BF198" s="4">
        <f t="shared" si="431"/>
        <v>359000</v>
      </c>
      <c r="BG198" s="4">
        <f t="shared" si="432"/>
        <v>876000</v>
      </c>
      <c r="BH198" s="94">
        <f t="shared" si="433"/>
        <v>742000</v>
      </c>
      <c r="BI198" s="94">
        <f t="shared" si="434"/>
        <v>0</v>
      </c>
      <c r="BJ198" s="94">
        <f t="shared" si="435"/>
        <v>1732550</v>
      </c>
      <c r="BK198" s="9">
        <f t="shared" si="436"/>
        <v>3968300</v>
      </c>
    </row>
    <row r="199" spans="1:63">
      <c r="A199" s="186"/>
      <c r="B199" s="8">
        <v>27</v>
      </c>
      <c r="C199" s="2" t="s">
        <v>350</v>
      </c>
      <c r="D199" s="4" t="s">
        <v>347</v>
      </c>
      <c r="E199" s="4" t="s">
        <v>24</v>
      </c>
      <c r="F199" s="4"/>
      <c r="G199" s="4"/>
      <c r="H199" s="4"/>
      <c r="I199" s="4"/>
      <c r="J199" s="4"/>
      <c r="K199" s="4"/>
      <c r="L199" s="4"/>
      <c r="M199" s="9">
        <f t="shared" si="422"/>
        <v>0</v>
      </c>
      <c r="N199" s="4"/>
      <c r="O199" s="4"/>
      <c r="P199" s="4"/>
      <c r="Q199" s="4"/>
      <c r="R199" s="4"/>
      <c r="S199" s="4"/>
      <c r="T199" s="4"/>
      <c r="U199" s="9">
        <f t="shared" si="423"/>
        <v>0</v>
      </c>
      <c r="V199" s="20"/>
      <c r="W199" s="20"/>
      <c r="X199" s="20"/>
      <c r="Y199" s="20"/>
      <c r="Z199" s="20"/>
      <c r="AA199" s="20"/>
      <c r="AB199" s="20"/>
      <c r="AC199" s="9">
        <f t="shared" si="424"/>
        <v>0</v>
      </c>
      <c r="AD199" s="20"/>
      <c r="AE199" s="20"/>
      <c r="AF199" s="24"/>
      <c r="AG199" s="25"/>
      <c r="AH199" s="20"/>
      <c r="AI199" s="20"/>
      <c r="AJ199" s="20"/>
      <c r="AK199" s="21">
        <f t="shared" si="425"/>
        <v>0</v>
      </c>
      <c r="AL199" s="25">
        <v>0</v>
      </c>
      <c r="AM199" s="20"/>
      <c r="AN199" s="20"/>
      <c r="AO199" s="20"/>
      <c r="AP199" s="21">
        <f t="shared" si="426"/>
        <v>0</v>
      </c>
      <c r="AQ199" s="25"/>
      <c r="AR199" s="20"/>
      <c r="AS199" s="20"/>
      <c r="AT199" s="20"/>
      <c r="AU199" s="21">
        <f t="shared" si="427"/>
        <v>0</v>
      </c>
      <c r="AV199" s="25"/>
      <c r="AW199" s="25">
        <v>100000</v>
      </c>
      <c r="AX199" s="25">
        <v>540000</v>
      </c>
      <c r="AY199" s="25"/>
      <c r="AZ199" s="20"/>
      <c r="BA199" s="20"/>
      <c r="BB199" s="20"/>
      <c r="BC199" s="21">
        <f t="shared" si="428"/>
        <v>640000</v>
      </c>
      <c r="BD199" s="4">
        <f t="shared" si="429"/>
        <v>0</v>
      </c>
      <c r="BE199" s="4">
        <f t="shared" si="430"/>
        <v>100000</v>
      </c>
      <c r="BF199" s="4">
        <f t="shared" si="431"/>
        <v>540000</v>
      </c>
      <c r="BG199" s="4">
        <f t="shared" si="432"/>
        <v>0</v>
      </c>
      <c r="BH199" s="94">
        <f t="shared" si="433"/>
        <v>0</v>
      </c>
      <c r="BI199" s="94">
        <f t="shared" si="434"/>
        <v>0</v>
      </c>
      <c r="BJ199" s="94">
        <f t="shared" si="435"/>
        <v>0</v>
      </c>
      <c r="BK199" s="9">
        <f t="shared" si="436"/>
        <v>640000</v>
      </c>
    </row>
    <row r="200" spans="1:63" ht="31.5">
      <c r="A200" s="186"/>
      <c r="B200" s="8">
        <v>28</v>
      </c>
      <c r="C200" s="1" t="s">
        <v>351</v>
      </c>
      <c r="D200" s="5" t="s">
        <v>424</v>
      </c>
      <c r="E200" s="4" t="s">
        <v>24</v>
      </c>
      <c r="F200" s="4"/>
      <c r="G200" s="4"/>
      <c r="H200" s="4"/>
      <c r="I200" s="4"/>
      <c r="J200" s="4"/>
      <c r="K200" s="4"/>
      <c r="L200" s="4"/>
      <c r="M200" s="9">
        <f t="shared" si="422"/>
        <v>0</v>
      </c>
      <c r="N200" s="4"/>
      <c r="O200" s="4"/>
      <c r="P200" s="4"/>
      <c r="Q200" s="4"/>
      <c r="R200" s="4"/>
      <c r="S200" s="4"/>
      <c r="T200" s="4"/>
      <c r="U200" s="9">
        <f t="shared" si="423"/>
        <v>0</v>
      </c>
      <c r="V200" s="20"/>
      <c r="W200" s="20"/>
      <c r="X200" s="20"/>
      <c r="Y200" s="20"/>
      <c r="Z200" s="20"/>
      <c r="AA200" s="20"/>
      <c r="AB200" s="20"/>
      <c r="AC200" s="9">
        <f t="shared" si="424"/>
        <v>0</v>
      </c>
      <c r="AD200" s="20"/>
      <c r="AE200" s="20"/>
      <c r="AF200" s="24">
        <v>195000</v>
      </c>
      <c r="AG200" s="25">
        <v>959500</v>
      </c>
      <c r="AH200" s="20">
        <f>140000+210000+171500+210000+140000</f>
        <v>871500</v>
      </c>
      <c r="AI200" s="20">
        <f>1087600+267000+133500</f>
        <v>1488100</v>
      </c>
      <c r="AJ200" s="20">
        <v>1682150</v>
      </c>
      <c r="AK200" s="21">
        <f t="shared" si="425"/>
        <v>5196250</v>
      </c>
      <c r="AL200" s="25">
        <v>0</v>
      </c>
      <c r="AM200" s="20"/>
      <c r="AN200" s="20"/>
      <c r="AO200" s="20"/>
      <c r="AP200" s="21">
        <f t="shared" si="426"/>
        <v>0</v>
      </c>
      <c r="AQ200" s="25"/>
      <c r="AR200" s="20"/>
      <c r="AS200" s="20"/>
      <c r="AT200" s="20"/>
      <c r="AU200" s="21">
        <f t="shared" si="427"/>
        <v>0</v>
      </c>
      <c r="AV200" s="25"/>
      <c r="AW200" s="25"/>
      <c r="AX200" s="25"/>
      <c r="AY200" s="25"/>
      <c r="AZ200" s="20"/>
      <c r="BA200" s="20"/>
      <c r="BB200" s="20"/>
      <c r="BC200" s="21">
        <f t="shared" si="428"/>
        <v>0</v>
      </c>
      <c r="BD200" s="4">
        <f t="shared" si="429"/>
        <v>0</v>
      </c>
      <c r="BE200" s="4">
        <f t="shared" si="430"/>
        <v>0</v>
      </c>
      <c r="BF200" s="4">
        <f t="shared" si="431"/>
        <v>195000</v>
      </c>
      <c r="BG200" s="4">
        <f t="shared" si="432"/>
        <v>959500</v>
      </c>
      <c r="BH200" s="94">
        <f t="shared" si="433"/>
        <v>871500</v>
      </c>
      <c r="BI200" s="94">
        <f t="shared" si="434"/>
        <v>1488100</v>
      </c>
      <c r="BJ200" s="94">
        <f t="shared" si="435"/>
        <v>1682150</v>
      </c>
      <c r="BK200" s="9">
        <f t="shared" si="436"/>
        <v>5196250</v>
      </c>
    </row>
    <row r="201" spans="1:63" ht="31.5">
      <c r="A201" s="186"/>
      <c r="B201" s="8">
        <v>29</v>
      </c>
      <c r="C201" s="1" t="s">
        <v>352</v>
      </c>
      <c r="D201" s="4" t="s">
        <v>309</v>
      </c>
      <c r="E201" s="4" t="s">
        <v>24</v>
      </c>
      <c r="F201" s="4"/>
      <c r="G201" s="4"/>
      <c r="H201" s="4">
        <v>155000</v>
      </c>
      <c r="I201" s="4"/>
      <c r="J201" s="4"/>
      <c r="K201" s="4"/>
      <c r="L201" s="4"/>
      <c r="M201" s="9">
        <f t="shared" si="422"/>
        <v>155000</v>
      </c>
      <c r="N201" s="4"/>
      <c r="O201" s="4"/>
      <c r="P201" s="4"/>
      <c r="Q201" s="4"/>
      <c r="R201" s="4"/>
      <c r="S201" s="4"/>
      <c r="T201" s="4"/>
      <c r="U201" s="9">
        <f t="shared" si="423"/>
        <v>0</v>
      </c>
      <c r="V201" s="20"/>
      <c r="W201" s="20"/>
      <c r="X201" s="20"/>
      <c r="Y201" s="20"/>
      <c r="Z201" s="20"/>
      <c r="AA201" s="20"/>
      <c r="AB201" s="20"/>
      <c r="AC201" s="9">
        <f t="shared" si="424"/>
        <v>0</v>
      </c>
      <c r="AD201" s="20"/>
      <c r="AE201" s="20"/>
      <c r="AF201" s="20">
        <v>195000</v>
      </c>
      <c r="AG201" s="20"/>
      <c r="AH201" s="20"/>
      <c r="AI201" s="20"/>
      <c r="AJ201" s="20"/>
      <c r="AK201" s="21">
        <f t="shared" si="425"/>
        <v>195000</v>
      </c>
      <c r="AL201" s="25">
        <v>0</v>
      </c>
      <c r="AM201" s="20"/>
      <c r="AN201" s="20"/>
      <c r="AO201" s="20"/>
      <c r="AP201" s="21">
        <f t="shared" si="426"/>
        <v>0</v>
      </c>
      <c r="AQ201" s="25"/>
      <c r="AR201" s="20"/>
      <c r="AS201" s="20"/>
      <c r="AT201" s="20"/>
      <c r="AU201" s="21">
        <f t="shared" si="427"/>
        <v>0</v>
      </c>
      <c r="AV201" s="25"/>
      <c r="AW201" s="25"/>
      <c r="AX201" s="25">
        <v>100000</v>
      </c>
      <c r="AY201" s="25"/>
      <c r="AZ201" s="20"/>
      <c r="BA201" s="20"/>
      <c r="BB201" s="20">
        <v>266800</v>
      </c>
      <c r="BC201" s="21">
        <f t="shared" si="428"/>
        <v>366800</v>
      </c>
      <c r="BD201" s="4">
        <f t="shared" si="429"/>
        <v>0</v>
      </c>
      <c r="BE201" s="4">
        <f t="shared" si="430"/>
        <v>0</v>
      </c>
      <c r="BF201" s="4">
        <f t="shared" si="431"/>
        <v>450000</v>
      </c>
      <c r="BG201" s="4">
        <f t="shared" si="432"/>
        <v>0</v>
      </c>
      <c r="BH201" s="94">
        <f t="shared" si="433"/>
        <v>0</v>
      </c>
      <c r="BI201" s="94">
        <f t="shared" si="434"/>
        <v>0</v>
      </c>
      <c r="BJ201" s="94">
        <f t="shared" si="435"/>
        <v>266800</v>
      </c>
      <c r="BK201" s="9">
        <f t="shared" si="436"/>
        <v>716800</v>
      </c>
    </row>
    <row r="202" spans="1:63" ht="31.5">
      <c r="A202" s="186"/>
      <c r="B202" s="8">
        <v>30</v>
      </c>
      <c r="C202" s="1" t="s">
        <v>353</v>
      </c>
      <c r="D202" s="46" t="s">
        <v>354</v>
      </c>
      <c r="E202" s="4" t="s">
        <v>24</v>
      </c>
      <c r="F202" s="4"/>
      <c r="G202" s="4"/>
      <c r="H202" s="4"/>
      <c r="I202" s="4"/>
      <c r="J202" s="4"/>
      <c r="K202" s="4"/>
      <c r="L202" s="4"/>
      <c r="M202" s="9">
        <f t="shared" si="422"/>
        <v>0</v>
      </c>
      <c r="N202" s="4"/>
      <c r="O202" s="4"/>
      <c r="P202" s="4"/>
      <c r="Q202" s="4"/>
      <c r="R202" s="4"/>
      <c r="S202" s="4"/>
      <c r="T202" s="4"/>
      <c r="U202" s="9">
        <f t="shared" si="423"/>
        <v>0</v>
      </c>
      <c r="V202" s="20">
        <v>290000</v>
      </c>
      <c r="W202" s="22">
        <v>1092000</v>
      </c>
      <c r="X202" s="4">
        <v>196000</v>
      </c>
      <c r="Y202" s="32"/>
      <c r="Z202" s="32"/>
      <c r="AA202" s="32"/>
      <c r="AB202" s="32"/>
      <c r="AC202" s="9">
        <f t="shared" si="424"/>
        <v>1578000</v>
      </c>
      <c r="AD202" s="20">
        <v>195000</v>
      </c>
      <c r="AE202" s="25">
        <v>1321050</v>
      </c>
      <c r="AF202" s="24">
        <v>562600</v>
      </c>
      <c r="AG202" s="25">
        <v>490000</v>
      </c>
      <c r="AH202" s="20">
        <f>140000+210000+210000+210000+140000</f>
        <v>910000</v>
      </c>
      <c r="AI202" s="20">
        <f>930100+334650+111550</f>
        <v>1376300</v>
      </c>
      <c r="AJ202" s="20">
        <v>1700571</v>
      </c>
      <c r="AK202" s="21">
        <f t="shared" si="425"/>
        <v>6555521</v>
      </c>
      <c r="AL202" s="25">
        <v>0</v>
      </c>
      <c r="AM202" s="20"/>
      <c r="AN202" s="20"/>
      <c r="AO202" s="20"/>
      <c r="AP202" s="21">
        <f t="shared" si="426"/>
        <v>0</v>
      </c>
      <c r="AQ202" s="25"/>
      <c r="AR202" s="20"/>
      <c r="AS202" s="20"/>
      <c r="AT202" s="20"/>
      <c r="AU202" s="21">
        <f t="shared" si="427"/>
        <v>0</v>
      </c>
      <c r="AV202" s="25"/>
      <c r="AW202" s="25"/>
      <c r="AX202" s="25"/>
      <c r="AY202" s="25"/>
      <c r="AZ202" s="20"/>
      <c r="BA202" s="20"/>
      <c r="BB202" s="20"/>
      <c r="BC202" s="21">
        <f t="shared" si="428"/>
        <v>0</v>
      </c>
      <c r="BD202" s="4">
        <f t="shared" si="429"/>
        <v>485000</v>
      </c>
      <c r="BE202" s="4">
        <f t="shared" si="430"/>
        <v>2413050</v>
      </c>
      <c r="BF202" s="4">
        <f t="shared" si="431"/>
        <v>758600</v>
      </c>
      <c r="BG202" s="4">
        <f t="shared" si="432"/>
        <v>490000</v>
      </c>
      <c r="BH202" s="94">
        <f t="shared" si="433"/>
        <v>910000</v>
      </c>
      <c r="BI202" s="94">
        <f t="shared" si="434"/>
        <v>1376300</v>
      </c>
      <c r="BJ202" s="94">
        <f t="shared" si="435"/>
        <v>1700571</v>
      </c>
      <c r="BK202" s="9">
        <f t="shared" si="436"/>
        <v>8133521</v>
      </c>
    </row>
    <row r="203" spans="1:63" ht="31.5">
      <c r="A203" s="186"/>
      <c r="B203" s="8">
        <v>31</v>
      </c>
      <c r="C203" s="1" t="s">
        <v>355</v>
      </c>
      <c r="D203" s="4" t="s">
        <v>335</v>
      </c>
      <c r="E203" s="4" t="s">
        <v>24</v>
      </c>
      <c r="F203" s="4">
        <v>155000</v>
      </c>
      <c r="G203" s="4">
        <v>247000</v>
      </c>
      <c r="H203" s="4"/>
      <c r="I203" s="4"/>
      <c r="J203" s="4"/>
      <c r="K203" s="4"/>
      <c r="L203" s="4"/>
      <c r="M203" s="9">
        <f t="shared" si="422"/>
        <v>402000</v>
      </c>
      <c r="N203" s="76">
        <v>290000</v>
      </c>
      <c r="O203" s="76">
        <v>990000</v>
      </c>
      <c r="P203" s="76"/>
      <c r="Q203" s="76"/>
      <c r="R203" s="4"/>
      <c r="S203" s="4"/>
      <c r="T203" s="4"/>
      <c r="U203" s="9">
        <f t="shared" si="423"/>
        <v>1280000</v>
      </c>
      <c r="V203" s="20">
        <v>290000</v>
      </c>
      <c r="W203" s="22">
        <v>177414</v>
      </c>
      <c r="X203" s="4"/>
      <c r="Y203" s="20"/>
      <c r="Z203" s="20"/>
      <c r="AA203" s="20"/>
      <c r="AB203" s="20"/>
      <c r="AC203" s="9">
        <f t="shared" si="424"/>
        <v>467414</v>
      </c>
      <c r="AD203" s="20">
        <v>195000</v>
      </c>
      <c r="AE203" s="25">
        <v>1144000</v>
      </c>
      <c r="AF203" s="20"/>
      <c r="AG203" s="20"/>
      <c r="AH203" s="20"/>
      <c r="AI203" s="20"/>
      <c r="AJ203" s="20"/>
      <c r="AK203" s="21">
        <f t="shared" si="425"/>
        <v>1339000</v>
      </c>
      <c r="AL203" s="25">
        <v>0</v>
      </c>
      <c r="AM203" s="20"/>
      <c r="AN203" s="20"/>
      <c r="AO203" s="20"/>
      <c r="AP203" s="21">
        <f t="shared" si="426"/>
        <v>0</v>
      </c>
      <c r="AQ203" s="25"/>
      <c r="AR203" s="20"/>
      <c r="AS203" s="20"/>
      <c r="AT203" s="20"/>
      <c r="AU203" s="21">
        <f t="shared" si="427"/>
        <v>0</v>
      </c>
      <c r="AV203" s="25"/>
      <c r="AW203" s="25">
        <v>100000</v>
      </c>
      <c r="AX203" s="25"/>
      <c r="AY203" s="25"/>
      <c r="AZ203" s="20"/>
      <c r="BA203" s="20"/>
      <c r="BB203" s="20"/>
      <c r="BC203" s="21">
        <f t="shared" si="428"/>
        <v>100000</v>
      </c>
      <c r="BD203" s="4">
        <f t="shared" si="429"/>
        <v>930000</v>
      </c>
      <c r="BE203" s="4">
        <f t="shared" si="430"/>
        <v>2658414</v>
      </c>
      <c r="BF203" s="4">
        <f t="shared" si="431"/>
        <v>0</v>
      </c>
      <c r="BG203" s="4">
        <f t="shared" si="432"/>
        <v>0</v>
      </c>
      <c r="BH203" s="94">
        <f t="shared" si="433"/>
        <v>0</v>
      </c>
      <c r="BI203" s="94">
        <f t="shared" si="434"/>
        <v>0</v>
      </c>
      <c r="BJ203" s="94">
        <f t="shared" si="435"/>
        <v>0</v>
      </c>
      <c r="BK203" s="9">
        <f t="shared" si="436"/>
        <v>3588414</v>
      </c>
    </row>
    <row r="204" spans="1:63">
      <c r="A204" s="186"/>
      <c r="B204" s="8">
        <v>32</v>
      </c>
      <c r="C204" s="1" t="s">
        <v>356</v>
      </c>
      <c r="D204" s="4" t="s">
        <v>313</v>
      </c>
      <c r="E204" s="4" t="s">
        <v>24</v>
      </c>
      <c r="F204" s="4"/>
      <c r="G204" s="4"/>
      <c r="H204" s="4">
        <v>155000</v>
      </c>
      <c r="I204" s="4"/>
      <c r="J204" s="4"/>
      <c r="K204" s="4"/>
      <c r="L204" s="4"/>
      <c r="M204" s="9">
        <f t="shared" si="422"/>
        <v>155000</v>
      </c>
      <c r="N204" s="4"/>
      <c r="O204" s="4"/>
      <c r="P204" s="4"/>
      <c r="Q204" s="4"/>
      <c r="R204" s="4"/>
      <c r="S204" s="4"/>
      <c r="T204" s="4"/>
      <c r="U204" s="9">
        <f t="shared" si="423"/>
        <v>0</v>
      </c>
      <c r="V204" s="20"/>
      <c r="W204" s="20"/>
      <c r="X204" s="4"/>
      <c r="Y204" s="20"/>
      <c r="Z204" s="20"/>
      <c r="AA204" s="20"/>
      <c r="AB204" s="20"/>
      <c r="AC204" s="9">
        <f t="shared" si="424"/>
        <v>0</v>
      </c>
      <c r="AD204" s="20"/>
      <c r="AE204" s="20">
        <v>195000</v>
      </c>
      <c r="AF204" s="20"/>
      <c r="AG204" s="20"/>
      <c r="AH204" s="20"/>
      <c r="AI204" s="20"/>
      <c r="AJ204" s="20"/>
      <c r="AK204" s="21">
        <f t="shared" si="425"/>
        <v>195000</v>
      </c>
      <c r="AL204" s="25">
        <v>0</v>
      </c>
      <c r="AM204" s="20"/>
      <c r="AN204" s="20"/>
      <c r="AO204" s="20"/>
      <c r="AP204" s="21">
        <f t="shared" si="426"/>
        <v>0</v>
      </c>
      <c r="AQ204" s="25"/>
      <c r="AR204" s="20"/>
      <c r="AS204" s="20"/>
      <c r="AT204" s="20"/>
      <c r="AU204" s="21">
        <f t="shared" si="427"/>
        <v>0</v>
      </c>
      <c r="AV204" s="25"/>
      <c r="AW204" s="25"/>
      <c r="AX204" s="25"/>
      <c r="AY204" s="25"/>
      <c r="AZ204" s="20"/>
      <c r="BA204" s="20"/>
      <c r="BB204" s="20"/>
      <c r="BC204" s="21">
        <f t="shared" si="428"/>
        <v>0</v>
      </c>
      <c r="BD204" s="4">
        <f t="shared" si="429"/>
        <v>0</v>
      </c>
      <c r="BE204" s="4">
        <f t="shared" si="430"/>
        <v>195000</v>
      </c>
      <c r="BF204" s="4">
        <f t="shared" si="431"/>
        <v>155000</v>
      </c>
      <c r="BG204" s="4">
        <f t="shared" si="432"/>
        <v>0</v>
      </c>
      <c r="BH204" s="94">
        <f t="shared" si="433"/>
        <v>0</v>
      </c>
      <c r="BI204" s="94">
        <f t="shared" si="434"/>
        <v>0</v>
      </c>
      <c r="BJ204" s="94">
        <f t="shared" si="435"/>
        <v>0</v>
      </c>
      <c r="BK204" s="9">
        <f t="shared" si="436"/>
        <v>350000</v>
      </c>
    </row>
    <row r="205" spans="1:63">
      <c r="A205" s="186"/>
      <c r="B205" s="8">
        <v>33</v>
      </c>
      <c r="C205" s="1" t="s">
        <v>119</v>
      </c>
      <c r="D205" s="4" t="s">
        <v>309</v>
      </c>
      <c r="E205" s="4" t="s">
        <v>24</v>
      </c>
      <c r="F205" s="4"/>
      <c r="G205" s="4">
        <v>155000</v>
      </c>
      <c r="H205" s="4"/>
      <c r="I205" s="4"/>
      <c r="J205" s="4"/>
      <c r="K205" s="4"/>
      <c r="L205" s="4"/>
      <c r="M205" s="9">
        <f t="shared" si="422"/>
        <v>155000</v>
      </c>
      <c r="N205" s="4"/>
      <c r="O205" s="4"/>
      <c r="P205" s="4"/>
      <c r="Q205" s="4"/>
      <c r="R205" s="4"/>
      <c r="S205" s="4"/>
      <c r="T205" s="4"/>
      <c r="U205" s="9">
        <f t="shared" si="423"/>
        <v>0</v>
      </c>
      <c r="V205" s="20"/>
      <c r="W205" s="20"/>
      <c r="X205" s="20"/>
      <c r="Y205" s="20"/>
      <c r="Z205" s="20"/>
      <c r="AA205" s="20"/>
      <c r="AB205" s="20"/>
      <c r="AC205" s="9">
        <f t="shared" si="424"/>
        <v>0</v>
      </c>
      <c r="AD205" s="20"/>
      <c r="AE205" s="20"/>
      <c r="AF205" s="20"/>
      <c r="AG205" s="20"/>
      <c r="AH205" s="20"/>
      <c r="AI205" s="20"/>
      <c r="AJ205" s="20"/>
      <c r="AK205" s="21">
        <f t="shared" si="425"/>
        <v>0</v>
      </c>
      <c r="AL205" s="25"/>
      <c r="AM205" s="20"/>
      <c r="AN205" s="20"/>
      <c r="AO205" s="20"/>
      <c r="AP205" s="21">
        <f t="shared" si="426"/>
        <v>0</v>
      </c>
      <c r="AQ205" s="25"/>
      <c r="AR205" s="20"/>
      <c r="AS205" s="20"/>
      <c r="AT205" s="20"/>
      <c r="AU205" s="21">
        <f t="shared" si="427"/>
        <v>0</v>
      </c>
      <c r="AV205" s="25"/>
      <c r="AW205" s="25">
        <v>100000</v>
      </c>
      <c r="AX205" s="25">
        <v>239200</v>
      </c>
      <c r="AY205" s="25"/>
      <c r="AZ205" s="20"/>
      <c r="BA205" s="20"/>
      <c r="BB205" s="20"/>
      <c r="BC205" s="21">
        <f t="shared" si="428"/>
        <v>339200</v>
      </c>
      <c r="BD205" s="4">
        <f t="shared" si="429"/>
        <v>0</v>
      </c>
      <c r="BE205" s="4">
        <f t="shared" si="430"/>
        <v>255000</v>
      </c>
      <c r="BF205" s="4">
        <f t="shared" si="431"/>
        <v>239200</v>
      </c>
      <c r="BG205" s="4">
        <f t="shared" si="432"/>
        <v>0</v>
      </c>
      <c r="BH205" s="94">
        <f t="shared" si="433"/>
        <v>0</v>
      </c>
      <c r="BI205" s="94">
        <f t="shared" si="434"/>
        <v>0</v>
      </c>
      <c r="BJ205" s="94">
        <f t="shared" si="435"/>
        <v>0</v>
      </c>
      <c r="BK205" s="9">
        <f t="shared" si="436"/>
        <v>494200</v>
      </c>
    </row>
    <row r="206" spans="1:63" ht="31.5">
      <c r="A206" s="186"/>
      <c r="B206" s="8">
        <v>34</v>
      </c>
      <c r="C206" s="1" t="s">
        <v>357</v>
      </c>
      <c r="D206" s="12" t="s">
        <v>358</v>
      </c>
      <c r="E206" s="4" t="s">
        <v>24</v>
      </c>
      <c r="F206" s="4">
        <v>155000</v>
      </c>
      <c r="G206" s="4">
        <v>566000</v>
      </c>
      <c r="H206" s="4">
        <f>88000+93500+308000+20000</f>
        <v>509500</v>
      </c>
      <c r="I206" s="4">
        <f>120000+40000</f>
        <v>160000</v>
      </c>
      <c r="J206" s="4"/>
      <c r="K206" s="4"/>
      <c r="L206" s="4"/>
      <c r="M206" s="9">
        <f t="shared" si="422"/>
        <v>1390500</v>
      </c>
      <c r="N206" s="76">
        <v>290000</v>
      </c>
      <c r="O206" s="76">
        <v>1620000</v>
      </c>
      <c r="P206" s="76">
        <v>1490000</v>
      </c>
      <c r="Q206" s="76">
        <v>925000</v>
      </c>
      <c r="R206" s="4">
        <f>225000+225000+220000+225000+150000</f>
        <v>1045000</v>
      </c>
      <c r="S206" s="4">
        <f>1505000+510000</f>
        <v>2015000</v>
      </c>
      <c r="T206" s="4">
        <f>510000+530000+190000+190000+360000+180000+180000</f>
        <v>2140000</v>
      </c>
      <c r="U206" s="9">
        <f t="shared" si="423"/>
        <v>9525000</v>
      </c>
      <c r="V206" s="20"/>
      <c r="W206" s="20"/>
      <c r="X206" s="4"/>
      <c r="Y206" s="20"/>
      <c r="Z206" s="20"/>
      <c r="AA206" s="20"/>
      <c r="AB206" s="20"/>
      <c r="AC206" s="9">
        <f t="shared" si="424"/>
        <v>0</v>
      </c>
      <c r="AD206" s="20">
        <v>195000</v>
      </c>
      <c r="AE206" s="25">
        <v>840750</v>
      </c>
      <c r="AF206" s="24">
        <v>537100</v>
      </c>
      <c r="AG206" s="25">
        <v>150000</v>
      </c>
      <c r="AH206" s="20"/>
      <c r="AI206" s="20"/>
      <c r="AJ206" s="20"/>
      <c r="AK206" s="21">
        <f t="shared" si="425"/>
        <v>1722850</v>
      </c>
      <c r="AL206" s="25">
        <v>0</v>
      </c>
      <c r="AM206" s="20"/>
      <c r="AN206" s="20"/>
      <c r="AO206" s="20"/>
      <c r="AP206" s="21">
        <f t="shared" si="426"/>
        <v>0</v>
      </c>
      <c r="AQ206" s="25"/>
      <c r="AR206" s="20"/>
      <c r="AS206" s="20"/>
      <c r="AT206" s="20"/>
      <c r="AU206" s="21">
        <f t="shared" si="427"/>
        <v>0</v>
      </c>
      <c r="AV206" s="25"/>
      <c r="AW206" s="25"/>
      <c r="AX206" s="25"/>
      <c r="AY206" s="25"/>
      <c r="AZ206" s="20"/>
      <c r="BA206" s="20"/>
      <c r="BB206" s="20"/>
      <c r="BC206" s="21">
        <f t="shared" si="428"/>
        <v>0</v>
      </c>
      <c r="BD206" s="4">
        <f t="shared" si="429"/>
        <v>640000</v>
      </c>
      <c r="BE206" s="4">
        <f t="shared" si="430"/>
        <v>3026750</v>
      </c>
      <c r="BF206" s="4">
        <f t="shared" si="431"/>
        <v>2536600</v>
      </c>
      <c r="BG206" s="4">
        <f t="shared" si="432"/>
        <v>1235000</v>
      </c>
      <c r="BH206" s="94">
        <f t="shared" si="433"/>
        <v>1045000</v>
      </c>
      <c r="BI206" s="94">
        <f t="shared" si="434"/>
        <v>2015000</v>
      </c>
      <c r="BJ206" s="94">
        <f t="shared" si="435"/>
        <v>2140000</v>
      </c>
      <c r="BK206" s="9">
        <f t="shared" si="436"/>
        <v>12638350</v>
      </c>
    </row>
    <row r="207" spans="1:63" ht="31.5">
      <c r="A207" s="186"/>
      <c r="B207" s="8">
        <v>35</v>
      </c>
      <c r="C207" s="42" t="s">
        <v>492</v>
      </c>
      <c r="D207" s="64" t="s">
        <v>360</v>
      </c>
      <c r="E207" s="4" t="s">
        <v>24</v>
      </c>
      <c r="F207" s="4"/>
      <c r="G207" s="4"/>
      <c r="H207" s="4"/>
      <c r="I207" s="4"/>
      <c r="J207" s="4"/>
      <c r="K207" s="4"/>
      <c r="L207" s="4"/>
      <c r="M207" s="9">
        <f t="shared" si="422"/>
        <v>0</v>
      </c>
      <c r="N207" s="4"/>
      <c r="O207" s="4"/>
      <c r="P207" s="4"/>
      <c r="Q207" s="4"/>
      <c r="R207" s="4"/>
      <c r="S207" s="4"/>
      <c r="T207" s="4"/>
      <c r="U207" s="9">
        <f t="shared" si="423"/>
        <v>0</v>
      </c>
      <c r="V207" s="20"/>
      <c r="W207" s="22">
        <v>1550000</v>
      </c>
      <c r="X207" s="4">
        <v>2160000</v>
      </c>
      <c r="Y207" s="32">
        <v>420000</v>
      </c>
      <c r="Z207" s="32">
        <f>225000+75000+120000+120000+120000+40000</f>
        <v>700000</v>
      </c>
      <c r="AA207" s="32">
        <f>780000+315000</f>
        <v>1095000</v>
      </c>
      <c r="AB207" s="32">
        <f>420000+315000+105000+210000+105000</f>
        <v>1155000</v>
      </c>
      <c r="AC207" s="9">
        <f t="shared" si="424"/>
        <v>7080000</v>
      </c>
      <c r="AD207" s="20"/>
      <c r="AE207" s="25"/>
      <c r="AF207" s="24"/>
      <c r="AG207" s="25"/>
      <c r="AH207" s="20"/>
      <c r="AI207" s="20"/>
      <c r="AJ207" s="20"/>
      <c r="AK207" s="21">
        <f t="shared" si="425"/>
        <v>0</v>
      </c>
      <c r="AL207" s="25">
        <v>0</v>
      </c>
      <c r="AM207" s="20"/>
      <c r="AN207" s="20"/>
      <c r="AO207" s="20"/>
      <c r="AP207" s="21">
        <f t="shared" si="426"/>
        <v>0</v>
      </c>
      <c r="AQ207" s="25"/>
      <c r="AR207" s="20"/>
      <c r="AS207" s="20"/>
      <c r="AT207" s="20"/>
      <c r="AU207" s="21">
        <f t="shared" si="427"/>
        <v>0</v>
      </c>
      <c r="AV207" s="25"/>
      <c r="AW207" s="25"/>
      <c r="AX207" s="25"/>
      <c r="AY207" s="25"/>
      <c r="AZ207" s="20"/>
      <c r="BA207" s="20"/>
      <c r="BB207" s="20"/>
      <c r="BC207" s="21">
        <f t="shared" si="428"/>
        <v>0</v>
      </c>
      <c r="BD207" s="4">
        <f t="shared" si="429"/>
        <v>0</v>
      </c>
      <c r="BE207" s="4">
        <f t="shared" si="430"/>
        <v>1550000</v>
      </c>
      <c r="BF207" s="4">
        <f t="shared" si="431"/>
        <v>2160000</v>
      </c>
      <c r="BG207" s="4">
        <f t="shared" si="432"/>
        <v>420000</v>
      </c>
      <c r="BH207" s="94">
        <f t="shared" si="433"/>
        <v>700000</v>
      </c>
      <c r="BI207" s="94">
        <f t="shared" si="434"/>
        <v>1095000</v>
      </c>
      <c r="BJ207" s="94">
        <f t="shared" si="435"/>
        <v>1155000</v>
      </c>
      <c r="BK207" s="9">
        <f t="shared" si="436"/>
        <v>7080000</v>
      </c>
    </row>
    <row r="208" spans="1:63">
      <c r="A208" s="186"/>
      <c r="B208" s="8">
        <v>36</v>
      </c>
      <c r="C208" s="2" t="s">
        <v>14</v>
      </c>
      <c r="D208" s="13" t="s">
        <v>26</v>
      </c>
      <c r="E208" s="4" t="s">
        <v>24</v>
      </c>
      <c r="F208" s="4"/>
      <c r="G208" s="4"/>
      <c r="H208" s="4"/>
      <c r="I208" s="4"/>
      <c r="J208" s="4"/>
      <c r="K208" s="4"/>
      <c r="L208" s="4"/>
      <c r="M208" s="9">
        <f t="shared" si="422"/>
        <v>0</v>
      </c>
      <c r="N208" s="4"/>
      <c r="O208" s="4"/>
      <c r="P208" s="4"/>
      <c r="Q208" s="4"/>
      <c r="R208" s="4"/>
      <c r="S208" s="4"/>
      <c r="T208" s="4"/>
      <c r="U208" s="9">
        <f t="shared" si="423"/>
        <v>0</v>
      </c>
      <c r="V208" s="20"/>
      <c r="W208" s="26"/>
      <c r="X208" s="32"/>
      <c r="Y208" s="32">
        <v>128000</v>
      </c>
      <c r="Z208" s="32"/>
      <c r="AA208" s="32"/>
      <c r="AB208" s="32"/>
      <c r="AC208" s="9">
        <f t="shared" si="424"/>
        <v>128000</v>
      </c>
      <c r="AD208" s="20"/>
      <c r="AE208" s="25"/>
      <c r="AF208" s="24"/>
      <c r="AG208" s="25"/>
      <c r="AH208" s="20"/>
      <c r="AI208" s="20"/>
      <c r="AJ208" s="20"/>
      <c r="AK208" s="21">
        <f t="shared" si="425"/>
        <v>0</v>
      </c>
      <c r="AL208" s="25">
        <v>0</v>
      </c>
      <c r="AM208" s="20"/>
      <c r="AN208" s="20"/>
      <c r="AO208" s="20"/>
      <c r="AP208" s="21">
        <f t="shared" si="426"/>
        <v>0</v>
      </c>
      <c r="AQ208" s="25"/>
      <c r="AR208" s="20"/>
      <c r="AS208" s="20"/>
      <c r="AT208" s="20"/>
      <c r="AU208" s="21">
        <f t="shared" si="427"/>
        <v>0</v>
      </c>
      <c r="AV208" s="25"/>
      <c r="AW208" s="25">
        <v>100000</v>
      </c>
      <c r="AX208" s="25"/>
      <c r="AY208" s="25"/>
      <c r="AZ208" s="20"/>
      <c r="BA208" s="20"/>
      <c r="BB208" s="20"/>
      <c r="BC208" s="21">
        <f t="shared" si="428"/>
        <v>100000</v>
      </c>
      <c r="BD208" s="4">
        <f t="shared" si="429"/>
        <v>0</v>
      </c>
      <c r="BE208" s="4">
        <f t="shared" si="430"/>
        <v>100000</v>
      </c>
      <c r="BF208" s="4">
        <f t="shared" si="431"/>
        <v>0</v>
      </c>
      <c r="BG208" s="4">
        <f t="shared" si="432"/>
        <v>128000</v>
      </c>
      <c r="BH208" s="94">
        <f t="shared" si="433"/>
        <v>0</v>
      </c>
      <c r="BI208" s="94">
        <f t="shared" si="434"/>
        <v>0</v>
      </c>
      <c r="BJ208" s="94">
        <f t="shared" si="435"/>
        <v>0</v>
      </c>
      <c r="BK208" s="9">
        <f t="shared" si="436"/>
        <v>228000</v>
      </c>
    </row>
    <row r="209" spans="1:63" ht="18.75">
      <c r="A209" s="187"/>
      <c r="B209" s="8">
        <v>37</v>
      </c>
      <c r="C209" s="1" t="s">
        <v>361</v>
      </c>
      <c r="D209" s="91" t="s">
        <v>425</v>
      </c>
      <c r="E209" s="4" t="s">
        <v>24</v>
      </c>
      <c r="F209" s="4"/>
      <c r="G209" s="4"/>
      <c r="H209" s="4"/>
      <c r="I209" s="4"/>
      <c r="J209" s="4"/>
      <c r="K209" s="4"/>
      <c r="L209" s="4"/>
      <c r="M209" s="9">
        <f t="shared" si="422"/>
        <v>0</v>
      </c>
      <c r="N209" s="4"/>
      <c r="O209" s="4"/>
      <c r="P209" s="4"/>
      <c r="Q209" s="4"/>
      <c r="R209" s="4"/>
      <c r="S209" s="4"/>
      <c r="T209" s="4"/>
      <c r="U209" s="9">
        <f t="shared" si="423"/>
        <v>0</v>
      </c>
      <c r="V209" s="20"/>
      <c r="W209" s="20"/>
      <c r="X209" s="20"/>
      <c r="Y209" s="20"/>
      <c r="Z209" s="20"/>
      <c r="AA209" s="20"/>
      <c r="AB209" s="20"/>
      <c r="AC209" s="9">
        <f t="shared" si="424"/>
        <v>0</v>
      </c>
      <c r="AD209" s="20"/>
      <c r="AE209" s="25"/>
      <c r="AF209" s="24">
        <v>627400</v>
      </c>
      <c r="AG209" s="25">
        <v>950000</v>
      </c>
      <c r="AH209" s="20">
        <f>70000+207000+208500+208500+139000</f>
        <v>833000</v>
      </c>
      <c r="AI209" s="20">
        <f>1196900+271600+135800</f>
        <v>1604300</v>
      </c>
      <c r="AJ209" s="20">
        <v>1561700</v>
      </c>
      <c r="AK209" s="21">
        <f t="shared" si="425"/>
        <v>5576400</v>
      </c>
      <c r="AL209" s="25">
        <v>0</v>
      </c>
      <c r="AM209" s="20"/>
      <c r="AN209" s="20"/>
      <c r="AO209" s="20"/>
      <c r="AP209" s="21">
        <f t="shared" si="426"/>
        <v>0</v>
      </c>
      <c r="AQ209" s="25"/>
      <c r="AR209" s="20"/>
      <c r="AS209" s="20"/>
      <c r="AT209" s="20"/>
      <c r="AU209" s="21">
        <f t="shared" si="427"/>
        <v>0</v>
      </c>
      <c r="AV209" s="25"/>
      <c r="AW209" s="25"/>
      <c r="AX209" s="25"/>
      <c r="AY209" s="25"/>
      <c r="AZ209" s="20"/>
      <c r="BA209" s="20"/>
      <c r="BB209" s="20"/>
      <c r="BC209" s="21">
        <f t="shared" si="428"/>
        <v>0</v>
      </c>
      <c r="BD209" s="4">
        <f t="shared" si="429"/>
        <v>0</v>
      </c>
      <c r="BE209" s="4">
        <f t="shared" si="430"/>
        <v>0</v>
      </c>
      <c r="BF209" s="4">
        <f t="shared" si="431"/>
        <v>627400</v>
      </c>
      <c r="BG209" s="4">
        <f t="shared" si="432"/>
        <v>950000</v>
      </c>
      <c r="BH209" s="94">
        <f t="shared" si="433"/>
        <v>833000</v>
      </c>
      <c r="BI209" s="94">
        <f t="shared" si="434"/>
        <v>1604300</v>
      </c>
      <c r="BJ209" s="94">
        <f t="shared" si="435"/>
        <v>1561700</v>
      </c>
      <c r="BK209" s="9">
        <f t="shared" si="436"/>
        <v>5576400</v>
      </c>
    </row>
    <row r="210" spans="1:63" s="38" customFormat="1">
      <c r="A210" s="34"/>
      <c r="B210" s="34"/>
      <c r="C210" s="35" t="s">
        <v>362</v>
      </c>
      <c r="D210" s="37"/>
      <c r="E210" s="37"/>
      <c r="F210" s="37">
        <f>SUM(F173:F209)</f>
        <v>1395000</v>
      </c>
      <c r="G210" s="37">
        <f t="shared" ref="G210:BK210" si="437">SUM(G173:G209)</f>
        <v>7396483</v>
      </c>
      <c r="H210" s="37">
        <f t="shared" si="437"/>
        <v>6600000</v>
      </c>
      <c r="I210" s="37">
        <f t="shared" si="437"/>
        <v>2141500</v>
      </c>
      <c r="J210" s="37">
        <f t="shared" si="437"/>
        <v>980000</v>
      </c>
      <c r="K210" s="37">
        <f t="shared" si="437"/>
        <v>1330000</v>
      </c>
      <c r="L210" s="37">
        <f t="shared" ref="L210" si="438">SUM(L173:L209)</f>
        <v>1461500</v>
      </c>
      <c r="M210" s="37">
        <f t="shared" si="437"/>
        <v>21304483</v>
      </c>
      <c r="N210" s="37">
        <f t="shared" si="437"/>
        <v>580000</v>
      </c>
      <c r="O210" s="37">
        <f t="shared" si="437"/>
        <v>6390000</v>
      </c>
      <c r="P210" s="37">
        <f t="shared" si="437"/>
        <v>5900000</v>
      </c>
      <c r="Q210" s="37">
        <f t="shared" si="437"/>
        <v>3325000</v>
      </c>
      <c r="R210" s="37">
        <f t="shared" si="437"/>
        <v>3145000</v>
      </c>
      <c r="S210" s="37">
        <f t="shared" si="437"/>
        <v>6125000</v>
      </c>
      <c r="T210" s="37">
        <f t="shared" ref="T210" si="439">SUM(T173:T209)</f>
        <v>8015000</v>
      </c>
      <c r="U210" s="37">
        <f t="shared" si="437"/>
        <v>33480000</v>
      </c>
      <c r="V210" s="37">
        <f t="shared" si="437"/>
        <v>1740000</v>
      </c>
      <c r="W210" s="37">
        <f t="shared" si="437"/>
        <v>7050479</v>
      </c>
      <c r="X210" s="37">
        <f t="shared" si="437"/>
        <v>7679000</v>
      </c>
      <c r="Y210" s="37">
        <f t="shared" si="437"/>
        <v>1868000</v>
      </c>
      <c r="Z210" s="37">
        <f t="shared" si="437"/>
        <v>2425000</v>
      </c>
      <c r="AA210" s="37">
        <f t="shared" si="437"/>
        <v>2899000</v>
      </c>
      <c r="AB210" s="37">
        <f t="shared" ref="AB210" si="440">SUM(AB173:AB209)</f>
        <v>4375000</v>
      </c>
      <c r="AC210" s="37">
        <f t="shared" si="437"/>
        <v>28036479</v>
      </c>
      <c r="AD210" s="37">
        <f t="shared" si="437"/>
        <v>1950000</v>
      </c>
      <c r="AE210" s="37">
        <f t="shared" si="437"/>
        <v>14238850</v>
      </c>
      <c r="AF210" s="37">
        <f t="shared" si="437"/>
        <v>8484650</v>
      </c>
      <c r="AG210" s="37">
        <f t="shared" si="437"/>
        <v>6737500</v>
      </c>
      <c r="AH210" s="37">
        <f t="shared" si="437"/>
        <v>4767000</v>
      </c>
      <c r="AI210" s="37">
        <f t="shared" si="437"/>
        <v>7173350</v>
      </c>
      <c r="AJ210" s="37">
        <f>SUM(AJ173:AJ209)</f>
        <v>9808021</v>
      </c>
      <c r="AK210" s="37">
        <f t="shared" si="437"/>
        <v>53159371</v>
      </c>
      <c r="AL210" s="37">
        <f t="shared" si="437"/>
        <v>5735000</v>
      </c>
      <c r="AM210" s="37">
        <f t="shared" si="437"/>
        <v>7340500</v>
      </c>
      <c r="AN210" s="37">
        <f t="shared" si="437"/>
        <v>11665200</v>
      </c>
      <c r="AO210" s="37">
        <f t="shared" ref="AO210" si="441">SUM(AO173:AO209)</f>
        <v>11503000</v>
      </c>
      <c r="AP210" s="37">
        <f t="shared" si="437"/>
        <v>36243700</v>
      </c>
      <c r="AQ210" s="37">
        <f t="shared" si="437"/>
        <v>1790000</v>
      </c>
      <c r="AR210" s="37">
        <f t="shared" si="437"/>
        <v>2755000</v>
      </c>
      <c r="AS210" s="37">
        <f t="shared" si="437"/>
        <v>4980500</v>
      </c>
      <c r="AT210" s="37">
        <f t="shared" ref="AT210" si="442">SUM(AT173:AT209)</f>
        <v>5066000</v>
      </c>
      <c r="AU210" s="37">
        <f t="shared" si="437"/>
        <v>14591500</v>
      </c>
      <c r="AV210" s="37">
        <f t="shared" si="437"/>
        <v>0</v>
      </c>
      <c r="AW210" s="37">
        <f t="shared" si="437"/>
        <v>1576000</v>
      </c>
      <c r="AX210" s="37">
        <f t="shared" si="437"/>
        <v>3174950</v>
      </c>
      <c r="AY210" s="37">
        <f t="shared" si="437"/>
        <v>150000</v>
      </c>
      <c r="AZ210" s="37">
        <f t="shared" si="437"/>
        <v>0</v>
      </c>
      <c r="BA210" s="37">
        <f t="shared" si="437"/>
        <v>0</v>
      </c>
      <c r="BB210" s="37">
        <f t="shared" ref="BB210" si="443">SUM(BB173:BB209)</f>
        <v>266800</v>
      </c>
      <c r="BC210" s="37">
        <f t="shared" si="437"/>
        <v>5167750</v>
      </c>
      <c r="BD210" s="37">
        <f t="shared" si="437"/>
        <v>5665000</v>
      </c>
      <c r="BE210" s="37">
        <f t="shared" si="437"/>
        <v>36651812</v>
      </c>
      <c r="BF210" s="37">
        <f t="shared" si="437"/>
        <v>31838600</v>
      </c>
      <c r="BG210" s="37">
        <f t="shared" si="437"/>
        <v>21747000</v>
      </c>
      <c r="BH210" s="37">
        <f t="shared" si="437"/>
        <v>21412500</v>
      </c>
      <c r="BI210" s="144">
        <f>SUM(BI173:BI209)</f>
        <v>34173050</v>
      </c>
      <c r="BJ210" s="37">
        <f t="shared" ref="BJ210" si="444">SUM(BJ173:BJ209)</f>
        <v>40495321</v>
      </c>
      <c r="BK210" s="37">
        <f t="shared" si="437"/>
        <v>191983283</v>
      </c>
    </row>
    <row r="211" spans="1:63" ht="31.5">
      <c r="A211" s="123" t="s">
        <v>62</v>
      </c>
      <c r="B211" s="8">
        <v>1</v>
      </c>
      <c r="C211" s="1" t="s">
        <v>8</v>
      </c>
      <c r="D211" s="5" t="s">
        <v>426</v>
      </c>
      <c r="E211" s="4" t="s">
        <v>62</v>
      </c>
      <c r="F211" s="4"/>
      <c r="G211" s="4"/>
      <c r="H211" s="5"/>
      <c r="I211" s="4"/>
      <c r="J211" s="4"/>
      <c r="K211" s="4"/>
      <c r="L211" s="4"/>
      <c r="M211" s="9">
        <f>SUM(F211:L211)</f>
        <v>0</v>
      </c>
      <c r="N211" s="76"/>
      <c r="O211" s="76"/>
      <c r="P211" s="76">
        <v>351999</v>
      </c>
      <c r="Q211" s="76">
        <v>450000</v>
      </c>
      <c r="R211" s="4">
        <f>1050000+75000+225000+225000+150000</f>
        <v>1725000</v>
      </c>
      <c r="S211" s="4">
        <v>1485000</v>
      </c>
      <c r="T211" s="4">
        <f>320000+960000+160000+150000+300000+150000</f>
        <v>2040000</v>
      </c>
      <c r="U211" s="9">
        <f>SUM(N211:T211)</f>
        <v>6051999</v>
      </c>
      <c r="V211" s="20"/>
      <c r="W211" s="20"/>
      <c r="X211" s="20"/>
      <c r="Y211" s="20"/>
      <c r="Z211" s="20"/>
      <c r="AA211" s="20"/>
      <c r="AB211" s="20"/>
      <c r="AC211" s="9">
        <f>SUM(V211:AB211)</f>
        <v>0</v>
      </c>
      <c r="AD211" s="20"/>
      <c r="AE211" s="25">
        <v>195000</v>
      </c>
      <c r="AF211" s="20"/>
      <c r="AG211" s="20">
        <v>42000</v>
      </c>
      <c r="AH211" s="20"/>
      <c r="AI211" s="20"/>
      <c r="AJ211" s="20"/>
      <c r="AK211" s="21">
        <f>SUM(AD211:AJ211)</f>
        <v>237000</v>
      </c>
      <c r="AL211" s="25"/>
      <c r="AM211" s="20"/>
      <c r="AN211" s="20"/>
      <c r="AO211" s="20"/>
      <c r="AP211" s="21">
        <f>SUM(AL211:AO211)</f>
        <v>0</v>
      </c>
      <c r="AQ211" s="25"/>
      <c r="AR211" s="20"/>
      <c r="AS211" s="20"/>
      <c r="AT211" s="20"/>
      <c r="AU211" s="21">
        <f>SUM(AQ211:AT211)</f>
        <v>0</v>
      </c>
      <c r="AV211" s="25"/>
      <c r="AW211" s="25"/>
      <c r="AX211" s="25"/>
      <c r="AY211" s="25"/>
      <c r="AZ211" s="20"/>
      <c r="BA211" s="20"/>
      <c r="BB211" s="20"/>
      <c r="BC211" s="21">
        <f>SUM(AV211:BB211)</f>
        <v>0</v>
      </c>
      <c r="BD211" s="4">
        <f>F211+N211+V211+AD211+AV211</f>
        <v>0</v>
      </c>
      <c r="BE211" s="4">
        <f>G211+O211+W211+AE211+AW211</f>
        <v>195000</v>
      </c>
      <c r="BF211" s="4">
        <f>H211+P211+X211+AF211+AX211</f>
        <v>351999</v>
      </c>
      <c r="BG211" s="4">
        <f>I211+Q211+Y211+AG211+AL211+AQ211+AY211</f>
        <v>492000</v>
      </c>
      <c r="BH211" s="94">
        <f t="shared" si="433"/>
        <v>1725000</v>
      </c>
      <c r="BI211" s="94">
        <f>K211+S211+AA211+AI211+AN211+AS211+BA211</f>
        <v>1485000</v>
      </c>
      <c r="BJ211" s="94">
        <f>L211+T211+AB211+AJ211+AO211+AT211+BB211</f>
        <v>2040000</v>
      </c>
      <c r="BK211" s="9">
        <f>SUM(BD211:BJ211)</f>
        <v>6288999</v>
      </c>
    </row>
    <row r="212" spans="1:63" s="38" customFormat="1">
      <c r="A212" s="34"/>
      <c r="B212" s="34"/>
      <c r="C212" s="35" t="s">
        <v>363</v>
      </c>
      <c r="D212" s="37"/>
      <c r="E212" s="37"/>
      <c r="F212" s="37">
        <f>SUM(F211)</f>
        <v>0</v>
      </c>
      <c r="G212" s="37">
        <f t="shared" ref="G212:BK212" si="445">SUM(G211)</f>
        <v>0</v>
      </c>
      <c r="H212" s="37">
        <f t="shared" si="445"/>
        <v>0</v>
      </c>
      <c r="I212" s="37">
        <f t="shared" si="445"/>
        <v>0</v>
      </c>
      <c r="J212" s="37">
        <f t="shared" si="445"/>
        <v>0</v>
      </c>
      <c r="K212" s="37">
        <f t="shared" si="445"/>
        <v>0</v>
      </c>
      <c r="L212" s="37">
        <f t="shared" ref="L212" si="446">SUM(L211)</f>
        <v>0</v>
      </c>
      <c r="M212" s="37">
        <f t="shared" si="445"/>
        <v>0</v>
      </c>
      <c r="N212" s="37">
        <f t="shared" si="445"/>
        <v>0</v>
      </c>
      <c r="O212" s="37">
        <f t="shared" si="445"/>
        <v>0</v>
      </c>
      <c r="P212" s="37">
        <f t="shared" si="445"/>
        <v>351999</v>
      </c>
      <c r="Q212" s="37">
        <f t="shared" si="445"/>
        <v>450000</v>
      </c>
      <c r="R212" s="37">
        <f t="shared" si="445"/>
        <v>1725000</v>
      </c>
      <c r="S212" s="37">
        <f t="shared" si="445"/>
        <v>1485000</v>
      </c>
      <c r="T212" s="37">
        <f t="shared" ref="T212" si="447">SUM(T211)</f>
        <v>2040000</v>
      </c>
      <c r="U212" s="37">
        <f t="shared" si="445"/>
        <v>6051999</v>
      </c>
      <c r="V212" s="37">
        <f t="shared" si="445"/>
        <v>0</v>
      </c>
      <c r="W212" s="37">
        <f t="shared" si="445"/>
        <v>0</v>
      </c>
      <c r="X212" s="37">
        <f t="shared" si="445"/>
        <v>0</v>
      </c>
      <c r="Y212" s="37">
        <f t="shared" si="445"/>
        <v>0</v>
      </c>
      <c r="Z212" s="37">
        <f t="shared" si="445"/>
        <v>0</v>
      </c>
      <c r="AA212" s="37">
        <f t="shared" si="445"/>
        <v>0</v>
      </c>
      <c r="AB212" s="37">
        <f t="shared" ref="AB212" si="448">SUM(AB211)</f>
        <v>0</v>
      </c>
      <c r="AC212" s="37">
        <f t="shared" si="445"/>
        <v>0</v>
      </c>
      <c r="AD212" s="37">
        <f t="shared" si="445"/>
        <v>0</v>
      </c>
      <c r="AE212" s="37">
        <f t="shared" si="445"/>
        <v>195000</v>
      </c>
      <c r="AF212" s="37">
        <f t="shared" si="445"/>
        <v>0</v>
      </c>
      <c r="AG212" s="37">
        <f t="shared" si="445"/>
        <v>42000</v>
      </c>
      <c r="AH212" s="37">
        <f t="shared" si="445"/>
        <v>0</v>
      </c>
      <c r="AI212" s="37">
        <f t="shared" si="445"/>
        <v>0</v>
      </c>
      <c r="AJ212" s="37">
        <f t="shared" ref="AJ212" si="449">SUM(AJ211)</f>
        <v>0</v>
      </c>
      <c r="AK212" s="37">
        <f t="shared" si="445"/>
        <v>237000</v>
      </c>
      <c r="AL212" s="37">
        <f t="shared" si="445"/>
        <v>0</v>
      </c>
      <c r="AM212" s="37">
        <f t="shared" si="445"/>
        <v>0</v>
      </c>
      <c r="AN212" s="37">
        <f t="shared" si="445"/>
        <v>0</v>
      </c>
      <c r="AO212" s="37">
        <f t="shared" ref="AO212" si="450">SUM(AO211)</f>
        <v>0</v>
      </c>
      <c r="AP212" s="37">
        <f t="shared" si="445"/>
        <v>0</v>
      </c>
      <c r="AQ212" s="37">
        <f t="shared" si="445"/>
        <v>0</v>
      </c>
      <c r="AR212" s="37">
        <f t="shared" si="445"/>
        <v>0</v>
      </c>
      <c r="AS212" s="37">
        <f t="shared" si="445"/>
        <v>0</v>
      </c>
      <c r="AT212" s="37">
        <f t="shared" ref="AT212" si="451">SUM(AT211)</f>
        <v>0</v>
      </c>
      <c r="AU212" s="37">
        <f t="shared" si="445"/>
        <v>0</v>
      </c>
      <c r="AV212" s="37">
        <f t="shared" si="445"/>
        <v>0</v>
      </c>
      <c r="AW212" s="37">
        <f t="shared" si="445"/>
        <v>0</v>
      </c>
      <c r="AX212" s="37">
        <f t="shared" si="445"/>
        <v>0</v>
      </c>
      <c r="AY212" s="37">
        <f t="shared" si="445"/>
        <v>0</v>
      </c>
      <c r="AZ212" s="37">
        <f t="shared" si="445"/>
        <v>0</v>
      </c>
      <c r="BA212" s="37">
        <f t="shared" si="445"/>
        <v>0</v>
      </c>
      <c r="BB212" s="37">
        <f t="shared" ref="BB212" si="452">SUM(BB211)</f>
        <v>0</v>
      </c>
      <c r="BC212" s="37">
        <f t="shared" si="445"/>
        <v>0</v>
      </c>
      <c r="BD212" s="37">
        <f t="shared" si="445"/>
        <v>0</v>
      </c>
      <c r="BE212" s="37">
        <f t="shared" si="445"/>
        <v>195000</v>
      </c>
      <c r="BF212" s="37">
        <f t="shared" si="445"/>
        <v>351999</v>
      </c>
      <c r="BG212" s="37">
        <f t="shared" si="445"/>
        <v>492000</v>
      </c>
      <c r="BH212" s="37">
        <f t="shared" si="445"/>
        <v>1725000</v>
      </c>
      <c r="BI212" s="144">
        <f>SUM(BI211)</f>
        <v>1485000</v>
      </c>
      <c r="BJ212" s="37">
        <f t="shared" ref="BJ212" si="453">SUM(BJ211)</f>
        <v>2040000</v>
      </c>
      <c r="BK212" s="37">
        <f t="shared" si="445"/>
        <v>6288999</v>
      </c>
    </row>
    <row r="213" spans="1:63">
      <c r="A213" s="185" t="s">
        <v>23</v>
      </c>
      <c r="B213" s="8">
        <v>1</v>
      </c>
      <c r="C213" s="1" t="s">
        <v>0</v>
      </c>
      <c r="D213" s="4" t="s">
        <v>22</v>
      </c>
      <c r="E213" s="4" t="s">
        <v>23</v>
      </c>
      <c r="F213" s="4"/>
      <c r="G213" s="4"/>
      <c r="H213" s="4">
        <v>155000</v>
      </c>
      <c r="I213" s="4">
        <v>172000</v>
      </c>
      <c r="J213" s="4">
        <f>828000+140000+420000+140000</f>
        <v>1528000</v>
      </c>
      <c r="K213" s="4">
        <f>880000+183208+93208</f>
        <v>1156416</v>
      </c>
      <c r="L213" s="4">
        <v>1080000</v>
      </c>
      <c r="M213" s="9">
        <f t="shared" ref="M213:M225" si="454">SUM(F213:L213)</f>
        <v>4091416</v>
      </c>
      <c r="N213" s="76"/>
      <c r="O213" s="76"/>
      <c r="P213" s="76"/>
      <c r="Q213" s="76"/>
      <c r="R213" s="4"/>
      <c r="S213" s="4"/>
      <c r="T213" s="4"/>
      <c r="U213" s="9">
        <f t="shared" ref="U213:U225" si="455">SUM(N213:T213)</f>
        <v>0</v>
      </c>
      <c r="V213" s="20"/>
      <c r="W213" s="20"/>
      <c r="X213" s="20"/>
      <c r="Y213" s="20"/>
      <c r="Z213" s="20"/>
      <c r="AA213" s="20"/>
      <c r="AB213" s="20"/>
      <c r="AC213" s="9">
        <f t="shared" ref="AC213:AC225" si="456">SUM(V213:AB213)</f>
        <v>0</v>
      </c>
      <c r="AD213" s="20"/>
      <c r="AE213" s="20"/>
      <c r="AF213" s="20"/>
      <c r="AG213" s="20"/>
      <c r="AH213" s="20"/>
      <c r="AI213" s="20"/>
      <c r="AJ213" s="20"/>
      <c r="AK213" s="21">
        <f t="shared" ref="AK213:AK225" si="457">SUM(AD213:AJ213)</f>
        <v>0</v>
      </c>
      <c r="AL213" s="25">
        <v>0</v>
      </c>
      <c r="AM213" s="20"/>
      <c r="AN213" s="20"/>
      <c r="AO213" s="20"/>
      <c r="AP213" s="21">
        <f t="shared" ref="AP213:AP225" si="458">SUM(AL213:AO213)</f>
        <v>0</v>
      </c>
      <c r="AQ213" s="25"/>
      <c r="AR213" s="20"/>
      <c r="AS213" s="20"/>
      <c r="AT213" s="20"/>
      <c r="AU213" s="21">
        <f t="shared" ref="AU213:AU225" si="459">SUM(AQ213:AT213)</f>
        <v>0</v>
      </c>
      <c r="AV213" s="25"/>
      <c r="AW213" s="25"/>
      <c r="AX213" s="25">
        <v>100000</v>
      </c>
      <c r="AY213" s="25">
        <v>125000</v>
      </c>
      <c r="AZ213" s="20"/>
      <c r="BA213" s="20"/>
      <c r="BB213" s="20"/>
      <c r="BC213" s="21">
        <f t="shared" ref="BC213:BC225" si="460">SUM(AV213:BB213)</f>
        <v>225000</v>
      </c>
      <c r="BD213" s="4">
        <f t="shared" ref="BD213:BD225" si="461">F213+N213+V213+AD213+AV213</f>
        <v>0</v>
      </c>
      <c r="BE213" s="4">
        <f t="shared" ref="BE213:BE225" si="462">G213+O213+W213+AE213+AW213</f>
        <v>0</v>
      </c>
      <c r="BF213" s="4">
        <f t="shared" ref="BF213:BF225" si="463">H213+P213+X213+AF213+AX213</f>
        <v>255000</v>
      </c>
      <c r="BG213" s="4">
        <f t="shared" ref="BG213:BG225" si="464">I213+Q213+Y213+AG213+AL213+AQ213+AY213</f>
        <v>297000</v>
      </c>
      <c r="BH213" s="94">
        <f t="shared" ref="BH213:BH225" si="465">J213+R213+Z213+AH213+AM213+AR213+AZ213</f>
        <v>1528000</v>
      </c>
      <c r="BI213" s="94">
        <f t="shared" ref="BI213:BI225" si="466">K213+S213+AA213+AI213+AN213+AS213+BA213</f>
        <v>1156416</v>
      </c>
      <c r="BJ213" s="94">
        <f t="shared" ref="BJ213:BJ225" si="467">L213+T213+AB213+AJ213+AO213+AT213+BB213</f>
        <v>1080000</v>
      </c>
      <c r="BK213" s="9">
        <f t="shared" ref="BK213:BK225" si="468">SUM(BD213:BJ213)</f>
        <v>4316416</v>
      </c>
    </row>
    <row r="214" spans="1:63" ht="31.5">
      <c r="A214" s="186"/>
      <c r="B214" s="8">
        <v>2</v>
      </c>
      <c r="C214" s="1" t="s">
        <v>364</v>
      </c>
      <c r="D214" s="4" t="s">
        <v>365</v>
      </c>
      <c r="E214" s="4" t="s">
        <v>23</v>
      </c>
      <c r="F214" s="4"/>
      <c r="G214" s="4">
        <f>399694+3753</f>
        <v>403447</v>
      </c>
      <c r="H214" s="4">
        <f>114500+65000+219000</f>
        <v>398500</v>
      </c>
      <c r="I214" s="4"/>
      <c r="J214" s="4"/>
      <c r="K214" s="4"/>
      <c r="L214" s="4"/>
      <c r="M214" s="9">
        <f t="shared" si="454"/>
        <v>801947</v>
      </c>
      <c r="N214" s="4"/>
      <c r="O214" s="4"/>
      <c r="P214" s="4"/>
      <c r="Q214" s="4"/>
      <c r="R214" s="4"/>
      <c r="S214" s="4"/>
      <c r="T214" s="4"/>
      <c r="U214" s="9">
        <f t="shared" si="455"/>
        <v>0</v>
      </c>
      <c r="V214" s="20"/>
      <c r="W214" s="20"/>
      <c r="X214" s="20"/>
      <c r="Y214" s="20"/>
      <c r="Z214" s="20"/>
      <c r="AA214" s="20"/>
      <c r="AB214" s="20"/>
      <c r="AC214" s="9">
        <f t="shared" si="456"/>
        <v>0</v>
      </c>
      <c r="AD214" s="20">
        <v>195000</v>
      </c>
      <c r="AE214" s="25">
        <v>1079050</v>
      </c>
      <c r="AF214" s="25">
        <v>1013650</v>
      </c>
      <c r="AG214" s="24">
        <v>150000</v>
      </c>
      <c r="AH214" s="20"/>
      <c r="AI214" s="20"/>
      <c r="AJ214" s="20"/>
      <c r="AK214" s="21">
        <f t="shared" si="457"/>
        <v>2437700</v>
      </c>
      <c r="AL214" s="25">
        <v>838000</v>
      </c>
      <c r="AM214" s="20">
        <f>105000+315000+315000+315000+210000</f>
        <v>1260000</v>
      </c>
      <c r="AN214" s="20">
        <f>1386000+310000+155200</f>
        <v>1851200</v>
      </c>
      <c r="AO214" s="20">
        <v>1856550</v>
      </c>
      <c r="AP214" s="21">
        <f t="shared" si="458"/>
        <v>5805750</v>
      </c>
      <c r="AQ214" s="25"/>
      <c r="AR214" s="20"/>
      <c r="AS214" s="20"/>
      <c r="AT214" s="20"/>
      <c r="AU214" s="21">
        <f t="shared" si="459"/>
        <v>0</v>
      </c>
      <c r="AV214" s="25"/>
      <c r="AW214" s="25"/>
      <c r="AX214" s="25"/>
      <c r="AY214" s="25"/>
      <c r="AZ214" s="20"/>
      <c r="BA214" s="20"/>
      <c r="BB214" s="20"/>
      <c r="BC214" s="21">
        <f t="shared" si="460"/>
        <v>0</v>
      </c>
      <c r="BD214" s="4">
        <f t="shared" si="461"/>
        <v>195000</v>
      </c>
      <c r="BE214" s="4">
        <f t="shared" si="462"/>
        <v>1482497</v>
      </c>
      <c r="BF214" s="4">
        <f t="shared" si="463"/>
        <v>1412150</v>
      </c>
      <c r="BG214" s="4">
        <f t="shared" si="464"/>
        <v>988000</v>
      </c>
      <c r="BH214" s="94">
        <f t="shared" si="465"/>
        <v>1260000</v>
      </c>
      <c r="BI214" s="94">
        <f t="shared" si="466"/>
        <v>1851200</v>
      </c>
      <c r="BJ214" s="94">
        <f t="shared" si="467"/>
        <v>1856550</v>
      </c>
      <c r="BK214" s="9">
        <f t="shared" si="468"/>
        <v>9045397</v>
      </c>
    </row>
    <row r="215" spans="1:63">
      <c r="A215" s="186"/>
      <c r="B215" s="8">
        <v>3</v>
      </c>
      <c r="C215" s="1" t="s">
        <v>473</v>
      </c>
      <c r="D215" s="4" t="s">
        <v>367</v>
      </c>
      <c r="E215" s="4" t="s">
        <v>23</v>
      </c>
      <c r="F215" s="4"/>
      <c r="G215" s="4"/>
      <c r="H215" s="4">
        <v>155000</v>
      </c>
      <c r="I215" s="4"/>
      <c r="J215" s="4"/>
      <c r="K215" s="4"/>
      <c r="L215" s="4"/>
      <c r="M215" s="9">
        <f t="shared" si="454"/>
        <v>155000</v>
      </c>
      <c r="N215" s="4"/>
      <c r="O215" s="4"/>
      <c r="P215" s="4"/>
      <c r="Q215" s="4"/>
      <c r="R215" s="4"/>
      <c r="S215" s="4"/>
      <c r="T215" s="4"/>
      <c r="U215" s="9">
        <f t="shared" si="455"/>
        <v>0</v>
      </c>
      <c r="V215" s="20"/>
      <c r="W215" s="20"/>
      <c r="X215" s="20"/>
      <c r="Y215" s="20"/>
      <c r="Z215" s="20"/>
      <c r="AA215" s="20"/>
      <c r="AB215" s="20"/>
      <c r="AC215" s="9">
        <f t="shared" si="456"/>
        <v>0</v>
      </c>
      <c r="AD215" s="20"/>
      <c r="AE215" s="20"/>
      <c r="AF215" s="20"/>
      <c r="AG215" s="20"/>
      <c r="AH215" s="20"/>
      <c r="AI215" s="20"/>
      <c r="AJ215" s="20"/>
      <c r="AK215" s="21">
        <f t="shared" si="457"/>
        <v>0</v>
      </c>
      <c r="AL215" s="25">
        <v>0</v>
      </c>
      <c r="AM215" s="20"/>
      <c r="AN215" s="20"/>
      <c r="AO215" s="20"/>
      <c r="AP215" s="21">
        <f t="shared" si="458"/>
        <v>0</v>
      </c>
      <c r="AQ215" s="25"/>
      <c r="AR215" s="20"/>
      <c r="AS215" s="20"/>
      <c r="AT215" s="20"/>
      <c r="AU215" s="21">
        <f t="shared" si="459"/>
        <v>0</v>
      </c>
      <c r="AV215" s="25"/>
      <c r="AW215" s="25"/>
      <c r="AX215" s="25"/>
      <c r="AY215" s="25"/>
      <c r="AZ215" s="20"/>
      <c r="BA215" s="20"/>
      <c r="BB215" s="20"/>
      <c r="BC215" s="21">
        <f t="shared" si="460"/>
        <v>0</v>
      </c>
      <c r="BD215" s="4">
        <f t="shared" si="461"/>
        <v>0</v>
      </c>
      <c r="BE215" s="4">
        <f t="shared" si="462"/>
        <v>0</v>
      </c>
      <c r="BF215" s="4">
        <f t="shared" si="463"/>
        <v>155000</v>
      </c>
      <c r="BG215" s="4">
        <f t="shared" si="464"/>
        <v>0</v>
      </c>
      <c r="BH215" s="94">
        <f t="shared" si="465"/>
        <v>0</v>
      </c>
      <c r="BI215" s="94">
        <f t="shared" si="466"/>
        <v>0</v>
      </c>
      <c r="BJ215" s="94">
        <f t="shared" si="467"/>
        <v>0</v>
      </c>
      <c r="BK215" s="9">
        <f t="shared" si="468"/>
        <v>155000</v>
      </c>
    </row>
    <row r="216" spans="1:63">
      <c r="A216" s="186"/>
      <c r="B216" s="8">
        <v>4</v>
      </c>
      <c r="C216" s="1" t="s">
        <v>368</v>
      </c>
      <c r="D216" s="4" t="s">
        <v>369</v>
      </c>
      <c r="E216" s="4" t="s">
        <v>23</v>
      </c>
      <c r="F216" s="4"/>
      <c r="G216" s="4"/>
      <c r="H216" s="4">
        <v>155000</v>
      </c>
      <c r="I216" s="4"/>
      <c r="J216" s="4"/>
      <c r="K216" s="4"/>
      <c r="L216" s="4"/>
      <c r="M216" s="9">
        <f t="shared" si="454"/>
        <v>155000</v>
      </c>
      <c r="N216" s="4"/>
      <c r="O216" s="4"/>
      <c r="P216" s="4"/>
      <c r="Q216" s="4"/>
      <c r="R216" s="4"/>
      <c r="S216" s="4"/>
      <c r="T216" s="4"/>
      <c r="U216" s="9">
        <f t="shared" si="455"/>
        <v>0</v>
      </c>
      <c r="V216" s="20"/>
      <c r="W216" s="20"/>
      <c r="X216" s="20"/>
      <c r="Y216" s="20"/>
      <c r="Z216" s="20"/>
      <c r="AA216" s="20"/>
      <c r="AB216" s="20"/>
      <c r="AC216" s="9">
        <f t="shared" si="456"/>
        <v>0</v>
      </c>
      <c r="AD216" s="20"/>
      <c r="AE216" s="20">
        <v>195000</v>
      </c>
      <c r="AF216" s="25">
        <v>710800</v>
      </c>
      <c r="AG216" s="24">
        <v>210000</v>
      </c>
      <c r="AH216" s="20"/>
      <c r="AI216" s="20"/>
      <c r="AJ216" s="20"/>
      <c r="AK216" s="21">
        <f t="shared" si="457"/>
        <v>1115800</v>
      </c>
      <c r="AL216" s="25">
        <v>0</v>
      </c>
      <c r="AM216" s="20">
        <f>945000+315000+315000+315000+210000</f>
        <v>2100000</v>
      </c>
      <c r="AN216" s="20">
        <v>693900</v>
      </c>
      <c r="AO216" s="20">
        <v>1092000</v>
      </c>
      <c r="AP216" s="21">
        <f t="shared" si="458"/>
        <v>3885900</v>
      </c>
      <c r="AQ216" s="25"/>
      <c r="AR216" s="20"/>
      <c r="AS216" s="20"/>
      <c r="AT216" s="20"/>
      <c r="AU216" s="21">
        <f t="shared" si="459"/>
        <v>0</v>
      </c>
      <c r="AV216" s="25"/>
      <c r="AW216" s="25">
        <v>100000</v>
      </c>
      <c r="AX216" s="25">
        <v>540000</v>
      </c>
      <c r="AY216" s="25"/>
      <c r="AZ216" s="20"/>
      <c r="BA216" s="20"/>
      <c r="BB216" s="20"/>
      <c r="BC216" s="21">
        <f t="shared" si="460"/>
        <v>640000</v>
      </c>
      <c r="BD216" s="4">
        <f t="shared" si="461"/>
        <v>0</v>
      </c>
      <c r="BE216" s="4">
        <f t="shared" si="462"/>
        <v>295000</v>
      </c>
      <c r="BF216" s="4">
        <f t="shared" si="463"/>
        <v>1405800</v>
      </c>
      <c r="BG216" s="4">
        <f t="shared" si="464"/>
        <v>210000</v>
      </c>
      <c r="BH216" s="94">
        <f t="shared" si="465"/>
        <v>2100000</v>
      </c>
      <c r="BI216" s="94">
        <f t="shared" si="466"/>
        <v>693900</v>
      </c>
      <c r="BJ216" s="94">
        <f t="shared" si="467"/>
        <v>1092000</v>
      </c>
      <c r="BK216" s="9">
        <f t="shared" si="468"/>
        <v>5796700</v>
      </c>
    </row>
    <row r="217" spans="1:63">
      <c r="A217" s="186"/>
      <c r="B217" s="8">
        <v>5</v>
      </c>
      <c r="C217" s="1" t="s">
        <v>370</v>
      </c>
      <c r="D217" s="4" t="s">
        <v>371</v>
      </c>
      <c r="E217" s="4" t="s">
        <v>23</v>
      </c>
      <c r="F217" s="4"/>
      <c r="G217" s="4">
        <v>453500</v>
      </c>
      <c r="H217" s="4">
        <f>99000+203500</f>
        <v>302500</v>
      </c>
      <c r="I217" s="4">
        <v>160000</v>
      </c>
      <c r="J217" s="4"/>
      <c r="K217" s="4"/>
      <c r="L217" s="4"/>
      <c r="M217" s="9">
        <f t="shared" si="454"/>
        <v>916000</v>
      </c>
      <c r="N217" s="4"/>
      <c r="O217" s="4"/>
      <c r="P217" s="4"/>
      <c r="Q217" s="4"/>
      <c r="R217" s="4"/>
      <c r="S217" s="4"/>
      <c r="T217" s="4"/>
      <c r="U217" s="9">
        <f t="shared" si="455"/>
        <v>0</v>
      </c>
      <c r="V217" s="20"/>
      <c r="W217" s="20"/>
      <c r="X217" s="20"/>
      <c r="Y217" s="20"/>
      <c r="Z217" s="20"/>
      <c r="AA217" s="20"/>
      <c r="AB217" s="20"/>
      <c r="AC217" s="9">
        <f t="shared" si="456"/>
        <v>0</v>
      </c>
      <c r="AD217" s="20"/>
      <c r="AE217" s="25">
        <v>636450</v>
      </c>
      <c r="AF217" s="25">
        <v>252200</v>
      </c>
      <c r="AG217" s="24">
        <v>180000</v>
      </c>
      <c r="AH217" s="20"/>
      <c r="AI217" s="20"/>
      <c r="AJ217" s="20"/>
      <c r="AK217" s="21">
        <f t="shared" si="457"/>
        <v>1068650</v>
      </c>
      <c r="AL217" s="25">
        <v>823000</v>
      </c>
      <c r="AM217" s="20">
        <f>283500+273000+291500+293500+196000</f>
        <v>1337500</v>
      </c>
      <c r="AN217" s="20">
        <f>1224400+262200+129600</f>
        <v>1616200</v>
      </c>
      <c r="AO217" s="20">
        <v>1498300</v>
      </c>
      <c r="AP217" s="21">
        <f t="shared" si="458"/>
        <v>5275000</v>
      </c>
      <c r="AQ217" s="25"/>
      <c r="AR217" s="20"/>
      <c r="AS217" s="20"/>
      <c r="AT217" s="20"/>
      <c r="AU217" s="21">
        <f t="shared" si="459"/>
        <v>0</v>
      </c>
      <c r="AV217" s="25"/>
      <c r="AW217" s="25">
        <v>100000</v>
      </c>
      <c r="AX217" s="25">
        <v>230000</v>
      </c>
      <c r="AY217" s="25"/>
      <c r="AZ217" s="20"/>
      <c r="BA217" s="20"/>
      <c r="BB217" s="20"/>
      <c r="BC217" s="21">
        <f t="shared" si="460"/>
        <v>330000</v>
      </c>
      <c r="BD217" s="4">
        <f t="shared" si="461"/>
        <v>0</v>
      </c>
      <c r="BE217" s="4">
        <f t="shared" si="462"/>
        <v>1189950</v>
      </c>
      <c r="BF217" s="4">
        <f t="shared" si="463"/>
        <v>784700</v>
      </c>
      <c r="BG217" s="4">
        <f t="shared" si="464"/>
        <v>1163000</v>
      </c>
      <c r="BH217" s="94">
        <f t="shared" si="465"/>
        <v>1337500</v>
      </c>
      <c r="BI217" s="94">
        <f t="shared" si="466"/>
        <v>1616200</v>
      </c>
      <c r="BJ217" s="94">
        <f t="shared" si="467"/>
        <v>1498300</v>
      </c>
      <c r="BK217" s="9">
        <f t="shared" si="468"/>
        <v>7589650</v>
      </c>
    </row>
    <row r="218" spans="1:63">
      <c r="A218" s="186"/>
      <c r="B218" s="8">
        <v>6</v>
      </c>
      <c r="C218" s="1" t="s">
        <v>372</v>
      </c>
      <c r="D218" s="4" t="s">
        <v>371</v>
      </c>
      <c r="E218" s="4" t="s">
        <v>23</v>
      </c>
      <c r="F218" s="4"/>
      <c r="G218" s="4">
        <v>155000</v>
      </c>
      <c r="H218" s="4">
        <v>88000</v>
      </c>
      <c r="I218" s="4"/>
      <c r="J218" s="4"/>
      <c r="K218" s="4"/>
      <c r="L218" s="4"/>
      <c r="M218" s="9">
        <f t="shared" si="454"/>
        <v>243000</v>
      </c>
      <c r="N218" s="4"/>
      <c r="O218" s="4"/>
      <c r="P218" s="4"/>
      <c r="Q218" s="4"/>
      <c r="R218" s="4"/>
      <c r="S218" s="4"/>
      <c r="T218" s="4"/>
      <c r="U218" s="9">
        <f t="shared" si="455"/>
        <v>0</v>
      </c>
      <c r="V218" s="20"/>
      <c r="W218" s="20"/>
      <c r="X218" s="20"/>
      <c r="Y218" s="20"/>
      <c r="Z218" s="20"/>
      <c r="AA218" s="20"/>
      <c r="AB218" s="20"/>
      <c r="AC218" s="9">
        <f t="shared" si="456"/>
        <v>0</v>
      </c>
      <c r="AD218" s="20"/>
      <c r="AE218" s="25">
        <v>238650</v>
      </c>
      <c r="AF218" s="25">
        <v>601400</v>
      </c>
      <c r="AG218" s="24"/>
      <c r="AH218" s="20">
        <v>630000</v>
      </c>
      <c r="AI218" s="20"/>
      <c r="AJ218" s="20"/>
      <c r="AK218" s="21">
        <f t="shared" si="457"/>
        <v>1470050</v>
      </c>
      <c r="AL218" s="25">
        <v>0</v>
      </c>
      <c r="AM218" s="20">
        <f>850500+196000</f>
        <v>1046500</v>
      </c>
      <c r="AN218" s="20">
        <v>1234500</v>
      </c>
      <c r="AO218" s="20"/>
      <c r="AP218" s="21">
        <f t="shared" si="458"/>
        <v>2281000</v>
      </c>
      <c r="AQ218" s="25"/>
      <c r="AR218" s="20"/>
      <c r="AS218" s="20"/>
      <c r="AT218" s="20"/>
      <c r="AU218" s="21">
        <f t="shared" si="459"/>
        <v>0</v>
      </c>
      <c r="AV218" s="25"/>
      <c r="AW218" s="25"/>
      <c r="AX218" s="25"/>
      <c r="AY218" s="25"/>
      <c r="AZ218" s="20"/>
      <c r="BA218" s="20"/>
      <c r="BB218" s="20"/>
      <c r="BC218" s="21">
        <f t="shared" si="460"/>
        <v>0</v>
      </c>
      <c r="BD218" s="4">
        <f t="shared" si="461"/>
        <v>0</v>
      </c>
      <c r="BE218" s="4">
        <f t="shared" si="462"/>
        <v>393650</v>
      </c>
      <c r="BF218" s="4">
        <f t="shared" si="463"/>
        <v>689400</v>
      </c>
      <c r="BG218" s="4">
        <f t="shared" si="464"/>
        <v>0</v>
      </c>
      <c r="BH218" s="94">
        <f t="shared" si="465"/>
        <v>1676500</v>
      </c>
      <c r="BI218" s="94">
        <f t="shared" si="466"/>
        <v>1234500</v>
      </c>
      <c r="BJ218" s="94">
        <f t="shared" si="467"/>
        <v>0</v>
      </c>
      <c r="BK218" s="9">
        <f t="shared" si="468"/>
        <v>3994050</v>
      </c>
    </row>
    <row r="219" spans="1:63">
      <c r="A219" s="186"/>
      <c r="B219" s="8">
        <v>7</v>
      </c>
      <c r="C219" s="1" t="s">
        <v>373</v>
      </c>
      <c r="D219" s="4" t="s">
        <v>374</v>
      </c>
      <c r="E219" s="4" t="s">
        <v>23</v>
      </c>
      <c r="F219" s="4"/>
      <c r="G219" s="4">
        <v>719000</v>
      </c>
      <c r="H219" s="4">
        <f>282000+188000+80500+85000+80000</f>
        <v>715500</v>
      </c>
      <c r="I219" s="4">
        <v>673500</v>
      </c>
      <c r="J219" s="4">
        <f>181500+186000+186000+186000+121500</f>
        <v>861000</v>
      </c>
      <c r="K219" s="4">
        <f>848500+180000+90000</f>
        <v>1118500</v>
      </c>
      <c r="L219" s="4">
        <v>1065000</v>
      </c>
      <c r="M219" s="9">
        <f t="shared" si="454"/>
        <v>5152500</v>
      </c>
      <c r="N219" s="4"/>
      <c r="O219" s="4"/>
      <c r="P219" s="4"/>
      <c r="Q219" s="4"/>
      <c r="R219" s="4"/>
      <c r="S219" s="4"/>
      <c r="T219" s="4"/>
      <c r="U219" s="9">
        <f t="shared" si="455"/>
        <v>0</v>
      </c>
      <c r="V219" s="20"/>
      <c r="W219" s="20"/>
      <c r="X219" s="20"/>
      <c r="Y219" s="20"/>
      <c r="Z219" s="20"/>
      <c r="AA219" s="20"/>
      <c r="AB219" s="20"/>
      <c r="AC219" s="9">
        <f t="shared" si="456"/>
        <v>0</v>
      </c>
      <c r="AD219" s="20"/>
      <c r="AE219" s="20"/>
      <c r="AF219" s="20"/>
      <c r="AG219" s="20"/>
      <c r="AH219" s="20"/>
      <c r="AI219" s="20"/>
      <c r="AJ219" s="20"/>
      <c r="AK219" s="21">
        <f t="shared" si="457"/>
        <v>0</v>
      </c>
      <c r="AL219" s="25">
        <v>0</v>
      </c>
      <c r="AM219" s="20"/>
      <c r="AN219" s="20"/>
      <c r="AO219" s="20"/>
      <c r="AP219" s="21">
        <f t="shared" si="458"/>
        <v>0</v>
      </c>
      <c r="AQ219" s="25"/>
      <c r="AR219" s="20"/>
      <c r="AS219" s="20"/>
      <c r="AT219" s="20"/>
      <c r="AU219" s="21">
        <f t="shared" si="459"/>
        <v>0</v>
      </c>
      <c r="AV219" s="25"/>
      <c r="AW219" s="25">
        <v>100000</v>
      </c>
      <c r="AX219" s="25">
        <v>257600</v>
      </c>
      <c r="AY219" s="25"/>
      <c r="AZ219" s="20"/>
      <c r="BA219" s="20"/>
      <c r="BB219" s="20"/>
      <c r="BC219" s="21">
        <f t="shared" si="460"/>
        <v>357600</v>
      </c>
      <c r="BD219" s="4">
        <f t="shared" si="461"/>
        <v>0</v>
      </c>
      <c r="BE219" s="4">
        <f t="shared" si="462"/>
        <v>819000</v>
      </c>
      <c r="BF219" s="4">
        <f t="shared" si="463"/>
        <v>973100</v>
      </c>
      <c r="BG219" s="4">
        <f t="shared" si="464"/>
        <v>673500</v>
      </c>
      <c r="BH219" s="94">
        <f t="shared" si="465"/>
        <v>861000</v>
      </c>
      <c r="BI219" s="94">
        <f t="shared" si="466"/>
        <v>1118500</v>
      </c>
      <c r="BJ219" s="94">
        <f t="shared" si="467"/>
        <v>1065000</v>
      </c>
      <c r="BK219" s="9">
        <f t="shared" si="468"/>
        <v>5510100</v>
      </c>
    </row>
    <row r="220" spans="1:63">
      <c r="A220" s="186"/>
      <c r="B220" s="8">
        <v>8</v>
      </c>
      <c r="C220" s="1" t="s">
        <v>375</v>
      </c>
      <c r="D220" s="4" t="s">
        <v>376</v>
      </c>
      <c r="E220" s="4" t="s">
        <v>23</v>
      </c>
      <c r="F220" s="4"/>
      <c r="G220" s="4">
        <v>155000</v>
      </c>
      <c r="H220" s="4">
        <f>96000+48000</f>
        <v>144000</v>
      </c>
      <c r="I220" s="4">
        <f>68000+58000</f>
        <v>126000</v>
      </c>
      <c r="J220" s="4"/>
      <c r="K220" s="4"/>
      <c r="L220" s="4"/>
      <c r="M220" s="9">
        <f t="shared" si="454"/>
        <v>425000</v>
      </c>
      <c r="N220" s="4"/>
      <c r="O220" s="4"/>
      <c r="P220" s="4"/>
      <c r="Q220" s="4"/>
      <c r="R220" s="4"/>
      <c r="S220" s="4"/>
      <c r="T220" s="4"/>
      <c r="U220" s="9">
        <f t="shared" si="455"/>
        <v>0</v>
      </c>
      <c r="V220" s="20"/>
      <c r="W220" s="20"/>
      <c r="X220" s="20"/>
      <c r="Y220" s="20"/>
      <c r="Z220" s="20"/>
      <c r="AA220" s="20"/>
      <c r="AB220" s="20"/>
      <c r="AC220" s="9">
        <f t="shared" si="456"/>
        <v>0</v>
      </c>
      <c r="AD220" s="20"/>
      <c r="AE220" s="20">
        <v>195000</v>
      </c>
      <c r="AF220" s="25">
        <v>267300</v>
      </c>
      <c r="AG220" s="24">
        <v>262000</v>
      </c>
      <c r="AH220" s="20"/>
      <c r="AI220" s="20"/>
      <c r="AJ220" s="20"/>
      <c r="AK220" s="21">
        <f t="shared" si="457"/>
        <v>724300</v>
      </c>
      <c r="AL220" s="25">
        <v>910500</v>
      </c>
      <c r="AM220" s="20">
        <f>306500+310500+312000+312000+208000</f>
        <v>1449000</v>
      </c>
      <c r="AN220" s="20">
        <f>1365500+308000+154000</f>
        <v>1827500</v>
      </c>
      <c r="AO220" s="20">
        <v>1854000</v>
      </c>
      <c r="AP220" s="21">
        <f t="shared" si="458"/>
        <v>6041000</v>
      </c>
      <c r="AQ220" s="25"/>
      <c r="AR220" s="20"/>
      <c r="AS220" s="20"/>
      <c r="AT220" s="20"/>
      <c r="AU220" s="21">
        <f t="shared" si="459"/>
        <v>0</v>
      </c>
      <c r="AV220" s="25"/>
      <c r="AW220" s="25">
        <v>100000</v>
      </c>
      <c r="AX220" s="25">
        <v>230000</v>
      </c>
      <c r="AY220" s="25">
        <v>145000</v>
      </c>
      <c r="AZ220" s="20"/>
      <c r="BA220" s="20"/>
      <c r="BB220" s="20"/>
      <c r="BC220" s="21">
        <f t="shared" si="460"/>
        <v>475000</v>
      </c>
      <c r="BD220" s="4">
        <f t="shared" si="461"/>
        <v>0</v>
      </c>
      <c r="BE220" s="4">
        <f t="shared" si="462"/>
        <v>450000</v>
      </c>
      <c r="BF220" s="4">
        <f t="shared" si="463"/>
        <v>641300</v>
      </c>
      <c r="BG220" s="4">
        <f t="shared" si="464"/>
        <v>1443500</v>
      </c>
      <c r="BH220" s="94">
        <f t="shared" si="465"/>
        <v>1449000</v>
      </c>
      <c r="BI220" s="94">
        <f t="shared" si="466"/>
        <v>1827500</v>
      </c>
      <c r="BJ220" s="94">
        <f t="shared" si="467"/>
        <v>1854000</v>
      </c>
      <c r="BK220" s="9">
        <f t="shared" si="468"/>
        <v>7665300</v>
      </c>
    </row>
    <row r="221" spans="1:63" ht="31.5">
      <c r="A221" s="186"/>
      <c r="B221" s="8">
        <v>9</v>
      </c>
      <c r="C221" s="1" t="s">
        <v>472</v>
      </c>
      <c r="D221" s="4" t="s">
        <v>378</v>
      </c>
      <c r="E221" s="4" t="s">
        <v>23</v>
      </c>
      <c r="F221" s="4"/>
      <c r="G221" s="4">
        <v>529000</v>
      </c>
      <c r="H221" s="4">
        <v>330000</v>
      </c>
      <c r="I221" s="4"/>
      <c r="J221" s="4"/>
      <c r="K221" s="4"/>
      <c r="L221" s="4"/>
      <c r="M221" s="9">
        <f t="shared" si="454"/>
        <v>859000</v>
      </c>
      <c r="N221" s="4"/>
      <c r="O221" s="4"/>
      <c r="P221" s="4"/>
      <c r="Q221" s="4"/>
      <c r="R221" s="4"/>
      <c r="S221" s="4"/>
      <c r="T221" s="4"/>
      <c r="U221" s="9">
        <f t="shared" si="455"/>
        <v>0</v>
      </c>
      <c r="V221" s="20"/>
      <c r="W221" s="20"/>
      <c r="X221" s="4">
        <v>290000</v>
      </c>
      <c r="Y221" s="23"/>
      <c r="Z221" s="23"/>
      <c r="AA221" s="23"/>
      <c r="AB221" s="23"/>
      <c r="AC221" s="9">
        <f t="shared" si="456"/>
        <v>290000</v>
      </c>
      <c r="AD221" s="20"/>
      <c r="AE221" s="25">
        <v>787400</v>
      </c>
      <c r="AF221" s="25">
        <v>518950</v>
      </c>
      <c r="AG221" s="25"/>
      <c r="AH221" s="20"/>
      <c r="AI221" s="20"/>
      <c r="AJ221" s="20"/>
      <c r="AK221" s="21">
        <f t="shared" si="457"/>
        <v>1306350</v>
      </c>
      <c r="AL221" s="25">
        <v>0</v>
      </c>
      <c r="AM221" s="20">
        <f>525000+315000+315000+315000+210000</f>
        <v>1680000</v>
      </c>
      <c r="AN221" s="20">
        <f>1445782+312000+156000</f>
        <v>1913782</v>
      </c>
      <c r="AO221" s="20">
        <v>1560000</v>
      </c>
      <c r="AP221" s="21">
        <f t="shared" si="458"/>
        <v>5153782</v>
      </c>
      <c r="AQ221" s="25"/>
      <c r="AR221" s="20"/>
      <c r="AS221" s="20"/>
      <c r="AT221" s="20"/>
      <c r="AU221" s="21">
        <f t="shared" si="459"/>
        <v>0</v>
      </c>
      <c r="AV221" s="25"/>
      <c r="AW221" s="25"/>
      <c r="AX221" s="25"/>
      <c r="AY221" s="25"/>
      <c r="AZ221" s="20"/>
      <c r="BA221" s="20"/>
      <c r="BB221" s="20"/>
      <c r="BC221" s="21">
        <f t="shared" si="460"/>
        <v>0</v>
      </c>
      <c r="BD221" s="4">
        <f t="shared" si="461"/>
        <v>0</v>
      </c>
      <c r="BE221" s="4">
        <f t="shared" si="462"/>
        <v>1316400</v>
      </c>
      <c r="BF221" s="4">
        <f t="shared" si="463"/>
        <v>1138950</v>
      </c>
      <c r="BG221" s="4">
        <f t="shared" si="464"/>
        <v>0</v>
      </c>
      <c r="BH221" s="94">
        <f t="shared" si="465"/>
        <v>1680000</v>
      </c>
      <c r="BI221" s="94">
        <f t="shared" si="466"/>
        <v>1913782</v>
      </c>
      <c r="BJ221" s="94">
        <f t="shared" si="467"/>
        <v>1560000</v>
      </c>
      <c r="BK221" s="9">
        <f t="shared" si="468"/>
        <v>7609132</v>
      </c>
    </row>
    <row r="222" spans="1:63">
      <c r="A222" s="186"/>
      <c r="B222" s="8">
        <v>10</v>
      </c>
      <c r="C222" s="40" t="s">
        <v>379</v>
      </c>
      <c r="D222" s="41" t="s">
        <v>380</v>
      </c>
      <c r="E222" s="4" t="s">
        <v>23</v>
      </c>
      <c r="F222" s="4"/>
      <c r="G222" s="4"/>
      <c r="H222" s="4"/>
      <c r="I222" s="4"/>
      <c r="J222" s="4"/>
      <c r="K222" s="4"/>
      <c r="L222" s="4"/>
      <c r="M222" s="9">
        <f t="shared" si="454"/>
        <v>0</v>
      </c>
      <c r="N222" s="76">
        <v>290000</v>
      </c>
      <c r="O222" s="76">
        <f>1200000+70000</f>
        <v>1270000</v>
      </c>
      <c r="P222" s="76">
        <f>910000-60000</f>
        <v>850000</v>
      </c>
      <c r="Q222" s="76">
        <v>835000</v>
      </c>
      <c r="R222" s="4">
        <f>195000+130000+65000+195000+195000+130000</f>
        <v>910000</v>
      </c>
      <c r="S222" s="4">
        <f>1235000+520000</f>
        <v>1755000</v>
      </c>
      <c r="T222" s="4">
        <f>420000+280000+140000+140000+280000+140000+140000</f>
        <v>1540000</v>
      </c>
      <c r="U222" s="9">
        <f t="shared" si="455"/>
        <v>7450000</v>
      </c>
      <c r="V222" s="20"/>
      <c r="W222" s="20"/>
      <c r="X222" s="20"/>
      <c r="Y222" s="20"/>
      <c r="Z222" s="20"/>
      <c r="AA222" s="20"/>
      <c r="AB222" s="20"/>
      <c r="AC222" s="9">
        <f t="shared" si="456"/>
        <v>0</v>
      </c>
      <c r="AD222" s="20"/>
      <c r="AE222" s="25"/>
      <c r="AF222" s="20"/>
      <c r="AG222" s="20"/>
      <c r="AH222" s="20"/>
      <c r="AI222" s="20"/>
      <c r="AJ222" s="20"/>
      <c r="AK222" s="21">
        <f t="shared" si="457"/>
        <v>0</v>
      </c>
      <c r="AL222" s="25">
        <v>0</v>
      </c>
      <c r="AM222" s="20"/>
      <c r="AN222" s="20"/>
      <c r="AO222" s="20"/>
      <c r="AP222" s="21">
        <f t="shared" si="458"/>
        <v>0</v>
      </c>
      <c r="AQ222" s="25"/>
      <c r="AR222" s="20"/>
      <c r="AS222" s="20"/>
      <c r="AT222" s="20"/>
      <c r="AU222" s="21">
        <f t="shared" si="459"/>
        <v>0</v>
      </c>
      <c r="AV222" s="25"/>
      <c r="AW222" s="25"/>
      <c r="AX222" s="25">
        <f>330000</f>
        <v>330000</v>
      </c>
      <c r="AY222" s="25"/>
      <c r="AZ222" s="20"/>
      <c r="BA222" s="20"/>
      <c r="BB222" s="20"/>
      <c r="BC222" s="21">
        <f t="shared" si="460"/>
        <v>330000</v>
      </c>
      <c r="BD222" s="4">
        <f t="shared" si="461"/>
        <v>290000</v>
      </c>
      <c r="BE222" s="4">
        <f t="shared" si="462"/>
        <v>1270000</v>
      </c>
      <c r="BF222" s="4">
        <f t="shared" si="463"/>
        <v>1180000</v>
      </c>
      <c r="BG222" s="4">
        <f t="shared" si="464"/>
        <v>835000</v>
      </c>
      <c r="BH222" s="94">
        <f t="shared" si="465"/>
        <v>910000</v>
      </c>
      <c r="BI222" s="94">
        <f t="shared" si="466"/>
        <v>1755000</v>
      </c>
      <c r="BJ222" s="94">
        <f t="shared" si="467"/>
        <v>1540000</v>
      </c>
      <c r="BK222" s="9">
        <f t="shared" si="468"/>
        <v>7780000</v>
      </c>
    </row>
    <row r="223" spans="1:63" ht="31.5">
      <c r="A223" s="186"/>
      <c r="B223" s="8">
        <v>11</v>
      </c>
      <c r="C223" s="1" t="s">
        <v>383</v>
      </c>
      <c r="D223" s="4" t="s">
        <v>380</v>
      </c>
      <c r="E223" s="4" t="s">
        <v>23</v>
      </c>
      <c r="F223" s="4">
        <v>155000</v>
      </c>
      <c r="G223" s="4">
        <v>498500</v>
      </c>
      <c r="H223" s="4">
        <f>60500+126500+137500+258500+88000</f>
        <v>671000</v>
      </c>
      <c r="I223" s="4">
        <v>491000</v>
      </c>
      <c r="J223" s="4">
        <f>374500+182000+178500+192500+129500</f>
        <v>1057000</v>
      </c>
      <c r="K223" s="4">
        <f>905200+188000+93000</f>
        <v>1186200</v>
      </c>
      <c r="L223" s="4">
        <v>1142145</v>
      </c>
      <c r="M223" s="9">
        <f t="shared" si="454"/>
        <v>5200845</v>
      </c>
      <c r="N223" s="4"/>
      <c r="O223" s="4"/>
      <c r="P223" s="4"/>
      <c r="Q223" s="4"/>
      <c r="R223" s="4"/>
      <c r="S223" s="4"/>
      <c r="T223" s="4"/>
      <c r="U223" s="9">
        <f t="shared" si="455"/>
        <v>0</v>
      </c>
      <c r="V223" s="20"/>
      <c r="W223" s="20"/>
      <c r="X223" s="20"/>
      <c r="Y223" s="20"/>
      <c r="Z223" s="20"/>
      <c r="AA223" s="20"/>
      <c r="AB223" s="20"/>
      <c r="AC223" s="9">
        <f t="shared" si="456"/>
        <v>0</v>
      </c>
      <c r="AD223" s="20"/>
      <c r="AE223" s="20"/>
      <c r="AF223" s="20"/>
      <c r="AG223" s="20"/>
      <c r="AH223" s="20"/>
      <c r="AI223" s="20"/>
      <c r="AJ223" s="20"/>
      <c r="AK223" s="21">
        <f t="shared" si="457"/>
        <v>0</v>
      </c>
      <c r="AL223" s="25">
        <v>0</v>
      </c>
      <c r="AM223" s="20"/>
      <c r="AN223" s="20"/>
      <c r="AO223" s="20"/>
      <c r="AP223" s="21">
        <f t="shared" si="458"/>
        <v>0</v>
      </c>
      <c r="AQ223" s="25"/>
      <c r="AR223" s="20"/>
      <c r="AS223" s="20"/>
      <c r="AT223" s="20"/>
      <c r="AU223" s="21">
        <f t="shared" si="459"/>
        <v>0</v>
      </c>
      <c r="AV223" s="25"/>
      <c r="AW223" s="25"/>
      <c r="AX223" s="25"/>
      <c r="AY223" s="25"/>
      <c r="AZ223" s="20"/>
      <c r="BA223" s="20"/>
      <c r="BB223" s="20"/>
      <c r="BC223" s="21">
        <f t="shared" si="460"/>
        <v>0</v>
      </c>
      <c r="BD223" s="4">
        <f t="shared" si="461"/>
        <v>155000</v>
      </c>
      <c r="BE223" s="4">
        <f t="shared" si="462"/>
        <v>498500</v>
      </c>
      <c r="BF223" s="4">
        <f t="shared" si="463"/>
        <v>671000</v>
      </c>
      <c r="BG223" s="4">
        <f t="shared" si="464"/>
        <v>491000</v>
      </c>
      <c r="BH223" s="94">
        <f t="shared" si="465"/>
        <v>1057000</v>
      </c>
      <c r="BI223" s="94">
        <f t="shared" si="466"/>
        <v>1186200</v>
      </c>
      <c r="BJ223" s="94">
        <f t="shared" si="467"/>
        <v>1142145</v>
      </c>
      <c r="BK223" s="9">
        <f t="shared" si="468"/>
        <v>5200845</v>
      </c>
    </row>
    <row r="224" spans="1:63" ht="18.75">
      <c r="A224" s="186"/>
      <c r="B224" s="8">
        <v>12</v>
      </c>
      <c r="C224" s="1" t="s">
        <v>384</v>
      </c>
      <c r="D224" s="91" t="s">
        <v>427</v>
      </c>
      <c r="E224" s="4" t="s">
        <v>23</v>
      </c>
      <c r="F224" s="4"/>
      <c r="G224" s="4"/>
      <c r="H224" s="4"/>
      <c r="I224" s="4"/>
      <c r="J224" s="4"/>
      <c r="K224" s="4"/>
      <c r="L224" s="4"/>
      <c r="M224" s="9">
        <f t="shared" si="454"/>
        <v>0</v>
      </c>
      <c r="N224" s="4"/>
      <c r="O224" s="4"/>
      <c r="P224" s="4"/>
      <c r="Q224" s="4"/>
      <c r="R224" s="4"/>
      <c r="S224" s="4"/>
      <c r="T224" s="4"/>
      <c r="U224" s="9">
        <f t="shared" si="455"/>
        <v>0</v>
      </c>
      <c r="V224" s="20"/>
      <c r="W224" s="20"/>
      <c r="X224" s="20"/>
      <c r="Y224" s="20"/>
      <c r="Z224" s="20"/>
      <c r="AA224" s="20"/>
      <c r="AB224" s="20"/>
      <c r="AC224" s="9">
        <f t="shared" si="456"/>
        <v>0</v>
      </c>
      <c r="AD224" s="20"/>
      <c r="AE224" s="20"/>
      <c r="AF224" s="20">
        <v>227000</v>
      </c>
      <c r="AG224" s="20">
        <v>344000</v>
      </c>
      <c r="AH224" s="20">
        <f>500500+112000</f>
        <v>612500</v>
      </c>
      <c r="AI224" s="20">
        <f>692500+138600+69300</f>
        <v>900400</v>
      </c>
      <c r="AJ224" s="20">
        <v>1168250</v>
      </c>
      <c r="AK224" s="21">
        <f t="shared" si="457"/>
        <v>3252150</v>
      </c>
      <c r="AL224" s="25"/>
      <c r="AM224" s="20"/>
      <c r="AN224" s="20"/>
      <c r="AO224" s="20"/>
      <c r="AP224" s="21">
        <f t="shared" si="458"/>
        <v>0</v>
      </c>
      <c r="AQ224" s="25"/>
      <c r="AR224" s="20"/>
      <c r="AS224" s="20"/>
      <c r="AT224" s="20"/>
      <c r="AU224" s="21">
        <f t="shared" si="459"/>
        <v>0</v>
      </c>
      <c r="AV224" s="25"/>
      <c r="AW224" s="25"/>
      <c r="AX224" s="25"/>
      <c r="AY224" s="25"/>
      <c r="AZ224" s="20"/>
      <c r="BA224" s="20"/>
      <c r="BB224" s="20"/>
      <c r="BC224" s="21">
        <f t="shared" si="460"/>
        <v>0</v>
      </c>
      <c r="BD224" s="4">
        <f t="shared" si="461"/>
        <v>0</v>
      </c>
      <c r="BE224" s="4">
        <f t="shared" si="462"/>
        <v>0</v>
      </c>
      <c r="BF224" s="4">
        <f t="shared" si="463"/>
        <v>227000</v>
      </c>
      <c r="BG224" s="4">
        <f t="shared" si="464"/>
        <v>344000</v>
      </c>
      <c r="BH224" s="94">
        <f t="shared" si="465"/>
        <v>612500</v>
      </c>
      <c r="BI224" s="94">
        <f t="shared" si="466"/>
        <v>900400</v>
      </c>
      <c r="BJ224" s="94">
        <f t="shared" si="467"/>
        <v>1168250</v>
      </c>
      <c r="BK224" s="9">
        <f t="shared" si="468"/>
        <v>3252150</v>
      </c>
    </row>
    <row r="225" spans="1:63">
      <c r="A225" s="187"/>
      <c r="B225" s="8">
        <v>13</v>
      </c>
      <c r="C225" s="1" t="s">
        <v>385</v>
      </c>
      <c r="D225" s="4" t="s">
        <v>386</v>
      </c>
      <c r="E225" s="4" t="s">
        <v>23</v>
      </c>
      <c r="F225" s="4"/>
      <c r="G225" s="4">
        <v>155000</v>
      </c>
      <c r="H225" s="4"/>
      <c r="I225" s="4"/>
      <c r="J225" s="4"/>
      <c r="K225" s="4"/>
      <c r="L225" s="4"/>
      <c r="M225" s="9">
        <f t="shared" si="454"/>
        <v>155000</v>
      </c>
      <c r="N225" s="4"/>
      <c r="O225" s="4"/>
      <c r="P225" s="4"/>
      <c r="Q225" s="4"/>
      <c r="R225" s="4"/>
      <c r="S225" s="4"/>
      <c r="T225" s="4"/>
      <c r="U225" s="9">
        <f t="shared" si="455"/>
        <v>0</v>
      </c>
      <c r="V225" s="20"/>
      <c r="W225" s="20"/>
      <c r="X225" s="20"/>
      <c r="Y225" s="20"/>
      <c r="Z225" s="20"/>
      <c r="AA225" s="20"/>
      <c r="AB225" s="20"/>
      <c r="AC225" s="9">
        <f t="shared" si="456"/>
        <v>0</v>
      </c>
      <c r="AD225" s="20"/>
      <c r="AE225" s="20"/>
      <c r="AF225" s="20"/>
      <c r="AG225" s="20"/>
      <c r="AH225" s="20"/>
      <c r="AI225" s="20"/>
      <c r="AJ225" s="20"/>
      <c r="AK225" s="21">
        <f t="shared" si="457"/>
        <v>0</v>
      </c>
      <c r="AL225" s="25">
        <v>0</v>
      </c>
      <c r="AM225" s="20"/>
      <c r="AN225" s="20"/>
      <c r="AO225" s="20"/>
      <c r="AP225" s="21">
        <f t="shared" si="458"/>
        <v>0</v>
      </c>
      <c r="AQ225" s="25"/>
      <c r="AR225" s="20"/>
      <c r="AS225" s="20"/>
      <c r="AT225" s="20"/>
      <c r="AU225" s="21">
        <f t="shared" si="459"/>
        <v>0</v>
      </c>
      <c r="AV225" s="25"/>
      <c r="AW225" s="25"/>
      <c r="AX225" s="25"/>
      <c r="AY225" s="25"/>
      <c r="AZ225" s="20"/>
      <c r="BA225" s="20"/>
      <c r="BB225" s="20"/>
      <c r="BC225" s="21">
        <f t="shared" si="460"/>
        <v>0</v>
      </c>
      <c r="BD225" s="4">
        <f t="shared" si="461"/>
        <v>0</v>
      </c>
      <c r="BE225" s="4">
        <f t="shared" si="462"/>
        <v>155000</v>
      </c>
      <c r="BF225" s="4">
        <f t="shared" si="463"/>
        <v>0</v>
      </c>
      <c r="BG225" s="4">
        <f t="shared" si="464"/>
        <v>0</v>
      </c>
      <c r="BH225" s="94">
        <f t="shared" si="465"/>
        <v>0</v>
      </c>
      <c r="BI225" s="94">
        <f t="shared" si="466"/>
        <v>0</v>
      </c>
      <c r="BJ225" s="94">
        <f t="shared" si="467"/>
        <v>0</v>
      </c>
      <c r="BK225" s="9">
        <f t="shared" si="468"/>
        <v>155000</v>
      </c>
    </row>
    <row r="226" spans="1:63" s="38" customFormat="1">
      <c r="A226" s="34"/>
      <c r="B226" s="34"/>
      <c r="C226" s="35" t="s">
        <v>387</v>
      </c>
      <c r="D226" s="37"/>
      <c r="E226" s="37"/>
      <c r="F226" s="37">
        <f>SUM(F213:F225)</f>
        <v>155000</v>
      </c>
      <c r="G226" s="37">
        <f t="shared" ref="G226:BH226" si="469">SUM(G213:G225)</f>
        <v>3068447</v>
      </c>
      <c r="H226" s="37">
        <f t="shared" si="469"/>
        <v>3114500</v>
      </c>
      <c r="I226" s="37">
        <f t="shared" si="469"/>
        <v>1622500</v>
      </c>
      <c r="J226" s="37">
        <f t="shared" si="469"/>
        <v>3446000</v>
      </c>
      <c r="K226" s="37">
        <f t="shared" si="469"/>
        <v>3461116</v>
      </c>
      <c r="L226" s="37">
        <f t="shared" ref="L226" si="470">SUM(L213:L225)</f>
        <v>3287145</v>
      </c>
      <c r="M226" s="37">
        <f t="shared" si="469"/>
        <v>18154708</v>
      </c>
      <c r="N226" s="37">
        <f t="shared" si="469"/>
        <v>290000</v>
      </c>
      <c r="O226" s="37">
        <f t="shared" si="469"/>
        <v>1270000</v>
      </c>
      <c r="P226" s="37">
        <f t="shared" si="469"/>
        <v>850000</v>
      </c>
      <c r="Q226" s="37">
        <f t="shared" si="469"/>
        <v>835000</v>
      </c>
      <c r="R226" s="37">
        <f t="shared" si="469"/>
        <v>910000</v>
      </c>
      <c r="S226" s="37">
        <f t="shared" si="469"/>
        <v>1755000</v>
      </c>
      <c r="T226" s="37">
        <f t="shared" ref="T226" si="471">SUM(T213:T225)</f>
        <v>1540000</v>
      </c>
      <c r="U226" s="37">
        <f t="shared" si="469"/>
        <v>7450000</v>
      </c>
      <c r="V226" s="37">
        <f t="shared" si="469"/>
        <v>0</v>
      </c>
      <c r="W226" s="37">
        <f t="shared" si="469"/>
        <v>0</v>
      </c>
      <c r="X226" s="37">
        <f t="shared" si="469"/>
        <v>290000</v>
      </c>
      <c r="Y226" s="37">
        <f t="shared" si="469"/>
        <v>0</v>
      </c>
      <c r="Z226" s="37">
        <f t="shared" si="469"/>
        <v>0</v>
      </c>
      <c r="AA226" s="37">
        <f t="shared" si="469"/>
        <v>0</v>
      </c>
      <c r="AB226" s="37">
        <f t="shared" ref="AB226" si="472">SUM(AB213:AB225)</f>
        <v>0</v>
      </c>
      <c r="AC226" s="37">
        <f t="shared" si="469"/>
        <v>290000</v>
      </c>
      <c r="AD226" s="37">
        <f t="shared" si="469"/>
        <v>195000</v>
      </c>
      <c r="AE226" s="37">
        <f t="shared" si="469"/>
        <v>3131550</v>
      </c>
      <c r="AF226" s="37">
        <f t="shared" si="469"/>
        <v>3591300</v>
      </c>
      <c r="AG226" s="37">
        <f t="shared" si="469"/>
        <v>1146000</v>
      </c>
      <c r="AH226" s="37">
        <f t="shared" si="469"/>
        <v>1242500</v>
      </c>
      <c r="AI226" s="37">
        <f t="shared" si="469"/>
        <v>900400</v>
      </c>
      <c r="AJ226" s="37">
        <f t="shared" ref="AJ226" si="473">SUM(AJ213:AJ225)</f>
        <v>1168250</v>
      </c>
      <c r="AK226" s="37">
        <f t="shared" si="469"/>
        <v>11375000</v>
      </c>
      <c r="AL226" s="37">
        <f t="shared" si="469"/>
        <v>2571500</v>
      </c>
      <c r="AM226" s="37">
        <f t="shared" si="469"/>
        <v>8873000</v>
      </c>
      <c r="AN226" s="37">
        <f t="shared" si="469"/>
        <v>9137082</v>
      </c>
      <c r="AO226" s="37">
        <f t="shared" ref="AO226" si="474">SUM(AO213:AO225)</f>
        <v>7860850</v>
      </c>
      <c r="AP226" s="37">
        <f t="shared" si="469"/>
        <v>28442432</v>
      </c>
      <c r="AQ226" s="37">
        <f t="shared" si="469"/>
        <v>0</v>
      </c>
      <c r="AR226" s="37">
        <f t="shared" si="469"/>
        <v>0</v>
      </c>
      <c r="AS226" s="37">
        <f t="shared" si="469"/>
        <v>0</v>
      </c>
      <c r="AT226" s="37">
        <f t="shared" ref="AT226" si="475">SUM(AT213:AT225)</f>
        <v>0</v>
      </c>
      <c r="AU226" s="37">
        <f t="shared" si="469"/>
        <v>0</v>
      </c>
      <c r="AV226" s="37">
        <f t="shared" si="469"/>
        <v>0</v>
      </c>
      <c r="AW226" s="37">
        <f t="shared" si="469"/>
        <v>400000</v>
      </c>
      <c r="AX226" s="37">
        <f t="shared" si="469"/>
        <v>1687600</v>
      </c>
      <c r="AY226" s="37">
        <f t="shared" si="469"/>
        <v>270000</v>
      </c>
      <c r="AZ226" s="37">
        <f t="shared" si="469"/>
        <v>0</v>
      </c>
      <c r="BA226" s="37">
        <f t="shared" si="469"/>
        <v>0</v>
      </c>
      <c r="BB226" s="37">
        <f t="shared" ref="BB226" si="476">SUM(BB213:BB225)</f>
        <v>0</v>
      </c>
      <c r="BC226" s="37">
        <f t="shared" si="469"/>
        <v>2357600</v>
      </c>
      <c r="BD226" s="37">
        <f t="shared" si="469"/>
        <v>640000</v>
      </c>
      <c r="BE226" s="37">
        <f t="shared" si="469"/>
        <v>7869997</v>
      </c>
      <c r="BF226" s="37">
        <f t="shared" si="469"/>
        <v>9533400</v>
      </c>
      <c r="BG226" s="37">
        <f t="shared" si="469"/>
        <v>6445000</v>
      </c>
      <c r="BH226" s="37">
        <f t="shared" si="469"/>
        <v>14471500</v>
      </c>
      <c r="BI226" s="144">
        <f>SUM(BI213:BI225)</f>
        <v>15253598</v>
      </c>
      <c r="BJ226" s="37">
        <f t="shared" ref="BJ226" si="477">SUM(BJ213:BJ225)</f>
        <v>13856245</v>
      </c>
      <c r="BK226" s="37">
        <f>SUM(BK213:BK225)</f>
        <v>68069740</v>
      </c>
    </row>
    <row r="227" spans="1:63" s="14" customFormat="1">
      <c r="A227" s="65"/>
      <c r="B227" s="86"/>
      <c r="C227" s="66"/>
      <c r="D227" s="67"/>
      <c r="E227" s="67"/>
      <c r="F227" s="67"/>
      <c r="G227" s="67"/>
      <c r="H227" s="68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95"/>
      <c r="BI227" s="95"/>
      <c r="BJ227" s="95"/>
      <c r="BK227" s="69"/>
    </row>
    <row r="228" spans="1:63" s="16" customFormat="1" ht="16.5" thickBot="1">
      <c r="A228" s="15"/>
      <c r="B228" s="87"/>
      <c r="C228" s="19" t="s">
        <v>63</v>
      </c>
      <c r="D228" s="15"/>
      <c r="E228" s="15"/>
      <c r="F228" s="15">
        <f t="shared" ref="F228:K228" si="478">F16+F21+F27+F30+F35+F45+F54+F63+F68+F70+F72+F82+F84+F116+F121+F125+F127+F129+F146+F149+F151+F157+F166+F172+F210+F212+F226</f>
        <v>5115000</v>
      </c>
      <c r="G228" s="15">
        <f t="shared" si="478"/>
        <v>31213052</v>
      </c>
      <c r="H228" s="15">
        <f t="shared" si="478"/>
        <v>33449181</v>
      </c>
      <c r="I228" s="15">
        <f t="shared" si="478"/>
        <v>16926000</v>
      </c>
      <c r="J228" s="15">
        <f t="shared" si="478"/>
        <v>12376000</v>
      </c>
      <c r="K228" s="15">
        <f t="shared" si="478"/>
        <v>15406301</v>
      </c>
      <c r="L228" s="15">
        <f>L16+L21+L27+L30+L35+L45+L54+L63+L68+L70+L72+L82+L84+L116+L121+L125+L127+L129+L146+L149+L151+L157+L166+L172+L210+L212+L226</f>
        <v>15250735</v>
      </c>
      <c r="M228" s="15">
        <f>M16+M21+M27+M30+M35+M45+M54+M63+M68+M70+M72+M82+M84+M116+M121+M125+M127+M129+M146+M149+M151+M157+M166+M172+M210+M212+M226</f>
        <v>129736269</v>
      </c>
      <c r="N228" s="15">
        <f t="shared" ref="N228:AJ228" si="479">N16+N21+N27+N30+N35+N45+N54+N63+N68+N70+N72+N82+N84+N116+N121+N125+N127+N129+N146+N149+N151+N157+N166+N172+N210+N212+N226</f>
        <v>3480000</v>
      </c>
      <c r="O228" s="15">
        <f t="shared" si="479"/>
        <v>36620000</v>
      </c>
      <c r="P228" s="15">
        <f t="shared" si="479"/>
        <v>40371999</v>
      </c>
      <c r="Q228" s="15">
        <f t="shared" si="479"/>
        <v>18123500</v>
      </c>
      <c r="R228" s="15">
        <f t="shared" si="479"/>
        <v>13675000</v>
      </c>
      <c r="S228" s="15">
        <f t="shared" si="479"/>
        <v>31550000</v>
      </c>
      <c r="T228" s="15">
        <f t="shared" si="479"/>
        <v>37320000</v>
      </c>
      <c r="U228" s="15">
        <f t="shared" si="479"/>
        <v>181140499</v>
      </c>
      <c r="V228" s="15">
        <f t="shared" si="479"/>
        <v>4060000</v>
      </c>
      <c r="W228" s="15">
        <f t="shared" si="479"/>
        <v>24874479</v>
      </c>
      <c r="X228" s="15">
        <f t="shared" si="479"/>
        <v>30501935</v>
      </c>
      <c r="Y228" s="15">
        <f t="shared" si="479"/>
        <v>11338000</v>
      </c>
      <c r="Z228" s="15">
        <f t="shared" si="479"/>
        <v>7805000</v>
      </c>
      <c r="AA228" s="15">
        <f t="shared" si="479"/>
        <v>12869000</v>
      </c>
      <c r="AB228" s="15">
        <f t="shared" si="479"/>
        <v>15301000</v>
      </c>
      <c r="AC228" s="15">
        <f t="shared" si="479"/>
        <v>106749414</v>
      </c>
      <c r="AD228" s="15">
        <f t="shared" si="479"/>
        <v>5265000</v>
      </c>
      <c r="AE228" s="15">
        <f t="shared" si="479"/>
        <v>62724231</v>
      </c>
      <c r="AF228" s="15">
        <f t="shared" si="479"/>
        <v>47459700</v>
      </c>
      <c r="AG228" s="15">
        <f t="shared" si="479"/>
        <v>28552500</v>
      </c>
      <c r="AH228" s="15">
        <f t="shared" si="479"/>
        <v>19982000</v>
      </c>
      <c r="AI228" s="15">
        <f t="shared" si="479"/>
        <v>26529856</v>
      </c>
      <c r="AJ228" s="15">
        <f t="shared" si="479"/>
        <v>33952208</v>
      </c>
      <c r="AK228" s="15">
        <f>AK16+AK21+AK27+AK30+AK35+AK45+AK54+AK63+AK68+AK70+AK72+AK82+AK84+AK116+AK121+AK125+AK127+AK129+AK146+AK149+AK151+AK157+AK166+AK172+AK210+AK212+AK226</f>
        <v>224465495</v>
      </c>
      <c r="AL228" s="15">
        <f t="shared" ref="AL228:BK228" si="480">AL16+AL21+AL27+AL30+AL35+AL45+AL54+AL63+AL68+AL70+AL72+AL82+AL84+AL116+AL121+AL125+AL127+AL129+AL146+AL149+AL151+AL157+AL166+AL172+AL210+AL212+AL226</f>
        <v>29535500</v>
      </c>
      <c r="AM228" s="15">
        <f t="shared" si="480"/>
        <v>42111500</v>
      </c>
      <c r="AN228" s="15">
        <f t="shared" si="480"/>
        <v>57648170</v>
      </c>
      <c r="AO228" s="15">
        <f t="shared" si="480"/>
        <v>57947176</v>
      </c>
      <c r="AP228" s="15">
        <f t="shared" si="480"/>
        <v>187242346</v>
      </c>
      <c r="AQ228" s="15">
        <f t="shared" si="480"/>
        <v>7090000</v>
      </c>
      <c r="AR228" s="15">
        <f t="shared" si="480"/>
        <v>13055000</v>
      </c>
      <c r="AS228" s="15">
        <f t="shared" si="480"/>
        <v>23552500</v>
      </c>
      <c r="AT228" s="15">
        <f t="shared" si="480"/>
        <v>29248000</v>
      </c>
      <c r="AU228" s="15">
        <f t="shared" si="480"/>
        <v>72945500</v>
      </c>
      <c r="AV228" s="15">
        <f t="shared" si="480"/>
        <v>0</v>
      </c>
      <c r="AW228" s="15">
        <f t="shared" si="480"/>
        <v>4682000</v>
      </c>
      <c r="AX228" s="15">
        <f t="shared" si="480"/>
        <v>11835750</v>
      </c>
      <c r="AY228" s="15">
        <f t="shared" si="480"/>
        <v>1463000</v>
      </c>
      <c r="AZ228" s="15">
        <f t="shared" si="480"/>
        <v>0</v>
      </c>
      <c r="BA228" s="15">
        <f t="shared" si="480"/>
        <v>0</v>
      </c>
      <c r="BB228" s="15">
        <f t="shared" si="480"/>
        <v>266800</v>
      </c>
      <c r="BC228" s="15">
        <f t="shared" si="480"/>
        <v>18247550</v>
      </c>
      <c r="BD228" s="15">
        <f t="shared" si="480"/>
        <v>17920000</v>
      </c>
      <c r="BE228" s="15">
        <f t="shared" si="480"/>
        <v>160113762</v>
      </c>
      <c r="BF228" s="15">
        <f t="shared" si="480"/>
        <v>163618565</v>
      </c>
      <c r="BG228" s="15">
        <f t="shared" si="480"/>
        <v>113028500</v>
      </c>
      <c r="BH228" s="15">
        <f t="shared" si="480"/>
        <v>109004500</v>
      </c>
      <c r="BI228" s="15">
        <f t="shared" si="480"/>
        <v>167555827</v>
      </c>
      <c r="BJ228" s="15">
        <f t="shared" si="480"/>
        <v>189285919</v>
      </c>
      <c r="BK228" s="15">
        <f t="shared" si="480"/>
        <v>920527073</v>
      </c>
    </row>
    <row r="229" spans="1:63" s="136" customFormat="1" ht="16.5" thickTop="1">
      <c r="A229" s="137"/>
      <c r="B229" s="138"/>
      <c r="C229" s="135" t="s">
        <v>479</v>
      </c>
      <c r="D229" s="137"/>
      <c r="E229" s="137"/>
      <c r="F229" s="137">
        <v>0</v>
      </c>
      <c r="G229" s="137">
        <v>0</v>
      </c>
      <c r="H229" s="137">
        <v>0</v>
      </c>
      <c r="I229" s="137">
        <v>0</v>
      </c>
      <c r="J229" s="137">
        <v>0</v>
      </c>
      <c r="K229" s="137">
        <v>5475198</v>
      </c>
      <c r="L229" s="137">
        <v>0</v>
      </c>
      <c r="M229" s="137">
        <f>SUM(F229:L229)</f>
        <v>5475198</v>
      </c>
      <c r="N229" s="137">
        <v>0</v>
      </c>
      <c r="O229" s="137">
        <v>0</v>
      </c>
      <c r="P229" s="137">
        <v>0</v>
      </c>
      <c r="Q229" s="137">
        <v>0</v>
      </c>
      <c r="R229" s="137">
        <v>0</v>
      </c>
      <c r="S229" s="137">
        <v>702778</v>
      </c>
      <c r="T229" s="137">
        <v>0</v>
      </c>
      <c r="U229" s="137">
        <f>SUM(N229:T229)</f>
        <v>702778</v>
      </c>
      <c r="V229" s="137">
        <v>0</v>
      </c>
      <c r="W229" s="137">
        <v>0</v>
      </c>
      <c r="X229" s="137">
        <v>0</v>
      </c>
      <c r="Y229" s="137">
        <v>0</v>
      </c>
      <c r="Z229" s="137">
        <v>0</v>
      </c>
      <c r="AA229" s="137">
        <v>593847</v>
      </c>
      <c r="AB229" s="137">
        <v>0</v>
      </c>
      <c r="AC229" s="137">
        <f>SUM(V229:AB229)</f>
        <v>593847</v>
      </c>
      <c r="AD229" s="137">
        <v>0</v>
      </c>
      <c r="AE229" s="137">
        <v>0</v>
      </c>
      <c r="AF229" s="137">
        <v>0</v>
      </c>
      <c r="AG229" s="137">
        <v>0</v>
      </c>
      <c r="AH229" s="137">
        <v>0</v>
      </c>
      <c r="AI229" s="137">
        <v>8231288</v>
      </c>
      <c r="AJ229" s="137">
        <v>0</v>
      </c>
      <c r="AK229" s="137">
        <f>SUM(AD229:AJ229)</f>
        <v>8231288</v>
      </c>
      <c r="AL229" s="137">
        <v>0</v>
      </c>
      <c r="AM229" s="137">
        <v>0</v>
      </c>
      <c r="AN229" s="137">
        <v>13759935</v>
      </c>
      <c r="AO229" s="137">
        <v>0</v>
      </c>
      <c r="AP229" s="137">
        <f>SUM(AL229:AO229)</f>
        <v>13759935</v>
      </c>
      <c r="AQ229" s="137">
        <v>0</v>
      </c>
      <c r="AR229" s="137">
        <v>0</v>
      </c>
      <c r="AS229" s="137">
        <v>671559</v>
      </c>
      <c r="AT229" s="137">
        <v>0</v>
      </c>
      <c r="AU229" s="137">
        <f>SUM(AQ229:AT229)</f>
        <v>671559</v>
      </c>
      <c r="AV229" s="137">
        <v>0</v>
      </c>
      <c r="AW229" s="137">
        <v>0</v>
      </c>
      <c r="AX229" s="137">
        <v>0</v>
      </c>
      <c r="AY229" s="137">
        <v>0</v>
      </c>
      <c r="AZ229" s="137">
        <v>0</v>
      </c>
      <c r="BA229" s="137">
        <v>0</v>
      </c>
      <c r="BB229" s="137">
        <v>0</v>
      </c>
      <c r="BC229" s="137">
        <f>SUM(AV229:BB229)</f>
        <v>0</v>
      </c>
      <c r="BD229" s="137">
        <f t="shared" ref="BD229" si="481">F229+N229+V229+AD229+AV229</f>
        <v>0</v>
      </c>
      <c r="BE229" s="137">
        <f t="shared" ref="BE229" si="482">G229+O229+W229+AE229+AW229</f>
        <v>0</v>
      </c>
      <c r="BF229" s="137">
        <f t="shared" ref="BF229" si="483">H229+P229+X229+AF229+AX229</f>
        <v>0</v>
      </c>
      <c r="BG229" s="137">
        <f t="shared" ref="BG229" si="484">I229+Q229+Y229+AG229+AL229+AQ229+AY229</f>
        <v>0</v>
      </c>
      <c r="BH229" s="137">
        <f t="shared" ref="BH229" si="485">J229+R229+Z229+AH229+AM229+AR229+AZ229</f>
        <v>0</v>
      </c>
      <c r="BI229" s="137">
        <f>K229+S229+AA229+AI229+AN229+AS229+BA229</f>
        <v>29434605</v>
      </c>
      <c r="BJ229" s="137">
        <f t="shared" ref="BJ229" si="486">L229+T229+AB229+AJ229+AO229+AT229+BB229</f>
        <v>0</v>
      </c>
      <c r="BK229" s="137">
        <f>SUM(BD229:BJ229)</f>
        <v>29434605</v>
      </c>
    </row>
    <row r="230" spans="1:63" s="16" customFormat="1" ht="16.5" thickBot="1">
      <c r="A230" s="132"/>
      <c r="B230" s="133"/>
      <c r="C230" s="134"/>
      <c r="D230" s="132"/>
      <c r="E230" s="132"/>
      <c r="F230" s="132">
        <f t="shared" ref="F230:J230" si="487">F228+F229</f>
        <v>5115000</v>
      </c>
      <c r="G230" s="132">
        <f t="shared" si="487"/>
        <v>31213052</v>
      </c>
      <c r="H230" s="132">
        <f t="shared" si="487"/>
        <v>33449181</v>
      </c>
      <c r="I230" s="132">
        <f t="shared" si="487"/>
        <v>16926000</v>
      </c>
      <c r="J230" s="132">
        <f t="shared" si="487"/>
        <v>12376000</v>
      </c>
      <c r="K230" s="132">
        <f>K228+K229</f>
        <v>20881499</v>
      </c>
      <c r="L230" s="132">
        <f>L228+L229</f>
        <v>15250735</v>
      </c>
      <c r="M230" s="132">
        <f t="shared" ref="M230:AJ230" si="488">M228+M229</f>
        <v>135211467</v>
      </c>
      <c r="N230" s="132">
        <f t="shared" si="488"/>
        <v>3480000</v>
      </c>
      <c r="O230" s="132">
        <f t="shared" si="488"/>
        <v>36620000</v>
      </c>
      <c r="P230" s="132">
        <f t="shared" si="488"/>
        <v>40371999</v>
      </c>
      <c r="Q230" s="132">
        <f t="shared" si="488"/>
        <v>18123500</v>
      </c>
      <c r="R230" s="132">
        <f t="shared" si="488"/>
        <v>13675000</v>
      </c>
      <c r="S230" s="132">
        <f t="shared" si="488"/>
        <v>32252778</v>
      </c>
      <c r="T230" s="132">
        <f t="shared" si="488"/>
        <v>37320000</v>
      </c>
      <c r="U230" s="132">
        <f t="shared" si="488"/>
        <v>181843277</v>
      </c>
      <c r="V230" s="132">
        <f t="shared" si="488"/>
        <v>4060000</v>
      </c>
      <c r="W230" s="132">
        <f t="shared" si="488"/>
        <v>24874479</v>
      </c>
      <c r="X230" s="132">
        <f t="shared" si="488"/>
        <v>30501935</v>
      </c>
      <c r="Y230" s="132">
        <f t="shared" si="488"/>
        <v>11338000</v>
      </c>
      <c r="Z230" s="132">
        <f t="shared" si="488"/>
        <v>7805000</v>
      </c>
      <c r="AA230" s="132">
        <f t="shared" si="488"/>
        <v>13462847</v>
      </c>
      <c r="AB230" s="132">
        <f t="shared" si="488"/>
        <v>15301000</v>
      </c>
      <c r="AC230" s="132">
        <f t="shared" si="488"/>
        <v>107343261</v>
      </c>
      <c r="AD230" s="132">
        <f t="shared" si="488"/>
        <v>5265000</v>
      </c>
      <c r="AE230" s="132">
        <f t="shared" si="488"/>
        <v>62724231</v>
      </c>
      <c r="AF230" s="132">
        <f t="shared" si="488"/>
        <v>47459700</v>
      </c>
      <c r="AG230" s="132">
        <f t="shared" si="488"/>
        <v>28552500</v>
      </c>
      <c r="AH230" s="132">
        <f t="shared" si="488"/>
        <v>19982000</v>
      </c>
      <c r="AI230" s="132">
        <f t="shared" si="488"/>
        <v>34761144</v>
      </c>
      <c r="AJ230" s="132">
        <f t="shared" si="488"/>
        <v>33952208</v>
      </c>
      <c r="AK230" s="132">
        <f>AK228+AK229</f>
        <v>232696783</v>
      </c>
      <c r="AL230" s="132">
        <f t="shared" ref="AL230:BB230" si="489">AL228+AL229</f>
        <v>29535500</v>
      </c>
      <c r="AM230" s="132">
        <f t="shared" si="489"/>
        <v>42111500</v>
      </c>
      <c r="AN230" s="132">
        <f t="shared" si="489"/>
        <v>71408105</v>
      </c>
      <c r="AO230" s="132">
        <f t="shared" si="489"/>
        <v>57947176</v>
      </c>
      <c r="AP230" s="132">
        <f t="shared" si="489"/>
        <v>201002281</v>
      </c>
      <c r="AQ230" s="132">
        <f t="shared" si="489"/>
        <v>7090000</v>
      </c>
      <c r="AR230" s="132">
        <f t="shared" si="489"/>
        <v>13055000</v>
      </c>
      <c r="AS230" s="132">
        <f t="shared" si="489"/>
        <v>24224059</v>
      </c>
      <c r="AT230" s="132">
        <f t="shared" si="489"/>
        <v>29248000</v>
      </c>
      <c r="AU230" s="132">
        <f t="shared" si="489"/>
        <v>73617059</v>
      </c>
      <c r="AV230" s="132">
        <f t="shared" si="489"/>
        <v>0</v>
      </c>
      <c r="AW230" s="132">
        <f t="shared" si="489"/>
        <v>4682000</v>
      </c>
      <c r="AX230" s="132">
        <f t="shared" si="489"/>
        <v>11835750</v>
      </c>
      <c r="AY230" s="132">
        <f t="shared" si="489"/>
        <v>1463000</v>
      </c>
      <c r="AZ230" s="132">
        <f t="shared" si="489"/>
        <v>0</v>
      </c>
      <c r="BA230" s="132">
        <f t="shared" si="489"/>
        <v>0</v>
      </c>
      <c r="BB230" s="132">
        <f t="shared" si="489"/>
        <v>266800</v>
      </c>
      <c r="BC230" s="132">
        <f>BC228+BC229</f>
        <v>18247550</v>
      </c>
      <c r="BD230" s="132">
        <f t="shared" ref="BD230:BK230" si="490">BD228+BD229</f>
        <v>17920000</v>
      </c>
      <c r="BE230" s="132">
        <f t="shared" si="490"/>
        <v>160113762</v>
      </c>
      <c r="BF230" s="132">
        <f t="shared" si="490"/>
        <v>163618565</v>
      </c>
      <c r="BG230" s="132">
        <f t="shared" si="490"/>
        <v>113028500</v>
      </c>
      <c r="BH230" s="132">
        <f t="shared" si="490"/>
        <v>109004500</v>
      </c>
      <c r="BI230" s="132">
        <f t="shared" si="490"/>
        <v>196990432</v>
      </c>
      <c r="BJ230" s="132">
        <f t="shared" si="490"/>
        <v>189285919</v>
      </c>
      <c r="BK230" s="132">
        <f t="shared" si="490"/>
        <v>949961678</v>
      </c>
    </row>
    <row r="231" spans="1:63" ht="16.5" thickTop="1">
      <c r="D231" s="183" t="s">
        <v>392</v>
      </c>
      <c r="E231" s="183"/>
      <c r="F231" s="3">
        <v>5115000</v>
      </c>
      <c r="G231" s="3">
        <v>31213052</v>
      </c>
      <c r="H231" s="31">
        <v>33449181</v>
      </c>
      <c r="I231" s="3">
        <v>16926000</v>
      </c>
      <c r="J231" s="3">
        <v>12376000</v>
      </c>
      <c r="K231" s="3">
        <v>20881499</v>
      </c>
      <c r="L231" s="3">
        <v>15250735</v>
      </c>
      <c r="M231" s="3"/>
      <c r="N231" s="3">
        <v>3480000</v>
      </c>
      <c r="O231" s="3">
        <v>36620000</v>
      </c>
      <c r="P231" s="3">
        <v>40371999</v>
      </c>
      <c r="Q231" s="3">
        <v>18123500</v>
      </c>
      <c r="R231" s="3">
        <v>13675000</v>
      </c>
      <c r="S231" s="3">
        <v>32252778</v>
      </c>
      <c r="T231" s="3">
        <v>37320000</v>
      </c>
      <c r="V231" s="3">
        <v>4060000</v>
      </c>
      <c r="W231" s="3">
        <v>24874479</v>
      </c>
      <c r="X231" s="3">
        <v>30501935</v>
      </c>
      <c r="Y231" s="3">
        <v>11338000</v>
      </c>
      <c r="Z231" s="3">
        <v>7805000</v>
      </c>
      <c r="AA231" s="3">
        <v>13462847</v>
      </c>
      <c r="AB231" s="3">
        <v>15301000</v>
      </c>
      <c r="AD231" s="3">
        <v>5265000</v>
      </c>
      <c r="AE231" s="3">
        <v>62724231</v>
      </c>
      <c r="AF231" s="3">
        <v>47459700</v>
      </c>
      <c r="AG231" s="3">
        <v>28552500</v>
      </c>
      <c r="AH231" s="3">
        <v>19982000</v>
      </c>
      <c r="AI231" s="3">
        <v>34761144</v>
      </c>
      <c r="AJ231" s="3">
        <v>33952208</v>
      </c>
      <c r="AK231" s="3"/>
      <c r="AL231" s="3">
        <v>29535500</v>
      </c>
      <c r="AM231" s="3">
        <v>42111500</v>
      </c>
      <c r="AN231" s="3">
        <v>71408105</v>
      </c>
      <c r="AO231" s="3">
        <v>57947176</v>
      </c>
      <c r="AP231" s="3"/>
      <c r="AQ231" s="3">
        <v>7090000</v>
      </c>
      <c r="AR231" s="3">
        <v>13055000</v>
      </c>
      <c r="AS231" s="3">
        <v>24224059</v>
      </c>
      <c r="AT231" s="3">
        <v>29248000</v>
      </c>
      <c r="AV231" s="3">
        <v>0</v>
      </c>
      <c r="AW231" s="3">
        <v>4682000</v>
      </c>
      <c r="AX231" s="3">
        <v>11835750</v>
      </c>
      <c r="AY231" s="3">
        <v>1463000</v>
      </c>
      <c r="AZ231" s="14">
        <v>0</v>
      </c>
      <c r="BA231" s="14">
        <v>0</v>
      </c>
      <c r="BB231" s="14">
        <v>266800</v>
      </c>
    </row>
    <row r="232" spans="1:63" ht="31.5">
      <c r="E232" s="74" t="s">
        <v>393</v>
      </c>
      <c r="F232" s="3">
        <f>F230-F231</f>
        <v>0</v>
      </c>
      <c r="G232" s="3">
        <f t="shared" ref="G232:AT232" si="491">G230-G231</f>
        <v>0</v>
      </c>
      <c r="H232" s="3">
        <f t="shared" si="491"/>
        <v>0</v>
      </c>
      <c r="I232" s="3">
        <f t="shared" si="491"/>
        <v>0</v>
      </c>
      <c r="J232" s="3">
        <f t="shared" si="491"/>
        <v>0</v>
      </c>
      <c r="K232" s="3">
        <f t="shared" si="491"/>
        <v>0</v>
      </c>
      <c r="L232" s="3">
        <f t="shared" si="491"/>
        <v>0</v>
      </c>
      <c r="M232" s="3"/>
      <c r="N232" s="3">
        <f t="shared" si="491"/>
        <v>0</v>
      </c>
      <c r="O232" s="3">
        <f t="shared" si="491"/>
        <v>0</v>
      </c>
      <c r="P232" s="3">
        <f t="shared" si="491"/>
        <v>0</v>
      </c>
      <c r="Q232" s="3">
        <f t="shared" si="491"/>
        <v>0</v>
      </c>
      <c r="R232" s="3">
        <f t="shared" si="491"/>
        <v>0</v>
      </c>
      <c r="S232" s="3">
        <f t="shared" si="491"/>
        <v>0</v>
      </c>
      <c r="T232" s="3">
        <f t="shared" si="491"/>
        <v>0</v>
      </c>
      <c r="U232" s="3"/>
      <c r="V232" s="3">
        <f t="shared" si="491"/>
        <v>0</v>
      </c>
      <c r="W232" s="3">
        <f t="shared" si="491"/>
        <v>0</v>
      </c>
      <c r="X232" s="3">
        <f t="shared" si="491"/>
        <v>0</v>
      </c>
      <c r="Y232" s="3">
        <f t="shared" si="491"/>
        <v>0</v>
      </c>
      <c r="Z232" s="3">
        <f t="shared" si="491"/>
        <v>0</v>
      </c>
      <c r="AA232" s="3">
        <f t="shared" si="491"/>
        <v>0</v>
      </c>
      <c r="AB232" s="3">
        <f t="shared" si="491"/>
        <v>0</v>
      </c>
      <c r="AC232" s="3"/>
      <c r="AD232" s="3">
        <f t="shared" si="491"/>
        <v>0</v>
      </c>
      <c r="AE232" s="3">
        <f t="shared" si="491"/>
        <v>0</v>
      </c>
      <c r="AF232" s="3">
        <f t="shared" si="491"/>
        <v>0</v>
      </c>
      <c r="AG232" s="3">
        <f t="shared" si="491"/>
        <v>0</v>
      </c>
      <c r="AH232" s="3">
        <f t="shared" si="491"/>
        <v>0</v>
      </c>
      <c r="AI232" s="3">
        <f t="shared" si="491"/>
        <v>0</v>
      </c>
      <c r="AJ232" s="3">
        <f t="shared" si="491"/>
        <v>0</v>
      </c>
      <c r="AK232" s="3"/>
      <c r="AL232" s="3">
        <f t="shared" si="491"/>
        <v>0</v>
      </c>
      <c r="AM232" s="3">
        <f t="shared" si="491"/>
        <v>0</v>
      </c>
      <c r="AN232" s="3">
        <f t="shared" si="491"/>
        <v>0</v>
      </c>
      <c r="AO232" s="3">
        <f t="shared" si="491"/>
        <v>0</v>
      </c>
      <c r="AP232" s="3"/>
      <c r="AQ232" s="3">
        <f t="shared" si="491"/>
        <v>0</v>
      </c>
      <c r="AR232" s="3">
        <f t="shared" si="491"/>
        <v>0</v>
      </c>
      <c r="AS232" s="3">
        <f t="shared" si="491"/>
        <v>0</v>
      </c>
      <c r="AT232" s="3">
        <f t="shared" si="491"/>
        <v>0</v>
      </c>
      <c r="AU232" s="3"/>
      <c r="AV232" s="3">
        <f t="shared" ref="AV232:BA232" si="492">AV228-AV231</f>
        <v>0</v>
      </c>
      <c r="AW232" s="3">
        <f t="shared" si="492"/>
        <v>0</v>
      </c>
      <c r="AX232" s="3">
        <f t="shared" si="492"/>
        <v>0</v>
      </c>
      <c r="AY232" s="3">
        <f t="shared" si="492"/>
        <v>0</v>
      </c>
      <c r="AZ232" s="3">
        <f t="shared" si="492"/>
        <v>0</v>
      </c>
      <c r="BA232" s="3">
        <f t="shared" si="492"/>
        <v>0</v>
      </c>
      <c r="BB232" s="3">
        <f t="shared" ref="BB232" si="493">BB228-BB231</f>
        <v>0</v>
      </c>
      <c r="BC232" s="3"/>
      <c r="BG232" s="78"/>
      <c r="BH232" s="97"/>
      <c r="BI232" s="97"/>
      <c r="BJ232" s="97"/>
      <c r="BK232" s="78"/>
    </row>
    <row r="233" spans="1:63" ht="47.25">
      <c r="A233" s="3"/>
      <c r="B233" s="3"/>
      <c r="C233" s="182" t="s">
        <v>436</v>
      </c>
      <c r="D233" s="182"/>
      <c r="E233" s="88" t="s">
        <v>496</v>
      </c>
      <c r="F233" s="88"/>
      <c r="H233" s="3"/>
      <c r="J233" s="88"/>
      <c r="K233" s="88"/>
      <c r="L233" s="88" t="s">
        <v>496</v>
      </c>
      <c r="M233" s="3"/>
      <c r="R233" s="88"/>
      <c r="S233" s="88"/>
      <c r="T233" s="88" t="s">
        <v>496</v>
      </c>
      <c r="U233" s="3"/>
      <c r="Z233" s="88"/>
      <c r="AA233" s="88"/>
      <c r="AB233" s="88" t="s">
        <v>496</v>
      </c>
      <c r="AC233" s="3"/>
      <c r="AH233" s="88"/>
      <c r="AI233" s="88"/>
      <c r="AJ233" s="88" t="s">
        <v>496</v>
      </c>
      <c r="AK233" s="3"/>
      <c r="AM233" s="88"/>
      <c r="AN233" s="88"/>
      <c r="AO233" s="88" t="s">
        <v>496</v>
      </c>
      <c r="AP233" s="88"/>
      <c r="AR233" s="88"/>
      <c r="AS233" s="88"/>
      <c r="AT233" s="88" t="s">
        <v>496</v>
      </c>
      <c r="AU233" s="78"/>
      <c r="AZ233" s="88"/>
      <c r="BA233" s="88"/>
      <c r="BB233" s="88" t="s">
        <v>496</v>
      </c>
      <c r="BC233" s="3"/>
      <c r="BH233" s="88"/>
      <c r="BI233" s="88" t="s">
        <v>496</v>
      </c>
      <c r="BJ233" s="88" t="s">
        <v>496</v>
      </c>
      <c r="BK233" s="88" t="s">
        <v>496</v>
      </c>
    </row>
    <row r="234" spans="1:63" ht="283.5">
      <c r="A234" s="3"/>
      <c r="B234" s="3"/>
      <c r="C234" s="71" t="s">
        <v>390</v>
      </c>
      <c r="G234" s="80" t="s">
        <v>480</v>
      </c>
      <c r="H234" s="79" t="s">
        <v>398</v>
      </c>
      <c r="J234" s="103"/>
      <c r="K234" s="120" t="s">
        <v>462</v>
      </c>
      <c r="P234" s="81" t="s">
        <v>437</v>
      </c>
      <c r="R234" s="79" t="s">
        <v>435</v>
      </c>
      <c r="S234" s="120" t="s">
        <v>466</v>
      </c>
      <c r="T234" s="3"/>
      <c r="U234" s="75"/>
      <c r="V234" s="75"/>
      <c r="W234" s="75"/>
      <c r="X234" s="79" t="s">
        <v>398</v>
      </c>
      <c r="Z234" s="75"/>
      <c r="AA234" s="120" t="s">
        <v>467</v>
      </c>
      <c r="AB234" s="75"/>
      <c r="AC234" s="75"/>
      <c r="AE234" s="81" t="s">
        <v>397</v>
      </c>
      <c r="AI234" s="120" t="s">
        <v>463</v>
      </c>
      <c r="AN234" s="120" t="s">
        <v>464</v>
      </c>
      <c r="AS234" s="120" t="s">
        <v>468</v>
      </c>
      <c r="AW234" s="193"/>
      <c r="AX234" s="193"/>
      <c r="BK234" s="3"/>
    </row>
    <row r="235" spans="1:63">
      <c r="A235" s="3"/>
      <c r="B235" s="3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BK235" s="3"/>
    </row>
    <row r="237" spans="1:63">
      <c r="A237" s="3"/>
      <c r="B237" s="3"/>
      <c r="I237" s="14"/>
      <c r="BK237" s="3"/>
    </row>
  </sheetData>
  <autoFilter ref="A3:BM4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</autoFilter>
  <mergeCells count="40">
    <mergeCell ref="A64:A67"/>
    <mergeCell ref="A73:A81"/>
    <mergeCell ref="AW234:AX234"/>
    <mergeCell ref="A117:A120"/>
    <mergeCell ref="A122:A124"/>
    <mergeCell ref="A130:A145"/>
    <mergeCell ref="A147:A148"/>
    <mergeCell ref="A152:A156"/>
    <mergeCell ref="A158:A165"/>
    <mergeCell ref="A167:A171"/>
    <mergeCell ref="A173:A209"/>
    <mergeCell ref="A213:A225"/>
    <mergeCell ref="D231:E231"/>
    <mergeCell ref="C233:D233"/>
    <mergeCell ref="A85:A115"/>
    <mergeCell ref="A36:A44"/>
    <mergeCell ref="A46:A53"/>
    <mergeCell ref="A55:A62"/>
    <mergeCell ref="A1:AY1"/>
    <mergeCell ref="A2:E2"/>
    <mergeCell ref="F2:BC2"/>
    <mergeCell ref="N3:U3"/>
    <mergeCell ref="V3:AC3"/>
    <mergeCell ref="AD3:AK3"/>
    <mergeCell ref="AL3:AP3"/>
    <mergeCell ref="A5:A15"/>
    <mergeCell ref="A17:A20"/>
    <mergeCell ref="A22:A26"/>
    <mergeCell ref="A28:A29"/>
    <mergeCell ref="AQ3:AU3"/>
    <mergeCell ref="A31:A34"/>
    <mergeCell ref="BD2:BK2"/>
    <mergeCell ref="A3:A4"/>
    <mergeCell ref="B3:B4"/>
    <mergeCell ref="C3:C4"/>
    <mergeCell ref="D3:D4"/>
    <mergeCell ref="E3:E4"/>
    <mergeCell ref="F3:M3"/>
    <mergeCell ref="BD3:BK3"/>
    <mergeCell ref="AV3:BC3"/>
  </mergeCells>
  <conditionalFormatting sqref="C30">
    <cfRule type="duplicateValues" dxfId="60" priority="34"/>
  </conditionalFormatting>
  <conditionalFormatting sqref="C83">
    <cfRule type="duplicateValues" dxfId="59" priority="33"/>
  </conditionalFormatting>
  <conditionalFormatting sqref="C234:E1048576 D228:E232 C200:C207 C132:C133 C5:C12 C84:C85 C176:C198 C145:C156 C158:C160 C31:C39 C135:C139 C209:C232 D3:E4 C3 C14:C28 C88:C123 C125:C130 C162:C174 C43:C82">
    <cfRule type="duplicateValues" dxfId="58" priority="32"/>
  </conditionalFormatting>
  <conditionalFormatting sqref="C234:E1048576 C228:E232">
    <cfRule type="duplicateValues" dxfId="57" priority="31"/>
  </conditionalFormatting>
  <conditionalFormatting sqref="A3:B3">
    <cfRule type="duplicateValues" dxfId="56" priority="30"/>
  </conditionalFormatting>
  <conditionalFormatting sqref="C30">
    <cfRule type="duplicateValues" dxfId="55" priority="29"/>
  </conditionalFormatting>
  <conditionalFormatting sqref="C83">
    <cfRule type="duplicateValues" dxfId="54" priority="28"/>
  </conditionalFormatting>
  <conditionalFormatting sqref="D228:E232">
    <cfRule type="duplicateValues" dxfId="53" priority="27"/>
  </conditionalFormatting>
  <conditionalFormatting sqref="C228:E232">
    <cfRule type="duplicateValues" dxfId="52" priority="26"/>
  </conditionalFormatting>
  <conditionalFormatting sqref="A3:B3">
    <cfRule type="duplicateValues" dxfId="51" priority="25"/>
  </conditionalFormatting>
  <conditionalFormatting sqref="C229:E230">
    <cfRule type="duplicateValues" dxfId="50" priority="24"/>
  </conditionalFormatting>
  <conditionalFormatting sqref="C229:E230">
    <cfRule type="duplicateValues" dxfId="49" priority="23"/>
  </conditionalFormatting>
  <conditionalFormatting sqref="D229:E230">
    <cfRule type="duplicateValues" dxfId="48" priority="22"/>
  </conditionalFormatting>
  <conditionalFormatting sqref="C229:E230">
    <cfRule type="duplicateValues" dxfId="47" priority="21"/>
  </conditionalFormatting>
  <conditionalFormatting sqref="C168">
    <cfRule type="duplicateValues" dxfId="46" priority="20"/>
  </conditionalFormatting>
  <conditionalFormatting sqref="C168">
    <cfRule type="duplicateValues" dxfId="45" priority="19"/>
  </conditionalFormatting>
  <conditionalFormatting sqref="C168">
    <cfRule type="duplicateValues" dxfId="44" priority="18"/>
  </conditionalFormatting>
  <conditionalFormatting sqref="C168">
    <cfRule type="duplicateValues" dxfId="43" priority="17"/>
  </conditionalFormatting>
  <conditionalFormatting sqref="C168">
    <cfRule type="duplicateValues" dxfId="42" priority="16"/>
  </conditionalFormatting>
  <conditionalFormatting sqref="C168">
    <cfRule type="duplicateValues" dxfId="41" priority="15"/>
  </conditionalFormatting>
  <conditionalFormatting sqref="C168">
    <cfRule type="duplicateValues" dxfId="40" priority="14"/>
  </conditionalFormatting>
  <conditionalFormatting sqref="C168">
    <cfRule type="duplicateValues" dxfId="39" priority="13"/>
  </conditionalFormatting>
  <conditionalFormatting sqref="C168">
    <cfRule type="duplicateValues" dxfId="38" priority="12"/>
  </conditionalFormatting>
  <conditionalFormatting sqref="C168">
    <cfRule type="duplicateValues" dxfId="37" priority="11"/>
  </conditionalFormatting>
  <conditionalFormatting sqref="C168">
    <cfRule type="duplicateValues" dxfId="36" priority="10"/>
  </conditionalFormatting>
  <conditionalFormatting sqref="C168">
    <cfRule type="duplicateValues" dxfId="35" priority="9"/>
  </conditionalFormatting>
  <conditionalFormatting sqref="C168">
    <cfRule type="duplicateValues" dxfId="34" priority="8"/>
  </conditionalFormatting>
  <conditionalFormatting sqref="C168">
    <cfRule type="duplicateValues" dxfId="33" priority="7"/>
  </conditionalFormatting>
  <conditionalFormatting sqref="C168">
    <cfRule type="duplicateValues" dxfId="32" priority="6"/>
  </conditionalFormatting>
  <conditionalFormatting sqref="C168">
    <cfRule type="duplicateValues" dxfId="31" priority="5"/>
  </conditionalFormatting>
  <conditionalFormatting sqref="C168">
    <cfRule type="duplicateValues" dxfId="30" priority="4"/>
  </conditionalFormatting>
  <conditionalFormatting sqref="C168">
    <cfRule type="duplicateValues" dxfId="29" priority="3"/>
  </conditionalFormatting>
  <conditionalFormatting sqref="C168">
    <cfRule type="duplicateValues" dxfId="28" priority="2"/>
  </conditionalFormatting>
  <conditionalFormatting sqref="C168">
    <cfRule type="duplicateValues" dxfId="27" priority="1"/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3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XFD1048576"/>
    </sheetView>
  </sheetViews>
  <sheetFormatPr defaultRowHeight="15.75"/>
  <cols>
    <col min="1" max="1" width="21.140625" style="74" customWidth="1"/>
    <col min="2" max="2" width="7.28515625" style="74" customWidth="1"/>
    <col min="3" max="3" width="42.28515625" style="17" customWidth="1"/>
    <col min="4" max="4" width="16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3" width="14.7109375" style="14" customWidth="1"/>
    <col min="14" max="14" width="15.140625" style="14" customWidth="1"/>
    <col min="15" max="17" width="13.140625" style="3" customWidth="1"/>
    <col min="18" max="18" width="15" style="3" customWidth="1"/>
    <col min="19" max="22" width="16.28515625" style="14" customWidth="1"/>
    <col min="23" max="23" width="13.42578125" style="14" customWidth="1"/>
    <col min="24" max="24" width="13" style="3" customWidth="1"/>
    <col min="25" max="26" width="10.7109375" style="3" customWidth="1"/>
    <col min="27" max="27" width="14.5703125" style="3" customWidth="1"/>
    <col min="28" max="31" width="15.7109375" style="14" customWidth="1"/>
    <col min="32" max="32" width="13.5703125" style="14" customWidth="1"/>
    <col min="33" max="33" width="10.7109375" style="3" customWidth="1"/>
    <col min="34" max="34" width="11" style="3" customWidth="1"/>
    <col min="35" max="35" width="10.7109375" style="3" customWidth="1"/>
    <col min="36" max="36" width="15.140625" style="3" customWidth="1"/>
    <col min="37" max="37" width="10.140625" style="14" customWidth="1"/>
    <col min="38" max="40" width="11.140625" style="14" customWidth="1"/>
    <col min="41" max="41" width="11.28515625" style="14" customWidth="1"/>
    <col min="42" max="42" width="16.28515625" style="3" customWidth="1"/>
    <col min="43" max="43" width="15.140625" style="14" customWidth="1"/>
    <col min="44" max="46" width="14.85546875" style="14" customWidth="1"/>
    <col min="47" max="47" width="15.85546875" style="14" customWidth="1"/>
    <col min="48" max="48" width="13.140625" style="3" customWidth="1"/>
    <col min="49" max="53" width="15" style="14" customWidth="1"/>
    <col min="54" max="56" width="10.7109375" style="3" customWidth="1"/>
    <col min="57" max="57" width="12.7109375" style="3" customWidth="1"/>
    <col min="58" max="61" width="15" style="14" customWidth="1"/>
    <col min="62" max="62" width="12.5703125" style="14" customWidth="1"/>
    <col min="63" max="63" width="10.7109375" style="3" customWidth="1"/>
    <col min="64" max="65" width="14.140625" style="3" customWidth="1"/>
    <col min="66" max="66" width="15.85546875" style="3" customWidth="1"/>
    <col min="67" max="70" width="15.85546875" style="96" customWidth="1"/>
    <col min="71" max="71" width="15" style="14" customWidth="1"/>
    <col min="72" max="73" width="9.140625" style="3" customWidth="1"/>
    <col min="74" max="16384" width="9.140625" style="3"/>
  </cols>
  <sheetData>
    <row r="1" spans="1:71" s="6" customFormat="1" ht="23.25">
      <c r="A1" s="181" t="s">
        <v>514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</row>
    <row r="2" spans="1:71" s="6" customFormat="1" ht="23.25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200"/>
      <c r="BK2" s="201" t="s">
        <v>65</v>
      </c>
      <c r="BL2" s="194"/>
      <c r="BM2" s="194"/>
      <c r="BN2" s="194"/>
      <c r="BO2" s="194"/>
      <c r="BP2" s="194"/>
      <c r="BQ2" s="194"/>
      <c r="BR2" s="194"/>
      <c r="BS2" s="200"/>
    </row>
    <row r="3" spans="1:71" s="7" customFormat="1" ht="18.75">
      <c r="A3" s="185" t="s">
        <v>53</v>
      </c>
      <c r="B3" s="185" t="s">
        <v>47</v>
      </c>
      <c r="C3" s="185" t="s">
        <v>13</v>
      </c>
      <c r="D3" s="185" t="s">
        <v>46</v>
      </c>
      <c r="E3" s="185" t="s">
        <v>16</v>
      </c>
      <c r="F3" s="195" t="s">
        <v>388</v>
      </c>
      <c r="G3" s="198"/>
      <c r="H3" s="198"/>
      <c r="I3" s="198"/>
      <c r="J3" s="198"/>
      <c r="K3" s="198"/>
      <c r="L3" s="198"/>
      <c r="M3" s="198"/>
      <c r="N3" s="199"/>
      <c r="O3" s="195" t="s">
        <v>54</v>
      </c>
      <c r="P3" s="198"/>
      <c r="Q3" s="198"/>
      <c r="R3" s="198"/>
      <c r="S3" s="198"/>
      <c r="T3" s="198"/>
      <c r="U3" s="198"/>
      <c r="V3" s="198"/>
      <c r="W3" s="199"/>
      <c r="X3" s="195" t="s">
        <v>55</v>
      </c>
      <c r="Y3" s="198"/>
      <c r="Z3" s="198"/>
      <c r="AA3" s="198"/>
      <c r="AB3" s="198"/>
      <c r="AC3" s="198"/>
      <c r="AD3" s="198"/>
      <c r="AE3" s="198"/>
      <c r="AF3" s="199"/>
      <c r="AG3" s="195" t="s">
        <v>56</v>
      </c>
      <c r="AH3" s="198"/>
      <c r="AI3" s="198"/>
      <c r="AJ3" s="198"/>
      <c r="AK3" s="198"/>
      <c r="AL3" s="198"/>
      <c r="AM3" s="198"/>
      <c r="AN3" s="198"/>
      <c r="AO3" s="199"/>
      <c r="AP3" s="195" t="s">
        <v>429</v>
      </c>
      <c r="AQ3" s="198"/>
      <c r="AR3" s="198"/>
      <c r="AS3" s="198"/>
      <c r="AT3" s="198"/>
      <c r="AU3" s="199"/>
      <c r="AV3" s="195" t="s">
        <v>391</v>
      </c>
      <c r="AW3" s="198"/>
      <c r="AX3" s="198"/>
      <c r="AY3" s="198"/>
      <c r="AZ3" s="198"/>
      <c r="BA3" s="199"/>
      <c r="BB3" s="195" t="s">
        <v>389</v>
      </c>
      <c r="BC3" s="198"/>
      <c r="BD3" s="198"/>
      <c r="BE3" s="198"/>
      <c r="BF3" s="198"/>
      <c r="BG3" s="198"/>
      <c r="BH3" s="198"/>
      <c r="BI3" s="198"/>
      <c r="BJ3" s="199"/>
      <c r="BK3" s="202" t="s">
        <v>57</v>
      </c>
      <c r="BL3" s="203"/>
      <c r="BM3" s="203"/>
      <c r="BN3" s="203"/>
      <c r="BO3" s="203"/>
      <c r="BP3" s="203"/>
      <c r="BQ3" s="203"/>
      <c r="BR3" s="203"/>
      <c r="BS3" s="204"/>
    </row>
    <row r="4" spans="1:71" s="7" customFormat="1">
      <c r="A4" s="187"/>
      <c r="B4" s="187"/>
      <c r="C4" s="187"/>
      <c r="D4" s="187"/>
      <c r="E4" s="187"/>
      <c r="F4" s="151" t="s">
        <v>48</v>
      </c>
      <c r="G4" s="151" t="s">
        <v>49</v>
      </c>
      <c r="H4" s="30" t="s">
        <v>50</v>
      </c>
      <c r="I4" s="151" t="s">
        <v>64</v>
      </c>
      <c r="J4" s="151" t="s">
        <v>430</v>
      </c>
      <c r="K4" s="92" t="s">
        <v>456</v>
      </c>
      <c r="L4" s="92" t="s">
        <v>469</v>
      </c>
      <c r="M4" s="92" t="s">
        <v>504</v>
      </c>
      <c r="N4" s="152" t="s">
        <v>51</v>
      </c>
      <c r="O4" s="151" t="s">
        <v>48</v>
      </c>
      <c r="P4" s="151" t="s">
        <v>49</v>
      </c>
      <c r="Q4" s="151" t="s">
        <v>50</v>
      </c>
      <c r="R4" s="153" t="s">
        <v>64</v>
      </c>
      <c r="S4" s="151" t="s">
        <v>430</v>
      </c>
      <c r="T4" s="152" t="s">
        <v>456</v>
      </c>
      <c r="U4" s="152" t="s">
        <v>469</v>
      </c>
      <c r="V4" s="152" t="s">
        <v>504</v>
      </c>
      <c r="W4" s="152" t="s">
        <v>51</v>
      </c>
      <c r="X4" s="151" t="s">
        <v>48</v>
      </c>
      <c r="Y4" s="151" t="s">
        <v>49</v>
      </c>
      <c r="Z4" s="151" t="s">
        <v>50</v>
      </c>
      <c r="AA4" s="153" t="s">
        <v>64</v>
      </c>
      <c r="AB4" s="92" t="s">
        <v>430</v>
      </c>
      <c r="AC4" s="92" t="s">
        <v>456</v>
      </c>
      <c r="AD4" s="92" t="s">
        <v>469</v>
      </c>
      <c r="AE4" s="92" t="s">
        <v>504</v>
      </c>
      <c r="AF4" s="152" t="s">
        <v>51</v>
      </c>
      <c r="AG4" s="151" t="s">
        <v>48</v>
      </c>
      <c r="AH4" s="151" t="s">
        <v>49</v>
      </c>
      <c r="AI4" s="151" t="s">
        <v>50</v>
      </c>
      <c r="AJ4" s="153" t="s">
        <v>400</v>
      </c>
      <c r="AK4" s="92" t="s">
        <v>430</v>
      </c>
      <c r="AL4" s="92" t="s">
        <v>456</v>
      </c>
      <c r="AM4" s="92" t="s">
        <v>469</v>
      </c>
      <c r="AN4" s="92" t="s">
        <v>504</v>
      </c>
      <c r="AO4" s="152" t="s">
        <v>51</v>
      </c>
      <c r="AP4" s="151" t="s">
        <v>64</v>
      </c>
      <c r="AQ4" s="151" t="s">
        <v>430</v>
      </c>
      <c r="AR4" s="151" t="s">
        <v>456</v>
      </c>
      <c r="AS4" s="151" t="s">
        <v>469</v>
      </c>
      <c r="AT4" s="151" t="s">
        <v>504</v>
      </c>
      <c r="AU4" s="151" t="s">
        <v>51</v>
      </c>
      <c r="AV4" s="151" t="s">
        <v>64</v>
      </c>
      <c r="AW4" s="151" t="s">
        <v>430</v>
      </c>
      <c r="AX4" s="151" t="s">
        <v>456</v>
      </c>
      <c r="AY4" s="151" t="s">
        <v>469</v>
      </c>
      <c r="AZ4" s="151" t="s">
        <v>504</v>
      </c>
      <c r="BA4" s="151" t="s">
        <v>51</v>
      </c>
      <c r="BB4" s="151" t="s">
        <v>48</v>
      </c>
      <c r="BC4" s="151" t="s">
        <v>49</v>
      </c>
      <c r="BD4" s="151" t="s">
        <v>50</v>
      </c>
      <c r="BE4" s="151" t="s">
        <v>64</v>
      </c>
      <c r="BF4" s="92" t="s">
        <v>430</v>
      </c>
      <c r="BG4" s="92" t="s">
        <v>456</v>
      </c>
      <c r="BH4" s="92" t="s">
        <v>469</v>
      </c>
      <c r="BI4" s="92" t="s">
        <v>504</v>
      </c>
      <c r="BJ4" s="152" t="s">
        <v>51</v>
      </c>
      <c r="BK4" s="151" t="s">
        <v>48</v>
      </c>
      <c r="BL4" s="151" t="s">
        <v>49</v>
      </c>
      <c r="BM4" s="151" t="s">
        <v>50</v>
      </c>
      <c r="BN4" s="154" t="s">
        <v>64</v>
      </c>
      <c r="BO4" s="93" t="s">
        <v>430</v>
      </c>
      <c r="BP4" s="93" t="s">
        <v>456</v>
      </c>
      <c r="BQ4" s="93" t="s">
        <v>469</v>
      </c>
      <c r="BR4" s="93" t="s">
        <v>504</v>
      </c>
      <c r="BS4" s="151" t="s">
        <v>407</v>
      </c>
    </row>
    <row r="5" spans="1:71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4"/>
      <c r="K5" s="4"/>
      <c r="L5" s="4"/>
      <c r="M5" s="4"/>
      <c r="N5" s="9">
        <f>SUM(F5:M5)</f>
        <v>1085500</v>
      </c>
      <c r="O5" s="4"/>
      <c r="P5" s="4"/>
      <c r="Q5" s="4"/>
      <c r="R5" s="4"/>
      <c r="S5" s="4"/>
      <c r="T5" s="4"/>
      <c r="U5" s="4"/>
      <c r="V5" s="4"/>
      <c r="W5" s="9">
        <f>SUM(O5:V5)</f>
        <v>0</v>
      </c>
      <c r="X5" s="4"/>
      <c r="Y5" s="4"/>
      <c r="Z5" s="4"/>
      <c r="AA5" s="4"/>
      <c r="AB5" s="4"/>
      <c r="AC5" s="4"/>
      <c r="AD5" s="4"/>
      <c r="AE5" s="4"/>
      <c r="AF5" s="9">
        <f>SUM(X5:AE5)</f>
        <v>0</v>
      </c>
      <c r="AG5" s="4"/>
      <c r="AH5" s="4">
        <v>383150</v>
      </c>
      <c r="AI5" s="10">
        <f>805550+120000</f>
        <v>925550</v>
      </c>
      <c r="AJ5" s="27">
        <v>30000</v>
      </c>
      <c r="AK5" s="20"/>
      <c r="AL5" s="20"/>
      <c r="AM5" s="20"/>
      <c r="AN5" s="20"/>
      <c r="AO5" s="21">
        <f>SUM(AG5:AN5)</f>
        <v>1338700</v>
      </c>
      <c r="AP5" s="27">
        <v>1050000</v>
      </c>
      <c r="AQ5" s="20">
        <f>105000+210000+315000+315000+210000</f>
        <v>1155000</v>
      </c>
      <c r="AR5" s="20">
        <f>1309000+312000+156000</f>
        <v>1777000</v>
      </c>
      <c r="AS5" s="20">
        <v>1707000</v>
      </c>
      <c r="AT5" s="20">
        <v>1560000</v>
      </c>
      <c r="AU5" s="21">
        <f>SUM(AP5:AT5)</f>
        <v>7249000</v>
      </c>
      <c r="AV5" s="10"/>
      <c r="AW5" s="20"/>
      <c r="AX5" s="20"/>
      <c r="AY5" s="20"/>
      <c r="AZ5" s="20"/>
      <c r="BA5" s="21">
        <f>SUM(AV5:AZ5)</f>
        <v>0</v>
      </c>
      <c r="BB5" s="10"/>
      <c r="BC5" s="10"/>
      <c r="BD5" s="10"/>
      <c r="BE5" s="10"/>
      <c r="BF5" s="20"/>
      <c r="BG5" s="20"/>
      <c r="BH5" s="20"/>
      <c r="BI5" s="20"/>
      <c r="BJ5" s="21">
        <f>SUM(BB5:BI5)</f>
        <v>0</v>
      </c>
      <c r="BK5" s="4">
        <f t="shared" ref="BK5:BK15" si="0">F5+O5+X5+AG5+BB5</f>
        <v>0</v>
      </c>
      <c r="BL5" s="4">
        <f t="shared" ref="BL5:BL15" si="1">G5+P5+Y5+AH5+BC5</f>
        <v>831650</v>
      </c>
      <c r="BM5" s="4">
        <f t="shared" ref="BM5:BM15" si="2">H5+Q5+Z5+AI5+BD5</f>
        <v>1522550</v>
      </c>
      <c r="BN5" s="4">
        <f>I5+R5+AA5+AJ5+AP5+AV5+BE5</f>
        <v>1120000</v>
      </c>
      <c r="BO5" s="94">
        <f>J5+S5+AB5+AK5+AQ5+AW5+BF5</f>
        <v>1155000</v>
      </c>
      <c r="BP5" s="94">
        <f>K5+T5+AC5+AL5+AR5+AX5+BG5</f>
        <v>1777000</v>
      </c>
      <c r="BQ5" s="94">
        <f>L5+U5+AD5+AM5+AS5+AY5+BH5</f>
        <v>1707000</v>
      </c>
      <c r="BR5" s="94">
        <f>M5+V5+AE5+AN5+AT5+AZ5+BI5</f>
        <v>1560000</v>
      </c>
      <c r="BS5" s="9">
        <f>SUM(BK5:BR5)</f>
        <v>9673200</v>
      </c>
    </row>
    <row r="6" spans="1:71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4"/>
      <c r="K6" s="4"/>
      <c r="L6" s="4"/>
      <c r="M6" s="4"/>
      <c r="N6" s="9">
        <f t="shared" ref="N6:N15" si="3">SUM(F6:M6)</f>
        <v>1596065</v>
      </c>
      <c r="O6" s="4"/>
      <c r="P6" s="4"/>
      <c r="Q6" s="4"/>
      <c r="R6" s="4"/>
      <c r="S6" s="4"/>
      <c r="T6" s="4"/>
      <c r="U6" s="4"/>
      <c r="V6" s="4"/>
      <c r="W6" s="9">
        <f t="shared" ref="W6:W15" si="4">SUM(O6:V6)</f>
        <v>0</v>
      </c>
      <c r="X6" s="4"/>
      <c r="Y6" s="4"/>
      <c r="Z6" s="4"/>
      <c r="AA6" s="4"/>
      <c r="AB6" s="4"/>
      <c r="AC6" s="4"/>
      <c r="AD6" s="4"/>
      <c r="AE6" s="4"/>
      <c r="AF6" s="9">
        <f t="shared" ref="AF6:AF15" si="5">SUM(X6:AE6)</f>
        <v>0</v>
      </c>
      <c r="AG6" s="4">
        <v>195000</v>
      </c>
      <c r="AH6" s="10">
        <v>1237100</v>
      </c>
      <c r="AI6" s="10">
        <v>145500</v>
      </c>
      <c r="AJ6" s="27">
        <v>330000</v>
      </c>
      <c r="AK6" s="20"/>
      <c r="AL6" s="20"/>
      <c r="AM6" s="20"/>
      <c r="AN6" s="20"/>
      <c r="AO6" s="21">
        <f t="shared" ref="AO6:AO15" si="6">SUM(AG6:AN6)</f>
        <v>1907600</v>
      </c>
      <c r="AP6" s="10">
        <v>1043000</v>
      </c>
      <c r="AQ6" s="20">
        <f>105000+210000+315000+315000+210000</f>
        <v>1155000</v>
      </c>
      <c r="AR6" s="20">
        <f>1294254+299658+148627</f>
        <v>1742539</v>
      </c>
      <c r="AS6" s="20">
        <v>1843279</v>
      </c>
      <c r="AT6" s="20">
        <v>1716000</v>
      </c>
      <c r="AU6" s="21">
        <f t="shared" ref="AU6:AU15" si="7">SUM(AP6:AT6)</f>
        <v>7499818</v>
      </c>
      <c r="AV6" s="10"/>
      <c r="AW6" s="20"/>
      <c r="AX6" s="20"/>
      <c r="AY6" s="20"/>
      <c r="AZ6" s="20"/>
      <c r="BA6" s="21">
        <f t="shared" ref="BA6:BA15" si="8">SUM(AV6:AZ6)</f>
        <v>0</v>
      </c>
      <c r="BB6" s="10"/>
      <c r="BC6" s="10"/>
      <c r="BD6" s="10"/>
      <c r="BE6" s="10"/>
      <c r="BF6" s="20"/>
      <c r="BG6" s="20"/>
      <c r="BH6" s="20"/>
      <c r="BI6" s="20"/>
      <c r="BJ6" s="21">
        <f t="shared" ref="BJ6:BJ15" si="9">SUM(BB6:BI6)</f>
        <v>0</v>
      </c>
      <c r="BK6" s="4">
        <f t="shared" si="0"/>
        <v>350000</v>
      </c>
      <c r="BL6" s="4">
        <f t="shared" si="1"/>
        <v>2218165</v>
      </c>
      <c r="BM6" s="4">
        <f t="shared" si="2"/>
        <v>365500</v>
      </c>
      <c r="BN6" s="4">
        <f t="shared" ref="BN6:BN15" si="10">I6+R6+AA6+AJ6+AP6+AV6+BE6</f>
        <v>1613000</v>
      </c>
      <c r="BO6" s="94">
        <f t="shared" ref="BO6:BO15" si="11">J6+S6+AB6+AK6+AQ6+AW6+BF6</f>
        <v>1155000</v>
      </c>
      <c r="BP6" s="94">
        <f t="shared" ref="BP6:BP15" si="12">K6+T6+AC6+AL6+AR6+AX6+BG6</f>
        <v>1742539</v>
      </c>
      <c r="BQ6" s="94">
        <f t="shared" ref="BQ6:BQ15" si="13">L6+U6+AD6+AM6+AS6+AY6+BH6</f>
        <v>1843279</v>
      </c>
      <c r="BR6" s="94">
        <f t="shared" ref="BR6:BR15" si="14">M6+V6+AE6+AN6+AT6+AZ6+BI6</f>
        <v>1716000</v>
      </c>
      <c r="BS6" s="9">
        <f t="shared" ref="BS6:BS15" si="15">SUM(BK6:BR6)</f>
        <v>11003483</v>
      </c>
    </row>
    <row r="7" spans="1:71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4"/>
      <c r="K7" s="4"/>
      <c r="L7" s="4"/>
      <c r="M7" s="4"/>
      <c r="N7" s="9">
        <f t="shared" si="3"/>
        <v>1181345</v>
      </c>
      <c r="O7" s="4"/>
      <c r="P7" s="4"/>
      <c r="Q7" s="4"/>
      <c r="R7" s="4"/>
      <c r="S7" s="4"/>
      <c r="T7" s="4"/>
      <c r="U7" s="4"/>
      <c r="V7" s="4"/>
      <c r="W7" s="9">
        <f t="shared" si="4"/>
        <v>0</v>
      </c>
      <c r="X7" s="4"/>
      <c r="Y7" s="4"/>
      <c r="Z7" s="4"/>
      <c r="AA7" s="4"/>
      <c r="AB7" s="4"/>
      <c r="AC7" s="4"/>
      <c r="AD7" s="4"/>
      <c r="AE7" s="4"/>
      <c r="AF7" s="9">
        <f t="shared" si="5"/>
        <v>0</v>
      </c>
      <c r="AG7" s="4">
        <v>195000</v>
      </c>
      <c r="AH7" s="10">
        <v>1233000</v>
      </c>
      <c r="AI7" s="10">
        <f>669300+90000</f>
        <v>759300</v>
      </c>
      <c r="AJ7" s="27">
        <v>120000</v>
      </c>
      <c r="AK7" s="20"/>
      <c r="AL7" s="20"/>
      <c r="AM7" s="20"/>
      <c r="AN7" s="20"/>
      <c r="AO7" s="21">
        <f t="shared" si="6"/>
        <v>2307300</v>
      </c>
      <c r="AP7" s="10">
        <v>1113000</v>
      </c>
      <c r="AQ7" s="20">
        <f>101500+304500+609000+203000</f>
        <v>1218000</v>
      </c>
      <c r="AR7" s="20">
        <f>1362660+293840+148490</f>
        <v>1804990</v>
      </c>
      <c r="AS7" s="20">
        <v>1764276</v>
      </c>
      <c r="AT7" s="20">
        <v>1596400</v>
      </c>
      <c r="AU7" s="21">
        <f t="shared" si="7"/>
        <v>7496666</v>
      </c>
      <c r="AV7" s="10"/>
      <c r="AW7" s="20"/>
      <c r="AX7" s="20"/>
      <c r="AY7" s="20"/>
      <c r="AZ7" s="20"/>
      <c r="BA7" s="21">
        <f t="shared" si="8"/>
        <v>0</v>
      </c>
      <c r="BB7" s="10"/>
      <c r="BC7" s="10"/>
      <c r="BD7" s="10"/>
      <c r="BE7" s="10"/>
      <c r="BF7" s="20"/>
      <c r="BG7" s="20"/>
      <c r="BH7" s="20"/>
      <c r="BI7" s="20"/>
      <c r="BJ7" s="21">
        <f t="shared" si="9"/>
        <v>0</v>
      </c>
      <c r="BK7" s="4">
        <f t="shared" si="0"/>
        <v>350000</v>
      </c>
      <c r="BL7" s="4">
        <f t="shared" si="1"/>
        <v>1549345</v>
      </c>
      <c r="BM7" s="4">
        <f t="shared" si="2"/>
        <v>1089300</v>
      </c>
      <c r="BN7" s="4">
        <f t="shared" si="10"/>
        <v>1613000</v>
      </c>
      <c r="BO7" s="94">
        <f t="shared" si="11"/>
        <v>1218000</v>
      </c>
      <c r="BP7" s="94">
        <f t="shared" si="12"/>
        <v>1804990</v>
      </c>
      <c r="BQ7" s="94">
        <f t="shared" si="13"/>
        <v>1764276</v>
      </c>
      <c r="BR7" s="94">
        <f t="shared" si="14"/>
        <v>1596400</v>
      </c>
      <c r="BS7" s="9">
        <f t="shared" si="15"/>
        <v>10985311</v>
      </c>
    </row>
    <row r="8" spans="1:71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4"/>
      <c r="K8" s="4"/>
      <c r="L8" s="4"/>
      <c r="M8" s="4"/>
      <c r="N8" s="9">
        <f t="shared" si="3"/>
        <v>588500</v>
      </c>
      <c r="O8" s="4"/>
      <c r="P8" s="4"/>
      <c r="Q8" s="4"/>
      <c r="R8" s="4"/>
      <c r="S8" s="4"/>
      <c r="T8" s="4"/>
      <c r="U8" s="4"/>
      <c r="V8" s="4"/>
      <c r="W8" s="9">
        <f t="shared" si="4"/>
        <v>0</v>
      </c>
      <c r="X8" s="4"/>
      <c r="Y8" s="4">
        <v>290000</v>
      </c>
      <c r="Z8" s="4">
        <v>2759000</v>
      </c>
      <c r="AA8" s="11">
        <v>300000</v>
      </c>
      <c r="AB8" s="11"/>
      <c r="AC8" s="11"/>
      <c r="AD8" s="11"/>
      <c r="AE8" s="11"/>
      <c r="AF8" s="9">
        <f t="shared" si="5"/>
        <v>3349000</v>
      </c>
      <c r="AG8" s="4"/>
      <c r="AH8" s="4">
        <v>195000</v>
      </c>
      <c r="AI8" s="10">
        <f>620800+150000</f>
        <v>770800</v>
      </c>
      <c r="AJ8" s="27">
        <v>30000</v>
      </c>
      <c r="AK8" s="20"/>
      <c r="AL8" s="20"/>
      <c r="AM8" s="20"/>
      <c r="AN8" s="20"/>
      <c r="AO8" s="21">
        <f t="shared" si="6"/>
        <v>995800</v>
      </c>
      <c r="AP8" s="10">
        <v>1155000</v>
      </c>
      <c r="AQ8" s="20">
        <f>105000+315000+315000+315000+210000</f>
        <v>1260000</v>
      </c>
      <c r="AR8" s="20">
        <f>1290400+132960+144000+144000</f>
        <v>1711360</v>
      </c>
      <c r="AS8" s="20">
        <v>1776000</v>
      </c>
      <c r="AT8" s="20">
        <v>1716000</v>
      </c>
      <c r="AU8" s="21">
        <f t="shared" si="7"/>
        <v>7618360</v>
      </c>
      <c r="AV8" s="10"/>
      <c r="AW8" s="20"/>
      <c r="AX8" s="20"/>
      <c r="AY8" s="20"/>
      <c r="AZ8" s="20"/>
      <c r="BA8" s="21">
        <f t="shared" si="8"/>
        <v>0</v>
      </c>
      <c r="BB8" s="10"/>
      <c r="BC8" s="10"/>
      <c r="BD8" s="10"/>
      <c r="BE8" s="10"/>
      <c r="BF8" s="20"/>
      <c r="BG8" s="20"/>
      <c r="BH8" s="20"/>
      <c r="BI8" s="20"/>
      <c r="BJ8" s="21">
        <f t="shared" si="9"/>
        <v>0</v>
      </c>
      <c r="BK8" s="4">
        <f t="shared" si="0"/>
        <v>0</v>
      </c>
      <c r="BL8" s="4">
        <f t="shared" si="1"/>
        <v>485000</v>
      </c>
      <c r="BM8" s="4">
        <f t="shared" si="2"/>
        <v>3998300</v>
      </c>
      <c r="BN8" s="4">
        <f t="shared" si="10"/>
        <v>1605000</v>
      </c>
      <c r="BO8" s="94">
        <f t="shared" si="11"/>
        <v>1260000</v>
      </c>
      <c r="BP8" s="94">
        <f t="shared" si="12"/>
        <v>1711360</v>
      </c>
      <c r="BQ8" s="94">
        <f t="shared" si="13"/>
        <v>1776000</v>
      </c>
      <c r="BR8" s="94">
        <f t="shared" si="14"/>
        <v>1716000</v>
      </c>
      <c r="BS8" s="9">
        <f t="shared" si="15"/>
        <v>12551660</v>
      </c>
    </row>
    <row r="9" spans="1:71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4"/>
      <c r="K9" s="4"/>
      <c r="L9" s="4"/>
      <c r="M9" s="4"/>
      <c r="N9" s="9">
        <f t="shared" si="3"/>
        <v>0</v>
      </c>
      <c r="O9" s="76">
        <v>290000</v>
      </c>
      <c r="P9" s="76">
        <v>1260000</v>
      </c>
      <c r="Q9" s="76">
        <v>920000</v>
      </c>
      <c r="R9" s="76">
        <v>300000</v>
      </c>
      <c r="S9" s="4"/>
      <c r="T9" s="4"/>
      <c r="U9" s="4"/>
      <c r="V9" s="4"/>
      <c r="W9" s="9">
        <f t="shared" si="4"/>
        <v>2770000</v>
      </c>
      <c r="X9" s="4"/>
      <c r="Y9" s="4">
        <v>1263000</v>
      </c>
      <c r="Z9" s="4">
        <v>840000</v>
      </c>
      <c r="AA9" s="11">
        <v>300000</v>
      </c>
      <c r="AB9" s="11"/>
      <c r="AC9" s="11"/>
      <c r="AD9" s="11"/>
      <c r="AE9" s="11"/>
      <c r="AF9" s="9">
        <f t="shared" si="5"/>
        <v>2403000</v>
      </c>
      <c r="AG9" s="4"/>
      <c r="AH9" s="10">
        <v>1169850</v>
      </c>
      <c r="AI9" s="10">
        <v>1051200</v>
      </c>
      <c r="AJ9" s="27">
        <v>30000</v>
      </c>
      <c r="AK9" s="20"/>
      <c r="AL9" s="20"/>
      <c r="AM9" s="20"/>
      <c r="AN9" s="20"/>
      <c r="AO9" s="21">
        <f t="shared" si="6"/>
        <v>2251050</v>
      </c>
      <c r="AP9" s="10">
        <v>0</v>
      </c>
      <c r="AQ9" s="20"/>
      <c r="AR9" s="20"/>
      <c r="AS9" s="20"/>
      <c r="AT9" s="20"/>
      <c r="AU9" s="21">
        <f t="shared" si="7"/>
        <v>0</v>
      </c>
      <c r="AV9" s="10"/>
      <c r="AW9" s="20">
        <f>1400000+300000+200000</f>
        <v>1900000</v>
      </c>
      <c r="AX9" s="20">
        <f>1621500+510000</f>
        <v>2131500</v>
      </c>
      <c r="AY9" s="20">
        <f>170000+340000+680000+170000</f>
        <v>1360000</v>
      </c>
      <c r="AZ9" s="20">
        <f>493000+153000+178500+178500+178500+357000+357000+178500</f>
        <v>2074000</v>
      </c>
      <c r="BA9" s="21">
        <f t="shared" si="8"/>
        <v>7465500</v>
      </c>
      <c r="BB9" s="10"/>
      <c r="BC9" s="10"/>
      <c r="BD9" s="10"/>
      <c r="BE9" s="10"/>
      <c r="BF9" s="20"/>
      <c r="BG9" s="20"/>
      <c r="BH9" s="20"/>
      <c r="BI9" s="20"/>
      <c r="BJ9" s="21">
        <f t="shared" si="9"/>
        <v>0</v>
      </c>
      <c r="BK9" s="4">
        <f t="shared" si="0"/>
        <v>290000</v>
      </c>
      <c r="BL9" s="4">
        <f t="shared" si="1"/>
        <v>3692850</v>
      </c>
      <c r="BM9" s="4">
        <f t="shared" si="2"/>
        <v>2811200</v>
      </c>
      <c r="BN9" s="4">
        <f t="shared" si="10"/>
        <v>630000</v>
      </c>
      <c r="BO9" s="94">
        <f t="shared" si="11"/>
        <v>1900000</v>
      </c>
      <c r="BP9" s="94">
        <f t="shared" si="12"/>
        <v>2131500</v>
      </c>
      <c r="BQ9" s="94">
        <f t="shared" si="13"/>
        <v>1360000</v>
      </c>
      <c r="BR9" s="94">
        <f t="shared" si="14"/>
        <v>2074000</v>
      </c>
      <c r="BS9" s="9">
        <f t="shared" si="15"/>
        <v>14889550</v>
      </c>
    </row>
    <row r="10" spans="1:71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4"/>
      <c r="K10" s="4"/>
      <c r="L10" s="4"/>
      <c r="M10" s="4"/>
      <c r="N10" s="9">
        <f t="shared" si="3"/>
        <v>0</v>
      </c>
      <c r="O10" s="4"/>
      <c r="P10" s="4"/>
      <c r="Q10" s="4"/>
      <c r="R10" s="4"/>
      <c r="S10" s="4"/>
      <c r="T10" s="4"/>
      <c r="U10" s="4"/>
      <c r="V10" s="4"/>
      <c r="W10" s="9">
        <f t="shared" si="4"/>
        <v>0</v>
      </c>
      <c r="X10" s="4"/>
      <c r="Y10" s="4"/>
      <c r="Z10" s="4"/>
      <c r="AA10" s="4"/>
      <c r="AB10" s="4"/>
      <c r="AC10" s="4"/>
      <c r="AD10" s="4"/>
      <c r="AE10" s="4"/>
      <c r="AF10" s="9">
        <f t="shared" si="5"/>
        <v>0</v>
      </c>
      <c r="AG10" s="4"/>
      <c r="AH10" s="10">
        <v>195000</v>
      </c>
      <c r="AI10" s="10">
        <f>494700+150000</f>
        <v>644700</v>
      </c>
      <c r="AJ10" s="27">
        <v>625000</v>
      </c>
      <c r="AK10" s="20">
        <f>119000+178500+178500+178500+119000</f>
        <v>773500</v>
      </c>
      <c r="AL10" s="20">
        <f>648550+130900+65450</f>
        <v>844900</v>
      </c>
      <c r="AM10" s="20">
        <v>454300</v>
      </c>
      <c r="AN10" s="20">
        <v>872950</v>
      </c>
      <c r="AO10" s="21">
        <f t="shared" si="6"/>
        <v>4410350</v>
      </c>
      <c r="AP10" s="10">
        <v>0</v>
      </c>
      <c r="AQ10" s="20"/>
      <c r="AR10" s="20"/>
      <c r="AS10" s="20"/>
      <c r="AT10" s="20"/>
      <c r="AU10" s="21">
        <f t="shared" si="7"/>
        <v>0</v>
      </c>
      <c r="AV10" s="10"/>
      <c r="AW10" s="20"/>
      <c r="AX10" s="20"/>
      <c r="AY10" s="20"/>
      <c r="AZ10" s="20"/>
      <c r="BA10" s="21">
        <f t="shared" si="8"/>
        <v>0</v>
      </c>
      <c r="BB10" s="10"/>
      <c r="BC10" s="10"/>
      <c r="BD10" s="10"/>
      <c r="BE10" s="10"/>
      <c r="BF10" s="20"/>
      <c r="BG10" s="20"/>
      <c r="BH10" s="20"/>
      <c r="BI10" s="20"/>
      <c r="BJ10" s="21">
        <f t="shared" si="9"/>
        <v>0</v>
      </c>
      <c r="BK10" s="4">
        <f t="shared" si="0"/>
        <v>0</v>
      </c>
      <c r="BL10" s="4">
        <f t="shared" si="1"/>
        <v>195000</v>
      </c>
      <c r="BM10" s="4">
        <f t="shared" si="2"/>
        <v>644700</v>
      </c>
      <c r="BN10" s="4">
        <f t="shared" si="10"/>
        <v>625000</v>
      </c>
      <c r="BO10" s="94">
        <f t="shared" si="11"/>
        <v>773500</v>
      </c>
      <c r="BP10" s="94">
        <f t="shared" si="12"/>
        <v>844900</v>
      </c>
      <c r="BQ10" s="94">
        <f t="shared" si="13"/>
        <v>454300</v>
      </c>
      <c r="BR10" s="94">
        <f t="shared" si="14"/>
        <v>872950</v>
      </c>
      <c r="BS10" s="9">
        <f t="shared" si="15"/>
        <v>4410350</v>
      </c>
    </row>
    <row r="11" spans="1:71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4"/>
      <c r="K11" s="4"/>
      <c r="L11" s="4"/>
      <c r="M11" s="4"/>
      <c r="N11" s="9">
        <f t="shared" si="3"/>
        <v>1613552</v>
      </c>
      <c r="O11" s="4"/>
      <c r="P11" s="4"/>
      <c r="Q11" s="4"/>
      <c r="R11" s="4"/>
      <c r="S11" s="4"/>
      <c r="T11" s="4"/>
      <c r="U11" s="4"/>
      <c r="V11" s="4"/>
      <c r="W11" s="9">
        <f t="shared" si="4"/>
        <v>0</v>
      </c>
      <c r="X11" s="4"/>
      <c r="Y11" s="4"/>
      <c r="Z11" s="4"/>
      <c r="AA11" s="4"/>
      <c r="AB11" s="4"/>
      <c r="AC11" s="4"/>
      <c r="AD11" s="4"/>
      <c r="AE11" s="4"/>
      <c r="AF11" s="9">
        <f t="shared" si="5"/>
        <v>0</v>
      </c>
      <c r="AG11" s="4"/>
      <c r="AH11" s="10">
        <v>1451150</v>
      </c>
      <c r="AI11" s="10">
        <v>523800</v>
      </c>
      <c r="AJ11" s="27"/>
      <c r="AK11" s="20"/>
      <c r="AL11" s="20"/>
      <c r="AM11" s="20"/>
      <c r="AN11" s="20"/>
      <c r="AO11" s="21">
        <f t="shared" si="6"/>
        <v>1974950</v>
      </c>
      <c r="AP11" s="10">
        <v>840000</v>
      </c>
      <c r="AQ11" s="20">
        <f>105000+285000+315000+15000+315000+210000</f>
        <v>1245000</v>
      </c>
      <c r="AR11" s="20">
        <f>609000+890570+129000</f>
        <v>1628570</v>
      </c>
      <c r="AS11" s="20">
        <v>1548200</v>
      </c>
      <c r="AT11" s="20">
        <v>1642000</v>
      </c>
      <c r="AU11" s="21">
        <f t="shared" si="7"/>
        <v>6903770</v>
      </c>
      <c r="AV11" s="10"/>
      <c r="AW11" s="20"/>
      <c r="AX11" s="20"/>
      <c r="AY11" s="20"/>
      <c r="AZ11" s="20"/>
      <c r="BA11" s="21">
        <f t="shared" si="8"/>
        <v>0</v>
      </c>
      <c r="BB11" s="10"/>
      <c r="BC11" s="10"/>
      <c r="BD11" s="10"/>
      <c r="BE11" s="10"/>
      <c r="BF11" s="20"/>
      <c r="BG11" s="20"/>
      <c r="BH11" s="20"/>
      <c r="BI11" s="20"/>
      <c r="BJ11" s="21">
        <f t="shared" si="9"/>
        <v>0</v>
      </c>
      <c r="BK11" s="4">
        <f t="shared" si="0"/>
        <v>155000</v>
      </c>
      <c r="BL11" s="4">
        <f t="shared" si="1"/>
        <v>2689702</v>
      </c>
      <c r="BM11" s="4">
        <f t="shared" si="2"/>
        <v>743800</v>
      </c>
      <c r="BN11" s="4">
        <f t="shared" si="10"/>
        <v>840000</v>
      </c>
      <c r="BO11" s="94">
        <f t="shared" si="11"/>
        <v>1245000</v>
      </c>
      <c r="BP11" s="94">
        <f t="shared" si="12"/>
        <v>1628570</v>
      </c>
      <c r="BQ11" s="94">
        <f t="shared" si="13"/>
        <v>1548200</v>
      </c>
      <c r="BR11" s="94">
        <f t="shared" si="14"/>
        <v>1642000</v>
      </c>
      <c r="BS11" s="9">
        <f t="shared" si="15"/>
        <v>10492272</v>
      </c>
    </row>
    <row r="12" spans="1:71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4"/>
      <c r="K12" s="4"/>
      <c r="L12" s="4"/>
      <c r="M12" s="4"/>
      <c r="N12" s="9">
        <f t="shared" si="3"/>
        <v>0</v>
      </c>
      <c r="O12" s="4"/>
      <c r="P12" s="4"/>
      <c r="Q12" s="4"/>
      <c r="R12" s="4"/>
      <c r="S12" s="4"/>
      <c r="T12" s="4"/>
      <c r="U12" s="4"/>
      <c r="V12" s="4"/>
      <c r="W12" s="9">
        <f t="shared" si="4"/>
        <v>0</v>
      </c>
      <c r="X12" s="4"/>
      <c r="Y12" s="4"/>
      <c r="Z12" s="4"/>
      <c r="AA12" s="4"/>
      <c r="AB12" s="4"/>
      <c r="AC12" s="4"/>
      <c r="AD12" s="4"/>
      <c r="AE12" s="4"/>
      <c r="AF12" s="9">
        <f t="shared" si="5"/>
        <v>0</v>
      </c>
      <c r="AG12" s="4"/>
      <c r="AH12" s="4">
        <v>195000</v>
      </c>
      <c r="AI12" s="10">
        <f>1004850+120000</f>
        <v>1124850</v>
      </c>
      <c r="AJ12" s="27">
        <v>660000</v>
      </c>
      <c r="AK12" s="20">
        <f>140000+140000+210000+210000+140000</f>
        <v>840000</v>
      </c>
      <c r="AL12" s="20">
        <f>921315+251452+126792</f>
        <v>1299559</v>
      </c>
      <c r="AM12" s="20">
        <v>1585478</v>
      </c>
      <c r="AN12" s="20">
        <v>1600500</v>
      </c>
      <c r="AO12" s="21">
        <f t="shared" si="6"/>
        <v>7305387</v>
      </c>
      <c r="AP12" s="10">
        <v>0</v>
      </c>
      <c r="AQ12" s="20"/>
      <c r="AR12" s="20"/>
      <c r="AS12" s="20"/>
      <c r="AT12" s="20"/>
      <c r="AU12" s="21">
        <f t="shared" si="7"/>
        <v>0</v>
      </c>
      <c r="AV12" s="10"/>
      <c r="AW12" s="20"/>
      <c r="AX12" s="20"/>
      <c r="AY12" s="20"/>
      <c r="AZ12" s="20"/>
      <c r="BA12" s="21">
        <f t="shared" si="8"/>
        <v>0</v>
      </c>
      <c r="BB12" s="10"/>
      <c r="BC12" s="10"/>
      <c r="BD12" s="10"/>
      <c r="BE12" s="10"/>
      <c r="BF12" s="20"/>
      <c r="BG12" s="20"/>
      <c r="BH12" s="20"/>
      <c r="BI12" s="20"/>
      <c r="BJ12" s="21">
        <f t="shared" si="9"/>
        <v>0</v>
      </c>
      <c r="BK12" s="4">
        <f t="shared" si="0"/>
        <v>0</v>
      </c>
      <c r="BL12" s="4">
        <f t="shared" si="1"/>
        <v>195000</v>
      </c>
      <c r="BM12" s="4">
        <f t="shared" si="2"/>
        <v>1124850</v>
      </c>
      <c r="BN12" s="4">
        <f t="shared" si="10"/>
        <v>660000</v>
      </c>
      <c r="BO12" s="94">
        <f t="shared" si="11"/>
        <v>840000</v>
      </c>
      <c r="BP12" s="94">
        <f t="shared" si="12"/>
        <v>1299559</v>
      </c>
      <c r="BQ12" s="94">
        <f t="shared" si="13"/>
        <v>1585478</v>
      </c>
      <c r="BR12" s="94">
        <f t="shared" si="14"/>
        <v>1600500</v>
      </c>
      <c r="BS12" s="9">
        <f t="shared" si="15"/>
        <v>7305387</v>
      </c>
    </row>
    <row r="13" spans="1:71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4"/>
      <c r="K13" s="4"/>
      <c r="L13" s="4"/>
      <c r="M13" s="4"/>
      <c r="N13" s="9">
        <f t="shared" si="3"/>
        <v>0</v>
      </c>
      <c r="O13" s="76"/>
      <c r="P13" s="76"/>
      <c r="Q13" s="76">
        <v>290000</v>
      </c>
      <c r="R13" s="76">
        <v>775000</v>
      </c>
      <c r="S13" s="4">
        <f>150000+675000+225000+150000</f>
        <v>1200000</v>
      </c>
      <c r="T13" s="4">
        <f>1425000+450000</f>
        <v>1875000</v>
      </c>
      <c r="U13" s="4">
        <f>600000+300000+150000+150000+150000+300000+150000</f>
        <v>1800000</v>
      </c>
      <c r="V13" s="4">
        <f>300000+150000+150000+150000+150000+300000+450000</f>
        <v>1650000</v>
      </c>
      <c r="W13" s="9">
        <f t="shared" si="4"/>
        <v>7590000</v>
      </c>
      <c r="X13" s="4"/>
      <c r="Y13" s="4"/>
      <c r="Z13" s="4"/>
      <c r="AA13" s="4"/>
      <c r="AB13" s="4"/>
      <c r="AC13" s="4"/>
      <c r="AD13" s="4"/>
      <c r="AE13" s="4"/>
      <c r="AF13" s="9">
        <f t="shared" si="5"/>
        <v>0</v>
      </c>
      <c r="AG13" s="4"/>
      <c r="AH13" s="10"/>
      <c r="AI13" s="10"/>
      <c r="AJ13" s="10"/>
      <c r="AK13" s="20"/>
      <c r="AL13" s="20"/>
      <c r="AM13" s="20"/>
      <c r="AN13" s="20"/>
      <c r="AO13" s="21">
        <f t="shared" si="6"/>
        <v>0</v>
      </c>
      <c r="AP13" s="10">
        <v>0</v>
      </c>
      <c r="AQ13" s="20"/>
      <c r="AR13" s="20"/>
      <c r="AS13" s="20"/>
      <c r="AT13" s="20"/>
      <c r="AU13" s="21">
        <f t="shared" si="7"/>
        <v>0</v>
      </c>
      <c r="AV13" s="10"/>
      <c r="AW13" s="20"/>
      <c r="AX13" s="20"/>
      <c r="AY13" s="20"/>
      <c r="AZ13" s="20"/>
      <c r="BA13" s="21">
        <f t="shared" si="8"/>
        <v>0</v>
      </c>
      <c r="BB13" s="10"/>
      <c r="BC13" s="10"/>
      <c r="BD13" s="10"/>
      <c r="BE13" s="10"/>
      <c r="BF13" s="20"/>
      <c r="BG13" s="20"/>
      <c r="BH13" s="20"/>
      <c r="BI13" s="20"/>
      <c r="BJ13" s="21">
        <f t="shared" si="9"/>
        <v>0</v>
      </c>
      <c r="BK13" s="4">
        <f t="shared" si="0"/>
        <v>0</v>
      </c>
      <c r="BL13" s="4">
        <f t="shared" si="1"/>
        <v>0</v>
      </c>
      <c r="BM13" s="4">
        <f t="shared" si="2"/>
        <v>290000</v>
      </c>
      <c r="BN13" s="4">
        <f t="shared" si="10"/>
        <v>775000</v>
      </c>
      <c r="BO13" s="94">
        <f t="shared" si="11"/>
        <v>1200000</v>
      </c>
      <c r="BP13" s="94">
        <f t="shared" si="12"/>
        <v>1875000</v>
      </c>
      <c r="BQ13" s="94">
        <f t="shared" si="13"/>
        <v>1800000</v>
      </c>
      <c r="BR13" s="94">
        <f t="shared" si="14"/>
        <v>1650000</v>
      </c>
      <c r="BS13" s="9">
        <f t="shared" si="15"/>
        <v>7590000</v>
      </c>
    </row>
    <row r="14" spans="1:71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4"/>
      <c r="K14" s="4"/>
      <c r="L14" s="4"/>
      <c r="M14" s="4"/>
      <c r="N14" s="9">
        <f t="shared" si="3"/>
        <v>327667</v>
      </c>
      <c r="O14" s="4"/>
      <c r="P14" s="4"/>
      <c r="Q14" s="4"/>
      <c r="R14" s="4"/>
      <c r="S14" s="4"/>
      <c r="T14" s="4"/>
      <c r="U14" s="4"/>
      <c r="V14" s="4"/>
      <c r="W14" s="9">
        <f t="shared" si="4"/>
        <v>0</v>
      </c>
      <c r="X14" s="4"/>
      <c r="Y14" s="4"/>
      <c r="Z14" s="4"/>
      <c r="AA14" s="4"/>
      <c r="AB14" s="4"/>
      <c r="AC14" s="4"/>
      <c r="AD14" s="4"/>
      <c r="AE14" s="4"/>
      <c r="AF14" s="9">
        <f t="shared" si="5"/>
        <v>0</v>
      </c>
      <c r="AG14" s="4"/>
      <c r="AH14" s="10">
        <v>641000</v>
      </c>
      <c r="AI14" s="10">
        <f>787850+210000</f>
        <v>997850</v>
      </c>
      <c r="AJ14" s="10">
        <v>60000</v>
      </c>
      <c r="AK14" s="20"/>
      <c r="AL14" s="20"/>
      <c r="AM14" s="20"/>
      <c r="AN14" s="20"/>
      <c r="AO14" s="21">
        <f t="shared" si="6"/>
        <v>1698850</v>
      </c>
      <c r="AP14" s="10">
        <v>1155000</v>
      </c>
      <c r="AQ14" s="20">
        <f>105000+315000+315000+315000+210000</f>
        <v>1260000</v>
      </c>
      <c r="AR14" s="20">
        <f>1421340+306320+156000</f>
        <v>1883660</v>
      </c>
      <c r="AS14" s="20">
        <v>1779690</v>
      </c>
      <c r="AT14" s="20">
        <v>1404000</v>
      </c>
      <c r="AU14" s="21">
        <f t="shared" si="7"/>
        <v>7482350</v>
      </c>
      <c r="AV14" s="10"/>
      <c r="AW14" s="20"/>
      <c r="AX14" s="20"/>
      <c r="AY14" s="20"/>
      <c r="AZ14" s="20"/>
      <c r="BA14" s="21">
        <f t="shared" si="8"/>
        <v>0</v>
      </c>
      <c r="BB14" s="10"/>
      <c r="BC14" s="10"/>
      <c r="BD14" s="10"/>
      <c r="BE14" s="10"/>
      <c r="BF14" s="20"/>
      <c r="BG14" s="20"/>
      <c r="BH14" s="20"/>
      <c r="BI14" s="20"/>
      <c r="BJ14" s="21">
        <f t="shared" si="9"/>
        <v>0</v>
      </c>
      <c r="BK14" s="4">
        <f t="shared" si="0"/>
        <v>0</v>
      </c>
      <c r="BL14" s="4">
        <f t="shared" si="1"/>
        <v>641000</v>
      </c>
      <c r="BM14" s="4">
        <f t="shared" si="2"/>
        <v>1185517</v>
      </c>
      <c r="BN14" s="4">
        <f t="shared" si="10"/>
        <v>1355000</v>
      </c>
      <c r="BO14" s="94">
        <f t="shared" si="11"/>
        <v>1260000</v>
      </c>
      <c r="BP14" s="94">
        <f t="shared" si="12"/>
        <v>1883660</v>
      </c>
      <c r="BQ14" s="94">
        <f t="shared" si="13"/>
        <v>1779690</v>
      </c>
      <c r="BR14" s="94">
        <f t="shared" si="14"/>
        <v>1404000</v>
      </c>
      <c r="BS14" s="9">
        <f t="shared" si="15"/>
        <v>9508867</v>
      </c>
    </row>
    <row r="15" spans="1:71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4"/>
      <c r="K15" s="4"/>
      <c r="L15" s="4"/>
      <c r="M15" s="4"/>
      <c r="N15" s="9">
        <f t="shared" si="3"/>
        <v>465500</v>
      </c>
      <c r="O15" s="76"/>
      <c r="P15" s="76">
        <v>290000</v>
      </c>
      <c r="Q15" s="76">
        <v>970000</v>
      </c>
      <c r="R15" s="76">
        <v>925000</v>
      </c>
      <c r="S15" s="4">
        <f>225000+150000+75000+225000+225000+150000</f>
        <v>1050000</v>
      </c>
      <c r="T15" s="4">
        <v>1950000</v>
      </c>
      <c r="U15" s="4">
        <f>450000+450000+150000+190000+340000+200000+200000</f>
        <v>1980000</v>
      </c>
      <c r="V15" s="4">
        <f>400000+200000+200000+200000+200000+400000+600000</f>
        <v>2200000</v>
      </c>
      <c r="W15" s="9">
        <f t="shared" si="4"/>
        <v>9365000</v>
      </c>
      <c r="X15" s="4"/>
      <c r="Y15" s="4"/>
      <c r="Z15" s="4"/>
      <c r="AA15" s="4"/>
      <c r="AB15" s="4"/>
      <c r="AC15" s="4"/>
      <c r="AD15" s="4"/>
      <c r="AE15" s="4"/>
      <c r="AF15" s="9">
        <f t="shared" si="5"/>
        <v>0</v>
      </c>
      <c r="AG15" s="4"/>
      <c r="AH15" s="4"/>
      <c r="AI15" s="4"/>
      <c r="AJ15" s="4"/>
      <c r="AK15" s="20"/>
      <c r="AL15" s="20"/>
      <c r="AM15" s="20"/>
      <c r="AN15" s="20"/>
      <c r="AO15" s="21">
        <f t="shared" si="6"/>
        <v>0</v>
      </c>
      <c r="AP15" s="10">
        <v>0</v>
      </c>
      <c r="AQ15" s="20"/>
      <c r="AR15" s="20"/>
      <c r="AS15" s="20"/>
      <c r="AT15" s="20"/>
      <c r="AU15" s="21">
        <f t="shared" si="7"/>
        <v>0</v>
      </c>
      <c r="AV15" s="10"/>
      <c r="AW15" s="20"/>
      <c r="AX15" s="20"/>
      <c r="AY15" s="20"/>
      <c r="AZ15" s="20"/>
      <c r="BA15" s="21">
        <f t="shared" si="8"/>
        <v>0</v>
      </c>
      <c r="BB15" s="10"/>
      <c r="BC15" s="10"/>
      <c r="BD15" s="10"/>
      <c r="BE15" s="10"/>
      <c r="BF15" s="20"/>
      <c r="BG15" s="20"/>
      <c r="BH15" s="20"/>
      <c r="BI15" s="20"/>
      <c r="BJ15" s="21">
        <f t="shared" si="9"/>
        <v>0</v>
      </c>
      <c r="BK15" s="4">
        <f t="shared" si="0"/>
        <v>0</v>
      </c>
      <c r="BL15" s="4">
        <f t="shared" si="1"/>
        <v>290000</v>
      </c>
      <c r="BM15" s="4">
        <f t="shared" si="2"/>
        <v>1335500</v>
      </c>
      <c r="BN15" s="4">
        <f t="shared" si="10"/>
        <v>1025000</v>
      </c>
      <c r="BO15" s="94">
        <f t="shared" si="11"/>
        <v>1050000</v>
      </c>
      <c r="BP15" s="94">
        <f t="shared" si="12"/>
        <v>1950000</v>
      </c>
      <c r="BQ15" s="94">
        <f t="shared" si="13"/>
        <v>1980000</v>
      </c>
      <c r="BR15" s="94">
        <f t="shared" si="14"/>
        <v>2200000</v>
      </c>
      <c r="BS15" s="9">
        <f t="shared" si="15"/>
        <v>9830500</v>
      </c>
    </row>
    <row r="16" spans="1:71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BS16" si="16">SUM(G5:G15)</f>
        <v>2984462</v>
      </c>
      <c r="H16" s="37">
        <f t="shared" si="16"/>
        <v>2388667</v>
      </c>
      <c r="I16" s="37">
        <f t="shared" si="16"/>
        <v>1020000</v>
      </c>
      <c r="J16" s="37">
        <f t="shared" si="16"/>
        <v>0</v>
      </c>
      <c r="K16" s="37">
        <f t="shared" si="16"/>
        <v>0</v>
      </c>
      <c r="L16" s="37">
        <f t="shared" si="16"/>
        <v>0</v>
      </c>
      <c r="M16" s="37">
        <f t="shared" ref="M16" si="17">SUM(M5:M15)</f>
        <v>0</v>
      </c>
      <c r="N16" s="37">
        <f>SUM(N5:N15)</f>
        <v>6858129</v>
      </c>
      <c r="O16" s="37">
        <f t="shared" si="16"/>
        <v>290000</v>
      </c>
      <c r="P16" s="37">
        <f t="shared" si="16"/>
        <v>1550000</v>
      </c>
      <c r="Q16" s="37">
        <f t="shared" si="16"/>
        <v>2180000</v>
      </c>
      <c r="R16" s="37">
        <f t="shared" si="16"/>
        <v>2000000</v>
      </c>
      <c r="S16" s="37">
        <f t="shared" si="16"/>
        <v>2250000</v>
      </c>
      <c r="T16" s="37">
        <f t="shared" si="16"/>
        <v>3825000</v>
      </c>
      <c r="U16" s="37">
        <f t="shared" si="16"/>
        <v>3780000</v>
      </c>
      <c r="V16" s="37">
        <f t="shared" ref="V16" si="18">SUM(V5:V15)</f>
        <v>3850000</v>
      </c>
      <c r="W16" s="37">
        <f t="shared" si="16"/>
        <v>19725000</v>
      </c>
      <c r="X16" s="37">
        <f t="shared" si="16"/>
        <v>0</v>
      </c>
      <c r="Y16" s="37">
        <f t="shared" si="16"/>
        <v>1553000</v>
      </c>
      <c r="Z16" s="37">
        <f t="shared" si="16"/>
        <v>3599000</v>
      </c>
      <c r="AA16" s="37">
        <f t="shared" si="16"/>
        <v>600000</v>
      </c>
      <c r="AB16" s="37">
        <f t="shared" si="16"/>
        <v>0</v>
      </c>
      <c r="AC16" s="37">
        <f t="shared" si="16"/>
        <v>0</v>
      </c>
      <c r="AD16" s="37">
        <f t="shared" si="16"/>
        <v>0</v>
      </c>
      <c r="AE16" s="37">
        <f t="shared" ref="AE16" si="19">SUM(AE5:AE15)</f>
        <v>0</v>
      </c>
      <c r="AF16" s="37">
        <f t="shared" si="16"/>
        <v>5752000</v>
      </c>
      <c r="AG16" s="37">
        <f t="shared" si="16"/>
        <v>390000</v>
      </c>
      <c r="AH16" s="37">
        <f t="shared" si="16"/>
        <v>6700250</v>
      </c>
      <c r="AI16" s="37">
        <f t="shared" si="16"/>
        <v>6943550</v>
      </c>
      <c r="AJ16" s="37">
        <f t="shared" si="16"/>
        <v>1885000</v>
      </c>
      <c r="AK16" s="37">
        <f t="shared" si="16"/>
        <v>1613500</v>
      </c>
      <c r="AL16" s="37">
        <f t="shared" si="16"/>
        <v>2144459</v>
      </c>
      <c r="AM16" s="37">
        <f t="shared" si="16"/>
        <v>2039778</v>
      </c>
      <c r="AN16" s="37">
        <f t="shared" ref="AN16" si="20">SUM(AN5:AN15)</f>
        <v>2473450</v>
      </c>
      <c r="AO16" s="37">
        <f t="shared" si="16"/>
        <v>24189987</v>
      </c>
      <c r="AP16" s="37">
        <f t="shared" si="16"/>
        <v>6356000</v>
      </c>
      <c r="AQ16" s="37">
        <f t="shared" si="16"/>
        <v>7293000</v>
      </c>
      <c r="AR16" s="37">
        <f>SUM(AR5:AR15)</f>
        <v>10548119</v>
      </c>
      <c r="AS16" s="37">
        <f>SUM(AS5:AS15)</f>
        <v>10418445</v>
      </c>
      <c r="AT16" s="37">
        <f>SUM(AT5:AT15)</f>
        <v>9634400</v>
      </c>
      <c r="AU16" s="37">
        <f>SUM(AU5:AU15)</f>
        <v>44249964</v>
      </c>
      <c r="AV16" s="37">
        <f t="shared" si="16"/>
        <v>0</v>
      </c>
      <c r="AW16" s="37">
        <f t="shared" si="16"/>
        <v>1900000</v>
      </c>
      <c r="AX16" s="37">
        <f t="shared" si="16"/>
        <v>2131500</v>
      </c>
      <c r="AY16" s="37">
        <f t="shared" si="16"/>
        <v>1360000</v>
      </c>
      <c r="AZ16" s="37">
        <f t="shared" ref="AZ16" si="21">SUM(AZ5:AZ15)</f>
        <v>2074000</v>
      </c>
      <c r="BA16" s="37">
        <f t="shared" si="16"/>
        <v>7465500</v>
      </c>
      <c r="BB16" s="37">
        <f t="shared" si="16"/>
        <v>0</v>
      </c>
      <c r="BC16" s="37">
        <f t="shared" si="16"/>
        <v>0</v>
      </c>
      <c r="BD16" s="37">
        <f t="shared" si="16"/>
        <v>0</v>
      </c>
      <c r="BE16" s="37">
        <f t="shared" si="16"/>
        <v>0</v>
      </c>
      <c r="BF16" s="37">
        <f t="shared" si="16"/>
        <v>0</v>
      </c>
      <c r="BG16" s="37">
        <f t="shared" si="16"/>
        <v>0</v>
      </c>
      <c r="BH16" s="37">
        <f t="shared" si="16"/>
        <v>0</v>
      </c>
      <c r="BI16" s="37">
        <f t="shared" ref="BI16" si="22">SUM(BI5:BI15)</f>
        <v>0</v>
      </c>
      <c r="BJ16" s="37">
        <f t="shared" si="16"/>
        <v>0</v>
      </c>
      <c r="BK16" s="37">
        <f t="shared" si="16"/>
        <v>1145000</v>
      </c>
      <c r="BL16" s="37">
        <f t="shared" si="16"/>
        <v>12787712</v>
      </c>
      <c r="BM16" s="37">
        <f t="shared" si="16"/>
        <v>15111217</v>
      </c>
      <c r="BN16" s="37">
        <f t="shared" si="16"/>
        <v>11861000</v>
      </c>
      <c r="BO16" s="37">
        <f t="shared" si="16"/>
        <v>13056500</v>
      </c>
      <c r="BP16" s="144">
        <f>SUM(BP5:BP15)</f>
        <v>18649078</v>
      </c>
      <c r="BQ16" s="37">
        <f t="shared" ref="BQ16:BR16" si="23">SUM(BQ5:BQ15)</f>
        <v>17598223</v>
      </c>
      <c r="BR16" s="37">
        <f t="shared" si="23"/>
        <v>18031850</v>
      </c>
      <c r="BS16" s="37">
        <f t="shared" si="16"/>
        <v>108240580</v>
      </c>
    </row>
    <row r="17" spans="1:71">
      <c r="A17" s="185" t="s">
        <v>35</v>
      </c>
      <c r="B17" s="8">
        <v>1</v>
      </c>
      <c r="C17" s="1" t="s">
        <v>457</v>
      </c>
      <c r="D17" s="4" t="s">
        <v>458</v>
      </c>
      <c r="E17" s="4" t="s">
        <v>35</v>
      </c>
      <c r="F17" s="4"/>
      <c r="G17" s="4"/>
      <c r="H17" s="4"/>
      <c r="I17" s="4"/>
      <c r="J17" s="4"/>
      <c r="K17" s="4"/>
      <c r="L17" s="4"/>
      <c r="M17" s="4"/>
      <c r="N17" s="9">
        <f t="shared" ref="N17:N20" si="24">SUM(F17:M17)</f>
        <v>0</v>
      </c>
      <c r="O17" s="4"/>
      <c r="P17" s="4"/>
      <c r="Q17" s="4"/>
      <c r="R17" s="4"/>
      <c r="S17" s="4"/>
      <c r="T17" s="4"/>
      <c r="U17" s="4"/>
      <c r="V17" s="4"/>
      <c r="W17" s="9">
        <f t="shared" ref="W17:W82" si="25">SUM(O17:V17)</f>
        <v>0</v>
      </c>
      <c r="X17" s="4"/>
      <c r="Y17" s="4"/>
      <c r="Z17" s="4"/>
      <c r="AA17" s="4"/>
      <c r="AB17" s="4"/>
      <c r="AC17" s="4">
        <v>190000</v>
      </c>
      <c r="AD17" s="4"/>
      <c r="AE17" s="4">
        <f>231000+70000</f>
        <v>301000</v>
      </c>
      <c r="AF17" s="9">
        <f t="shared" ref="AF17:AF20" si="26">SUM(X17:AE17)</f>
        <v>491000</v>
      </c>
      <c r="AG17" s="4"/>
      <c r="AH17" s="4"/>
      <c r="AI17" s="4"/>
      <c r="AJ17" s="4"/>
      <c r="AK17" s="20"/>
      <c r="AL17" s="20"/>
      <c r="AM17" s="20"/>
      <c r="AN17" s="20"/>
      <c r="AO17" s="21">
        <f t="shared" ref="AO17:AO20" si="27">SUM(AG17:AN17)</f>
        <v>0</v>
      </c>
      <c r="AP17" s="10"/>
      <c r="AQ17" s="20"/>
      <c r="AR17" s="20"/>
      <c r="AS17" s="20"/>
      <c r="AT17" s="20"/>
      <c r="AU17" s="21">
        <f t="shared" ref="AU17:AU20" si="28">SUM(AP17:AT17)</f>
        <v>0</v>
      </c>
      <c r="AV17" s="10"/>
      <c r="AW17" s="20"/>
      <c r="AX17" s="20"/>
      <c r="AY17" s="20"/>
      <c r="AZ17" s="20"/>
      <c r="BA17" s="21">
        <f t="shared" ref="BA17:BA20" si="29">SUM(AV17:AZ17)</f>
        <v>0</v>
      </c>
      <c r="BB17" s="10"/>
      <c r="BC17" s="10"/>
      <c r="BD17" s="10"/>
      <c r="BE17" s="10"/>
      <c r="BF17" s="20"/>
      <c r="BG17" s="20"/>
      <c r="BH17" s="20"/>
      <c r="BI17" s="20"/>
      <c r="BJ17" s="21">
        <f t="shared" ref="BJ17:BJ20" si="30">SUM(BB17:BI17)</f>
        <v>0</v>
      </c>
      <c r="BK17" s="4">
        <f t="shared" ref="BK17:BM20" si="31">F17+O17+X17+AG17+BB17</f>
        <v>0</v>
      </c>
      <c r="BL17" s="4">
        <f t="shared" si="31"/>
        <v>0</v>
      </c>
      <c r="BM17" s="4">
        <f t="shared" si="31"/>
        <v>0</v>
      </c>
      <c r="BN17" s="4">
        <f t="shared" ref="BN17:BQ20" si="32">I17+R17+AA17+AJ17+AP17+AV17+BE17</f>
        <v>0</v>
      </c>
      <c r="BO17" s="94">
        <f t="shared" si="32"/>
        <v>0</v>
      </c>
      <c r="BP17" s="94">
        <f t="shared" si="32"/>
        <v>190000</v>
      </c>
      <c r="BQ17" s="94">
        <f t="shared" si="32"/>
        <v>0</v>
      </c>
      <c r="BR17" s="94">
        <f t="shared" ref="BR17:BR20" si="33">M17+V17+AE17+AN17+AT17+AZ17+BI17</f>
        <v>301000</v>
      </c>
      <c r="BS17" s="9">
        <f t="shared" ref="BS17:BS20" si="34">SUM(BK17:BR17)</f>
        <v>491000</v>
      </c>
    </row>
    <row r="18" spans="1:71">
      <c r="A18" s="186"/>
      <c r="B18" s="8">
        <v>1</v>
      </c>
      <c r="C18" s="1" t="s">
        <v>84</v>
      </c>
      <c r="D18" s="4" t="s">
        <v>85</v>
      </c>
      <c r="E18" s="4" t="s">
        <v>35</v>
      </c>
      <c r="F18" s="4"/>
      <c r="G18" s="4"/>
      <c r="H18" s="4">
        <v>155000</v>
      </c>
      <c r="I18" s="4">
        <v>533000</v>
      </c>
      <c r="J18" s="4">
        <f>140000+105000+105000+70000</f>
        <v>420000</v>
      </c>
      <c r="K18" s="4">
        <f>454100+96000+47000</f>
        <v>597100</v>
      </c>
      <c r="L18" s="4">
        <v>547500</v>
      </c>
      <c r="M18" s="4">
        <v>585000</v>
      </c>
      <c r="N18" s="9">
        <f t="shared" si="24"/>
        <v>2837600</v>
      </c>
      <c r="O18" s="4"/>
      <c r="P18" s="4"/>
      <c r="Q18" s="4"/>
      <c r="R18" s="4"/>
      <c r="S18" s="4"/>
      <c r="T18" s="4"/>
      <c r="U18" s="4"/>
      <c r="V18" s="4"/>
      <c r="W18" s="9">
        <f t="shared" si="25"/>
        <v>0</v>
      </c>
      <c r="X18" s="4"/>
      <c r="Y18" s="4"/>
      <c r="Z18" s="4"/>
      <c r="AA18" s="4"/>
      <c r="AB18" s="4"/>
      <c r="AC18" s="4"/>
      <c r="AD18" s="4"/>
      <c r="AE18" s="4"/>
      <c r="AF18" s="9">
        <f t="shared" si="26"/>
        <v>0</v>
      </c>
      <c r="AG18" s="4"/>
      <c r="AH18" s="4"/>
      <c r="AI18" s="4"/>
      <c r="AJ18" s="4"/>
      <c r="AK18" s="20"/>
      <c r="AL18" s="20"/>
      <c r="AM18" s="20"/>
      <c r="AN18" s="20"/>
      <c r="AO18" s="21">
        <f t="shared" si="27"/>
        <v>0</v>
      </c>
      <c r="AP18" s="10"/>
      <c r="AQ18" s="20"/>
      <c r="AR18" s="20"/>
      <c r="AS18" s="20"/>
      <c r="AT18" s="20"/>
      <c r="AU18" s="21">
        <f t="shared" si="28"/>
        <v>0</v>
      </c>
      <c r="AV18" s="10"/>
      <c r="AW18" s="20"/>
      <c r="AX18" s="20"/>
      <c r="AY18" s="20"/>
      <c r="AZ18" s="20"/>
      <c r="BA18" s="21">
        <f t="shared" si="29"/>
        <v>0</v>
      </c>
      <c r="BB18" s="10"/>
      <c r="BC18" s="10"/>
      <c r="BD18" s="10"/>
      <c r="BE18" s="10"/>
      <c r="BF18" s="20"/>
      <c r="BG18" s="20"/>
      <c r="BH18" s="20"/>
      <c r="BI18" s="20"/>
      <c r="BJ18" s="21">
        <f t="shared" si="30"/>
        <v>0</v>
      </c>
      <c r="BK18" s="4">
        <f t="shared" si="31"/>
        <v>0</v>
      </c>
      <c r="BL18" s="4">
        <f t="shared" si="31"/>
        <v>0</v>
      </c>
      <c r="BM18" s="4">
        <f t="shared" si="31"/>
        <v>155000</v>
      </c>
      <c r="BN18" s="4">
        <f t="shared" si="32"/>
        <v>533000</v>
      </c>
      <c r="BO18" s="94">
        <f t="shared" si="32"/>
        <v>420000</v>
      </c>
      <c r="BP18" s="94">
        <f t="shared" si="32"/>
        <v>597100</v>
      </c>
      <c r="BQ18" s="94">
        <f t="shared" si="32"/>
        <v>547500</v>
      </c>
      <c r="BR18" s="94">
        <f t="shared" si="33"/>
        <v>585000</v>
      </c>
      <c r="BS18" s="9">
        <f t="shared" si="34"/>
        <v>2837600</v>
      </c>
    </row>
    <row r="19" spans="1:71">
      <c r="A19" s="186"/>
      <c r="B19" s="8">
        <v>2</v>
      </c>
      <c r="C19" s="100" t="s">
        <v>446</v>
      </c>
      <c r="D19" s="101" t="s">
        <v>447</v>
      </c>
      <c r="E19" s="101" t="s">
        <v>35</v>
      </c>
      <c r="F19" s="4"/>
      <c r="G19" s="4"/>
      <c r="H19" s="4"/>
      <c r="I19" s="4"/>
      <c r="J19" s="4">
        <v>155000</v>
      </c>
      <c r="K19" s="4">
        <v>309000</v>
      </c>
      <c r="L19" s="4">
        <v>646800</v>
      </c>
      <c r="M19" s="4"/>
      <c r="N19" s="9">
        <f t="shared" si="24"/>
        <v>1110800</v>
      </c>
      <c r="O19" s="4"/>
      <c r="P19" s="4"/>
      <c r="Q19" s="4"/>
      <c r="R19" s="4"/>
      <c r="S19" s="4"/>
      <c r="T19" s="4"/>
      <c r="U19" s="4"/>
      <c r="V19" s="4"/>
      <c r="W19" s="9">
        <f t="shared" si="25"/>
        <v>0</v>
      </c>
      <c r="X19" s="4"/>
      <c r="Y19" s="4"/>
      <c r="Z19" s="4"/>
      <c r="AA19" s="4"/>
      <c r="AB19" s="4"/>
      <c r="AC19" s="4"/>
      <c r="AD19" s="4"/>
      <c r="AE19" s="4"/>
      <c r="AF19" s="9">
        <f t="shared" si="26"/>
        <v>0</v>
      </c>
      <c r="AG19" s="4"/>
      <c r="AH19" s="4"/>
      <c r="AI19" s="4"/>
      <c r="AJ19" s="4"/>
      <c r="AK19" s="20"/>
      <c r="AL19" s="20"/>
      <c r="AM19" s="20"/>
      <c r="AN19" s="20"/>
      <c r="AO19" s="21">
        <f>SUM(AG19:AN19)</f>
        <v>0</v>
      </c>
      <c r="AP19" s="10"/>
      <c r="AQ19" s="20"/>
      <c r="AR19" s="20"/>
      <c r="AS19" s="20"/>
      <c r="AT19" s="20"/>
      <c r="AU19" s="21">
        <f t="shared" si="28"/>
        <v>0</v>
      </c>
      <c r="AV19" s="10"/>
      <c r="AW19" s="20"/>
      <c r="AX19" s="20"/>
      <c r="AY19" s="20"/>
      <c r="AZ19" s="20"/>
      <c r="BA19" s="21">
        <f t="shared" si="29"/>
        <v>0</v>
      </c>
      <c r="BB19" s="10"/>
      <c r="BC19" s="10"/>
      <c r="BD19" s="10"/>
      <c r="BE19" s="10"/>
      <c r="BF19" s="20"/>
      <c r="BG19" s="20"/>
      <c r="BH19" s="20"/>
      <c r="BI19" s="20"/>
      <c r="BJ19" s="21">
        <f t="shared" si="30"/>
        <v>0</v>
      </c>
      <c r="BK19" s="4">
        <f t="shared" si="31"/>
        <v>0</v>
      </c>
      <c r="BL19" s="4">
        <f t="shared" si="31"/>
        <v>0</v>
      </c>
      <c r="BM19" s="4">
        <f t="shared" si="31"/>
        <v>0</v>
      </c>
      <c r="BN19" s="4">
        <f t="shared" si="32"/>
        <v>0</v>
      </c>
      <c r="BO19" s="94">
        <f t="shared" si="32"/>
        <v>155000</v>
      </c>
      <c r="BP19" s="94">
        <f t="shared" si="32"/>
        <v>309000</v>
      </c>
      <c r="BQ19" s="94">
        <f t="shared" si="32"/>
        <v>646800</v>
      </c>
      <c r="BR19" s="94">
        <f t="shared" si="33"/>
        <v>0</v>
      </c>
      <c r="BS19" s="9">
        <f t="shared" si="34"/>
        <v>1110800</v>
      </c>
    </row>
    <row r="20" spans="1:71">
      <c r="A20" s="187"/>
      <c r="B20" s="8">
        <v>3</v>
      </c>
      <c r="C20" s="1" t="s">
        <v>7</v>
      </c>
      <c r="D20" s="4" t="s">
        <v>40</v>
      </c>
      <c r="E20" s="4" t="s">
        <v>35</v>
      </c>
      <c r="F20" s="4">
        <v>155000</v>
      </c>
      <c r="G20" s="4"/>
      <c r="H20" s="4">
        <f>418500+93000+46500</f>
        <v>558000</v>
      </c>
      <c r="I20" s="4">
        <v>417000</v>
      </c>
      <c r="J20" s="4">
        <f>102000+98000+98500+106500+36000</f>
        <v>441000</v>
      </c>
      <c r="K20" s="4">
        <f>533300+99000+49500</f>
        <v>681800</v>
      </c>
      <c r="L20" s="4">
        <v>247500</v>
      </c>
      <c r="M20" s="4">
        <v>734500</v>
      </c>
      <c r="N20" s="9">
        <f t="shared" si="24"/>
        <v>3234800</v>
      </c>
      <c r="O20" s="4"/>
      <c r="P20" s="4"/>
      <c r="Q20" s="4"/>
      <c r="R20" s="4"/>
      <c r="S20" s="4"/>
      <c r="T20" s="4"/>
      <c r="U20" s="4"/>
      <c r="V20" s="4"/>
      <c r="W20" s="9">
        <f t="shared" si="25"/>
        <v>0</v>
      </c>
      <c r="X20" s="4">
        <v>290000</v>
      </c>
      <c r="Y20" s="4"/>
      <c r="Z20" s="4"/>
      <c r="AA20" s="4">
        <v>800000</v>
      </c>
      <c r="AB20" s="4"/>
      <c r="AC20" s="4"/>
      <c r="AD20" s="4"/>
      <c r="AE20" s="4"/>
      <c r="AF20" s="9">
        <f t="shared" si="26"/>
        <v>1090000</v>
      </c>
      <c r="AG20" s="4"/>
      <c r="AH20" s="4"/>
      <c r="AI20" s="4"/>
      <c r="AJ20" s="4"/>
      <c r="AK20" s="20"/>
      <c r="AL20" s="20"/>
      <c r="AM20" s="20"/>
      <c r="AN20" s="20"/>
      <c r="AO20" s="21">
        <f t="shared" si="27"/>
        <v>0</v>
      </c>
      <c r="AP20" s="10"/>
      <c r="AQ20" s="20"/>
      <c r="AR20" s="20"/>
      <c r="AS20" s="20"/>
      <c r="AT20" s="20"/>
      <c r="AU20" s="21">
        <f t="shared" si="28"/>
        <v>0</v>
      </c>
      <c r="AV20" s="10"/>
      <c r="AW20" s="20"/>
      <c r="AX20" s="20"/>
      <c r="AY20" s="20"/>
      <c r="AZ20" s="20"/>
      <c r="BA20" s="21">
        <f t="shared" si="29"/>
        <v>0</v>
      </c>
      <c r="BB20" s="10"/>
      <c r="BC20" s="10"/>
      <c r="BD20" s="10"/>
      <c r="BE20" s="10"/>
      <c r="BF20" s="20"/>
      <c r="BG20" s="20"/>
      <c r="BH20" s="20"/>
      <c r="BI20" s="20"/>
      <c r="BJ20" s="21">
        <f t="shared" si="30"/>
        <v>0</v>
      </c>
      <c r="BK20" s="4">
        <f t="shared" si="31"/>
        <v>445000</v>
      </c>
      <c r="BL20" s="4">
        <f t="shared" si="31"/>
        <v>0</v>
      </c>
      <c r="BM20" s="4">
        <f t="shared" si="31"/>
        <v>558000</v>
      </c>
      <c r="BN20" s="4">
        <f t="shared" si="32"/>
        <v>1217000</v>
      </c>
      <c r="BO20" s="94">
        <f t="shared" si="32"/>
        <v>441000</v>
      </c>
      <c r="BP20" s="94">
        <f t="shared" si="32"/>
        <v>681800</v>
      </c>
      <c r="BQ20" s="94">
        <f t="shared" si="32"/>
        <v>247500</v>
      </c>
      <c r="BR20" s="94">
        <f t="shared" si="33"/>
        <v>734500</v>
      </c>
      <c r="BS20" s="9">
        <f t="shared" si="34"/>
        <v>4324800</v>
      </c>
    </row>
    <row r="21" spans="1:71" s="38" customFormat="1">
      <c r="A21" s="34"/>
      <c r="B21" s="34"/>
      <c r="C21" s="35" t="s">
        <v>86</v>
      </c>
      <c r="D21" s="36"/>
      <c r="E21" s="37"/>
      <c r="F21" s="37">
        <f>SUM(F17:F20)</f>
        <v>155000</v>
      </c>
      <c r="G21" s="37">
        <f t="shared" ref="G21:BS21" si="35">SUM(G17:G20)</f>
        <v>0</v>
      </c>
      <c r="H21" s="37">
        <f t="shared" si="35"/>
        <v>713000</v>
      </c>
      <c r="I21" s="37">
        <f t="shared" si="35"/>
        <v>950000</v>
      </c>
      <c r="J21" s="37">
        <f t="shared" si="35"/>
        <v>1016000</v>
      </c>
      <c r="K21" s="37">
        <f t="shared" si="35"/>
        <v>1587900</v>
      </c>
      <c r="L21" s="37">
        <f t="shared" si="35"/>
        <v>1441800</v>
      </c>
      <c r="M21" s="37">
        <f t="shared" ref="M21" si="36">SUM(M17:M20)</f>
        <v>1319500</v>
      </c>
      <c r="N21" s="37">
        <f t="shared" si="35"/>
        <v>7183200</v>
      </c>
      <c r="O21" s="37">
        <f t="shared" si="35"/>
        <v>0</v>
      </c>
      <c r="P21" s="37">
        <f t="shared" si="35"/>
        <v>0</v>
      </c>
      <c r="Q21" s="37">
        <f t="shared" si="35"/>
        <v>0</v>
      </c>
      <c r="R21" s="37">
        <f t="shared" si="35"/>
        <v>0</v>
      </c>
      <c r="S21" s="37">
        <f t="shared" si="35"/>
        <v>0</v>
      </c>
      <c r="T21" s="37">
        <f t="shared" si="35"/>
        <v>0</v>
      </c>
      <c r="U21" s="37">
        <f t="shared" si="35"/>
        <v>0</v>
      </c>
      <c r="V21" s="37">
        <f t="shared" ref="V21" si="37">SUM(V17:V20)</f>
        <v>0</v>
      </c>
      <c r="W21" s="37">
        <f t="shared" si="35"/>
        <v>0</v>
      </c>
      <c r="X21" s="37">
        <f t="shared" si="35"/>
        <v>290000</v>
      </c>
      <c r="Y21" s="37">
        <f t="shared" si="35"/>
        <v>0</v>
      </c>
      <c r="Z21" s="37">
        <f t="shared" si="35"/>
        <v>0</v>
      </c>
      <c r="AA21" s="37">
        <f t="shared" si="35"/>
        <v>800000</v>
      </c>
      <c r="AB21" s="37">
        <f t="shared" si="35"/>
        <v>0</v>
      </c>
      <c r="AC21" s="37">
        <f t="shared" si="35"/>
        <v>190000</v>
      </c>
      <c r="AD21" s="37">
        <f t="shared" si="35"/>
        <v>0</v>
      </c>
      <c r="AE21" s="37">
        <f t="shared" ref="AE21" si="38">SUM(AE17:AE20)</f>
        <v>301000</v>
      </c>
      <c r="AF21" s="37">
        <f t="shared" si="35"/>
        <v>1581000</v>
      </c>
      <c r="AG21" s="37">
        <f t="shared" si="35"/>
        <v>0</v>
      </c>
      <c r="AH21" s="37">
        <f t="shared" si="35"/>
        <v>0</v>
      </c>
      <c r="AI21" s="37">
        <f t="shared" si="35"/>
        <v>0</v>
      </c>
      <c r="AJ21" s="37">
        <f t="shared" si="35"/>
        <v>0</v>
      </c>
      <c r="AK21" s="37">
        <f t="shared" si="35"/>
        <v>0</v>
      </c>
      <c r="AL21" s="37">
        <f t="shared" si="35"/>
        <v>0</v>
      </c>
      <c r="AM21" s="37">
        <f t="shared" si="35"/>
        <v>0</v>
      </c>
      <c r="AN21" s="37">
        <f t="shared" ref="AN21" si="39">SUM(AN17:AN20)</f>
        <v>0</v>
      </c>
      <c r="AO21" s="37">
        <f t="shared" si="35"/>
        <v>0</v>
      </c>
      <c r="AP21" s="37">
        <f t="shared" si="35"/>
        <v>0</v>
      </c>
      <c r="AQ21" s="37">
        <f t="shared" si="35"/>
        <v>0</v>
      </c>
      <c r="AR21" s="37">
        <f>SUM(AR17:AR20)</f>
        <v>0</v>
      </c>
      <c r="AS21" s="37">
        <f>SUM(AS17:AS20)</f>
        <v>0</v>
      </c>
      <c r="AT21" s="37">
        <f>SUM(AT17:AT20)</f>
        <v>0</v>
      </c>
      <c r="AU21" s="37">
        <f>SUM(AU17:AU20)</f>
        <v>0</v>
      </c>
      <c r="AV21" s="37">
        <f t="shared" si="35"/>
        <v>0</v>
      </c>
      <c r="AW21" s="37">
        <f t="shared" si="35"/>
        <v>0</v>
      </c>
      <c r="AX21" s="37">
        <f t="shared" si="35"/>
        <v>0</v>
      </c>
      <c r="AY21" s="37">
        <f t="shared" si="35"/>
        <v>0</v>
      </c>
      <c r="AZ21" s="37">
        <f t="shared" ref="AZ21" si="40">SUM(AZ17:AZ20)</f>
        <v>0</v>
      </c>
      <c r="BA21" s="37">
        <f t="shared" si="35"/>
        <v>0</v>
      </c>
      <c r="BB21" s="37">
        <f t="shared" si="35"/>
        <v>0</v>
      </c>
      <c r="BC21" s="37">
        <f t="shared" si="35"/>
        <v>0</v>
      </c>
      <c r="BD21" s="37">
        <f t="shared" si="35"/>
        <v>0</v>
      </c>
      <c r="BE21" s="37">
        <f t="shared" si="35"/>
        <v>0</v>
      </c>
      <c r="BF21" s="37">
        <f t="shared" si="35"/>
        <v>0</v>
      </c>
      <c r="BG21" s="37">
        <f t="shared" si="35"/>
        <v>0</v>
      </c>
      <c r="BH21" s="37">
        <f t="shared" si="35"/>
        <v>0</v>
      </c>
      <c r="BI21" s="37">
        <f t="shared" ref="BI21" si="41">SUM(BI17:BI20)</f>
        <v>0</v>
      </c>
      <c r="BJ21" s="37">
        <f t="shared" si="35"/>
        <v>0</v>
      </c>
      <c r="BK21" s="37">
        <f t="shared" si="35"/>
        <v>445000</v>
      </c>
      <c r="BL21" s="37">
        <f t="shared" si="35"/>
        <v>0</v>
      </c>
      <c r="BM21" s="37">
        <f t="shared" si="35"/>
        <v>713000</v>
      </c>
      <c r="BN21" s="37">
        <f t="shared" si="35"/>
        <v>1750000</v>
      </c>
      <c r="BO21" s="37">
        <f t="shared" si="35"/>
        <v>1016000</v>
      </c>
      <c r="BP21" s="144">
        <f>SUM(BP17:BP20)</f>
        <v>1777900</v>
      </c>
      <c r="BQ21" s="37">
        <f t="shared" ref="BQ21:BR21" si="42">SUM(BQ17:BQ20)</f>
        <v>1441800</v>
      </c>
      <c r="BR21" s="37">
        <f t="shared" si="42"/>
        <v>1620500</v>
      </c>
      <c r="BS21" s="37">
        <f t="shared" si="35"/>
        <v>8764200</v>
      </c>
    </row>
    <row r="22" spans="1:71" ht="31.5">
      <c r="A22" s="185" t="s">
        <v>18</v>
      </c>
      <c r="B22" s="8">
        <v>1</v>
      </c>
      <c r="C22" s="1" t="s">
        <v>87</v>
      </c>
      <c r="D22" s="4" t="s">
        <v>88</v>
      </c>
      <c r="E22" s="4" t="s">
        <v>18</v>
      </c>
      <c r="F22" s="4"/>
      <c r="G22" s="4"/>
      <c r="H22" s="4">
        <v>155000</v>
      </c>
      <c r="I22" s="4">
        <f>100000+40000</f>
        <v>140000</v>
      </c>
      <c r="J22" s="4"/>
      <c r="K22" s="4"/>
      <c r="L22" s="4"/>
      <c r="M22" s="4"/>
      <c r="N22" s="9">
        <f t="shared" ref="N22:N26" si="43">SUM(F22:M22)</f>
        <v>295000</v>
      </c>
      <c r="O22" s="4"/>
      <c r="P22" s="4"/>
      <c r="Q22" s="4"/>
      <c r="R22" s="4"/>
      <c r="S22" s="4"/>
      <c r="T22" s="4"/>
      <c r="U22" s="4"/>
      <c r="V22" s="4"/>
      <c r="W22" s="9">
        <f t="shared" si="25"/>
        <v>0</v>
      </c>
      <c r="X22" s="4"/>
      <c r="Y22" s="4"/>
      <c r="Z22" s="4"/>
      <c r="AA22" s="4"/>
      <c r="AB22" s="4"/>
      <c r="AC22" s="4"/>
      <c r="AD22" s="4"/>
      <c r="AE22" s="4"/>
      <c r="AF22" s="9">
        <f t="shared" ref="AF22:AF26" si="44">SUM(X22:AE22)</f>
        <v>0</v>
      </c>
      <c r="AG22" s="4"/>
      <c r="AH22" s="4"/>
      <c r="AI22" s="10">
        <v>259750</v>
      </c>
      <c r="AJ22" s="27">
        <v>172000</v>
      </c>
      <c r="AK22" s="20"/>
      <c r="AL22" s="20"/>
      <c r="AM22" s="20"/>
      <c r="AN22" s="20"/>
      <c r="AO22" s="21">
        <f t="shared" ref="AO22:AO26" si="45">SUM(AG22:AN22)</f>
        <v>431750</v>
      </c>
      <c r="AP22" s="10">
        <v>945000</v>
      </c>
      <c r="AQ22" s="20">
        <f>315000+315000+315000+210000</f>
        <v>1155000</v>
      </c>
      <c r="AR22" s="20">
        <f>1698000+309000+156000</f>
        <v>2163000</v>
      </c>
      <c r="AS22" s="20">
        <v>1872000</v>
      </c>
      <c r="AT22" s="20">
        <v>1716000</v>
      </c>
      <c r="AU22" s="21">
        <f t="shared" ref="AU22:AU26" si="46">SUM(AP22:AT22)</f>
        <v>7851000</v>
      </c>
      <c r="AV22" s="10"/>
      <c r="AW22" s="20"/>
      <c r="AX22" s="20"/>
      <c r="AY22" s="20"/>
      <c r="AZ22" s="20"/>
      <c r="BA22" s="21">
        <f t="shared" ref="BA22:BA26" si="47">SUM(AV22:AZ22)</f>
        <v>0</v>
      </c>
      <c r="BB22" s="10"/>
      <c r="BC22" s="10"/>
      <c r="BD22" s="10">
        <v>376000</v>
      </c>
      <c r="BE22" s="10"/>
      <c r="BF22" s="20"/>
      <c r="BG22" s="20"/>
      <c r="BH22" s="20"/>
      <c r="BI22" s="20"/>
      <c r="BJ22" s="21">
        <f t="shared" ref="BJ22:BJ26" si="48">SUM(BB22:BI22)</f>
        <v>376000</v>
      </c>
      <c r="BK22" s="4">
        <f t="shared" ref="BK22:BM26" si="49">F22+O22+X22+AG22+BB22</f>
        <v>0</v>
      </c>
      <c r="BL22" s="4">
        <f t="shared" si="49"/>
        <v>0</v>
      </c>
      <c r="BM22" s="4">
        <f t="shared" si="49"/>
        <v>790750</v>
      </c>
      <c r="BN22" s="4">
        <f t="shared" ref="BN22:BQ26" si="50">I22+R22+AA22+AJ22+AP22+AV22+BE22</f>
        <v>1257000</v>
      </c>
      <c r="BO22" s="94">
        <f t="shared" si="50"/>
        <v>1155000</v>
      </c>
      <c r="BP22" s="94">
        <f t="shared" si="50"/>
        <v>2163000</v>
      </c>
      <c r="BQ22" s="94">
        <f t="shared" si="50"/>
        <v>1872000</v>
      </c>
      <c r="BR22" s="94">
        <f t="shared" ref="BR22:BR26" si="51">M22+V22+AE22+AN22+AT22+AZ22+BI22</f>
        <v>1716000</v>
      </c>
      <c r="BS22" s="9">
        <f t="shared" ref="BS22:BS26" si="52">SUM(BK22:BR22)</f>
        <v>8953750</v>
      </c>
    </row>
    <row r="23" spans="1:71">
      <c r="A23" s="186"/>
      <c r="B23" s="8">
        <v>2</v>
      </c>
      <c r="C23" s="1" t="s">
        <v>89</v>
      </c>
      <c r="D23" s="4" t="s">
        <v>90</v>
      </c>
      <c r="E23" s="4" t="s">
        <v>18</v>
      </c>
      <c r="F23" s="4"/>
      <c r="G23" s="4"/>
      <c r="H23" s="4">
        <v>155000</v>
      </c>
      <c r="I23" s="4">
        <f>120000+20000</f>
        <v>140000</v>
      </c>
      <c r="J23" s="4"/>
      <c r="K23" s="4"/>
      <c r="L23" s="4"/>
      <c r="M23" s="4"/>
      <c r="N23" s="9">
        <f t="shared" si="43"/>
        <v>295000</v>
      </c>
      <c r="O23" s="4"/>
      <c r="P23" s="4"/>
      <c r="Q23" s="4"/>
      <c r="R23" s="4"/>
      <c r="S23" s="4"/>
      <c r="T23" s="4"/>
      <c r="U23" s="4"/>
      <c r="V23" s="4"/>
      <c r="W23" s="9">
        <f t="shared" si="25"/>
        <v>0</v>
      </c>
      <c r="X23" s="4"/>
      <c r="Y23" s="4"/>
      <c r="Z23" s="4"/>
      <c r="AA23" s="4"/>
      <c r="AB23" s="4"/>
      <c r="AC23" s="4"/>
      <c r="AD23" s="4"/>
      <c r="AE23" s="4"/>
      <c r="AF23" s="9">
        <f t="shared" si="44"/>
        <v>0</v>
      </c>
      <c r="AG23" s="4"/>
      <c r="AH23" s="4"/>
      <c r="AI23" s="10">
        <f>258750+140000</f>
        <v>398750</v>
      </c>
      <c r="AJ23" s="27">
        <v>30000</v>
      </c>
      <c r="AK23" s="20"/>
      <c r="AL23" s="20"/>
      <c r="AM23" s="20"/>
      <c r="AN23" s="20"/>
      <c r="AO23" s="21">
        <f t="shared" si="45"/>
        <v>428750</v>
      </c>
      <c r="AP23" s="10">
        <v>945000</v>
      </c>
      <c r="AQ23" s="20">
        <f>315000+313500+315000+315000+210000</f>
        <v>1468500</v>
      </c>
      <c r="AR23" s="20">
        <f>1405000+312000+156000</f>
        <v>1873000</v>
      </c>
      <c r="AS23" s="20">
        <v>1872000</v>
      </c>
      <c r="AT23" s="20">
        <v>1716000</v>
      </c>
      <c r="AU23" s="21">
        <f t="shared" si="46"/>
        <v>7874500</v>
      </c>
      <c r="AV23" s="10"/>
      <c r="AW23" s="20"/>
      <c r="AX23" s="20"/>
      <c r="AY23" s="20"/>
      <c r="AZ23" s="20"/>
      <c r="BA23" s="21">
        <f t="shared" si="47"/>
        <v>0</v>
      </c>
      <c r="BB23" s="10"/>
      <c r="BC23" s="10"/>
      <c r="BD23" s="10">
        <v>376000</v>
      </c>
      <c r="BE23" s="10"/>
      <c r="BF23" s="20"/>
      <c r="BG23" s="20"/>
      <c r="BH23" s="20"/>
      <c r="BI23" s="20"/>
      <c r="BJ23" s="21">
        <f t="shared" si="48"/>
        <v>376000</v>
      </c>
      <c r="BK23" s="4">
        <f t="shared" si="49"/>
        <v>0</v>
      </c>
      <c r="BL23" s="4">
        <f t="shared" si="49"/>
        <v>0</v>
      </c>
      <c r="BM23" s="4">
        <f t="shared" si="49"/>
        <v>929750</v>
      </c>
      <c r="BN23" s="4">
        <f t="shared" si="50"/>
        <v>1115000</v>
      </c>
      <c r="BO23" s="94">
        <f t="shared" si="50"/>
        <v>1468500</v>
      </c>
      <c r="BP23" s="94">
        <f t="shared" si="50"/>
        <v>1873000</v>
      </c>
      <c r="BQ23" s="94">
        <f t="shared" si="50"/>
        <v>1872000</v>
      </c>
      <c r="BR23" s="94">
        <f t="shared" si="51"/>
        <v>1716000</v>
      </c>
      <c r="BS23" s="9">
        <f t="shared" si="52"/>
        <v>8974250</v>
      </c>
    </row>
    <row r="24" spans="1:71" ht="31.5">
      <c r="A24" s="186"/>
      <c r="B24" s="8">
        <v>3</v>
      </c>
      <c r="C24" s="1" t="s">
        <v>91</v>
      </c>
      <c r="D24" s="4" t="s">
        <v>92</v>
      </c>
      <c r="E24" s="4" t="s">
        <v>18</v>
      </c>
      <c r="F24" s="4"/>
      <c r="G24" s="4">
        <v>155000</v>
      </c>
      <c r="H24" s="4">
        <f>462000+77000+286000+330000+110000+40000</f>
        <v>1305000</v>
      </c>
      <c r="I24" s="4">
        <v>685500</v>
      </c>
      <c r="J24" s="4">
        <f>210000+210000</f>
        <v>420000</v>
      </c>
      <c r="K24" s="4"/>
      <c r="L24" s="4">
        <v>312500</v>
      </c>
      <c r="M24" s="4">
        <v>1210000</v>
      </c>
      <c r="N24" s="9">
        <f t="shared" si="43"/>
        <v>4088000</v>
      </c>
      <c r="O24" s="4"/>
      <c r="P24" s="4"/>
      <c r="Q24" s="4"/>
      <c r="R24" s="4"/>
      <c r="S24" s="4"/>
      <c r="T24" s="4"/>
      <c r="U24" s="4"/>
      <c r="V24" s="4"/>
      <c r="W24" s="9">
        <f t="shared" si="25"/>
        <v>0</v>
      </c>
      <c r="X24" s="4"/>
      <c r="Y24" s="4">
        <v>290000</v>
      </c>
      <c r="Z24" s="4">
        <v>1516000</v>
      </c>
      <c r="AA24" s="11">
        <v>300000</v>
      </c>
      <c r="AB24" s="11"/>
      <c r="AC24" s="11"/>
      <c r="AD24" s="11"/>
      <c r="AE24" s="11"/>
      <c r="AF24" s="9">
        <f t="shared" si="44"/>
        <v>2106000</v>
      </c>
      <c r="AG24" s="4"/>
      <c r="AH24" s="4"/>
      <c r="AI24" s="4"/>
      <c r="AJ24" s="4"/>
      <c r="AK24" s="20"/>
      <c r="AL24" s="20"/>
      <c r="AM24" s="20"/>
      <c r="AN24" s="20"/>
      <c r="AO24" s="21">
        <f t="shared" si="45"/>
        <v>0</v>
      </c>
      <c r="AP24" s="10"/>
      <c r="AQ24" s="20"/>
      <c r="AR24" s="20"/>
      <c r="AS24" s="20"/>
      <c r="AT24" s="20"/>
      <c r="AU24" s="21">
        <f t="shared" si="46"/>
        <v>0</v>
      </c>
      <c r="AV24" s="10"/>
      <c r="AW24" s="20"/>
      <c r="AX24" s="20"/>
      <c r="AY24" s="20"/>
      <c r="AZ24" s="20"/>
      <c r="BA24" s="21">
        <f t="shared" si="47"/>
        <v>0</v>
      </c>
      <c r="BB24" s="10"/>
      <c r="BC24" s="10"/>
      <c r="BD24" s="10"/>
      <c r="BE24" s="10"/>
      <c r="BF24" s="20"/>
      <c r="BG24" s="20"/>
      <c r="BH24" s="20"/>
      <c r="BI24" s="20"/>
      <c r="BJ24" s="21">
        <f t="shared" si="48"/>
        <v>0</v>
      </c>
      <c r="BK24" s="4">
        <f t="shared" si="49"/>
        <v>0</v>
      </c>
      <c r="BL24" s="4">
        <f t="shared" si="49"/>
        <v>445000</v>
      </c>
      <c r="BM24" s="4">
        <f t="shared" si="49"/>
        <v>2821000</v>
      </c>
      <c r="BN24" s="4">
        <f t="shared" si="50"/>
        <v>985500</v>
      </c>
      <c r="BO24" s="94">
        <f t="shared" si="50"/>
        <v>420000</v>
      </c>
      <c r="BP24" s="94">
        <f t="shared" si="50"/>
        <v>0</v>
      </c>
      <c r="BQ24" s="94">
        <f t="shared" si="50"/>
        <v>312500</v>
      </c>
      <c r="BR24" s="94">
        <f t="shared" si="51"/>
        <v>1210000</v>
      </c>
      <c r="BS24" s="9">
        <f t="shared" si="52"/>
        <v>6194000</v>
      </c>
    </row>
    <row r="25" spans="1:71">
      <c r="A25" s="186"/>
      <c r="B25" s="8">
        <v>4</v>
      </c>
      <c r="C25" s="1" t="s">
        <v>9</v>
      </c>
      <c r="D25" s="4" t="s">
        <v>42</v>
      </c>
      <c r="E25" s="4" t="s">
        <v>18</v>
      </c>
      <c r="F25" s="4"/>
      <c r="G25" s="4"/>
      <c r="H25" s="4"/>
      <c r="I25" s="4"/>
      <c r="J25" s="4"/>
      <c r="K25" s="4"/>
      <c r="L25" s="4"/>
      <c r="M25" s="4"/>
      <c r="N25" s="9">
        <f t="shared" si="43"/>
        <v>0</v>
      </c>
      <c r="O25" s="4"/>
      <c r="P25" s="4"/>
      <c r="Q25" s="4"/>
      <c r="R25" s="4"/>
      <c r="S25" s="4"/>
      <c r="T25" s="4"/>
      <c r="U25" s="4"/>
      <c r="V25" s="4"/>
      <c r="W25" s="9">
        <f t="shared" si="25"/>
        <v>0</v>
      </c>
      <c r="X25" s="4">
        <v>290000</v>
      </c>
      <c r="Y25" s="70">
        <v>2093000</v>
      </c>
      <c r="Z25" s="4">
        <v>1575000</v>
      </c>
      <c r="AA25" s="11"/>
      <c r="AB25" s="11"/>
      <c r="AC25" s="11"/>
      <c r="AD25" s="11"/>
      <c r="AE25" s="11"/>
      <c r="AF25" s="9">
        <f t="shared" si="44"/>
        <v>3958000</v>
      </c>
      <c r="AG25" s="4">
        <v>195000</v>
      </c>
      <c r="AH25" s="10">
        <v>1426450</v>
      </c>
      <c r="AI25" s="10">
        <v>1018500</v>
      </c>
      <c r="AJ25" s="10">
        <v>950000</v>
      </c>
      <c r="AK25" s="20">
        <f>70000+210000</f>
        <v>280000</v>
      </c>
      <c r="AL25" s="20"/>
      <c r="AM25" s="20">
        <v>2250400</v>
      </c>
      <c r="AN25" s="20">
        <v>1600500</v>
      </c>
      <c r="AO25" s="21">
        <f t="shared" si="45"/>
        <v>7720850</v>
      </c>
      <c r="AP25" s="10"/>
      <c r="AQ25" s="20"/>
      <c r="AR25" s="20"/>
      <c r="AS25" s="20"/>
      <c r="AT25" s="20"/>
      <c r="AU25" s="21">
        <f t="shared" si="46"/>
        <v>0</v>
      </c>
      <c r="AV25" s="10"/>
      <c r="AW25" s="20"/>
      <c r="AX25" s="20"/>
      <c r="AY25" s="20"/>
      <c r="AZ25" s="20"/>
      <c r="BA25" s="21">
        <f t="shared" si="47"/>
        <v>0</v>
      </c>
      <c r="BB25" s="10"/>
      <c r="BC25" s="10">
        <v>100000</v>
      </c>
      <c r="BD25" s="10">
        <v>522000</v>
      </c>
      <c r="BE25" s="10"/>
      <c r="BF25" s="20"/>
      <c r="BG25" s="20"/>
      <c r="BH25" s="20"/>
      <c r="BI25" s="20"/>
      <c r="BJ25" s="21">
        <f t="shared" si="48"/>
        <v>622000</v>
      </c>
      <c r="BK25" s="4">
        <f t="shared" si="49"/>
        <v>485000</v>
      </c>
      <c r="BL25" s="4">
        <f t="shared" si="49"/>
        <v>3619450</v>
      </c>
      <c r="BM25" s="4">
        <f t="shared" si="49"/>
        <v>3115500</v>
      </c>
      <c r="BN25" s="4">
        <f t="shared" si="50"/>
        <v>950000</v>
      </c>
      <c r="BO25" s="94">
        <f t="shared" si="50"/>
        <v>280000</v>
      </c>
      <c r="BP25" s="94">
        <f t="shared" si="50"/>
        <v>0</v>
      </c>
      <c r="BQ25" s="94">
        <f t="shared" si="50"/>
        <v>2250400</v>
      </c>
      <c r="BR25" s="94">
        <f t="shared" si="51"/>
        <v>1600500</v>
      </c>
      <c r="BS25" s="9">
        <f t="shared" si="52"/>
        <v>12300850</v>
      </c>
    </row>
    <row r="26" spans="1:71" ht="31.5">
      <c r="A26" s="187"/>
      <c r="B26" s="8">
        <v>5</v>
      </c>
      <c r="C26" s="1" t="s">
        <v>93</v>
      </c>
      <c r="D26" s="4" t="s">
        <v>94</v>
      </c>
      <c r="E26" s="4" t="s">
        <v>18</v>
      </c>
      <c r="F26" s="4">
        <v>155000</v>
      </c>
      <c r="G26" s="4">
        <v>207500</v>
      </c>
      <c r="H26" s="4">
        <v>379500</v>
      </c>
      <c r="I26" s="4"/>
      <c r="J26" s="4"/>
      <c r="K26" s="4"/>
      <c r="L26" s="4"/>
      <c r="M26" s="4"/>
      <c r="N26" s="9">
        <f t="shared" si="43"/>
        <v>742000</v>
      </c>
      <c r="O26" s="4"/>
      <c r="P26" s="4"/>
      <c r="Q26" s="4"/>
      <c r="R26" s="4"/>
      <c r="S26" s="4"/>
      <c r="T26" s="4"/>
      <c r="U26" s="4"/>
      <c r="V26" s="4"/>
      <c r="W26" s="9">
        <f t="shared" si="25"/>
        <v>0</v>
      </c>
      <c r="X26" s="4"/>
      <c r="Y26" s="4"/>
      <c r="Z26" s="4"/>
      <c r="AA26" s="4"/>
      <c r="AB26" s="4"/>
      <c r="AC26" s="4"/>
      <c r="AD26" s="4"/>
      <c r="AE26" s="4"/>
      <c r="AF26" s="9">
        <f t="shared" si="44"/>
        <v>0</v>
      </c>
      <c r="AG26" s="4"/>
      <c r="AH26" s="10">
        <v>629500</v>
      </c>
      <c r="AI26" s="10">
        <v>436500</v>
      </c>
      <c r="AJ26" s="10"/>
      <c r="AK26" s="20"/>
      <c r="AL26" s="20"/>
      <c r="AM26" s="20"/>
      <c r="AN26" s="20"/>
      <c r="AO26" s="21">
        <f t="shared" si="45"/>
        <v>1066000</v>
      </c>
      <c r="AP26" s="10"/>
      <c r="AQ26" s="20"/>
      <c r="AR26" s="20"/>
      <c r="AS26" s="20">
        <v>1846200</v>
      </c>
      <c r="AT26" s="20">
        <v>1716000</v>
      </c>
      <c r="AU26" s="21">
        <f t="shared" si="46"/>
        <v>3562200</v>
      </c>
      <c r="AV26" s="10"/>
      <c r="AW26" s="20"/>
      <c r="AX26" s="20"/>
      <c r="AY26" s="20"/>
      <c r="AZ26" s="20"/>
      <c r="BA26" s="21">
        <f t="shared" si="47"/>
        <v>0</v>
      </c>
      <c r="BB26" s="10"/>
      <c r="BC26" s="10"/>
      <c r="BD26" s="10"/>
      <c r="BE26" s="10"/>
      <c r="BF26" s="20"/>
      <c r="BG26" s="20"/>
      <c r="BH26" s="20"/>
      <c r="BI26" s="20"/>
      <c r="BJ26" s="21">
        <f t="shared" si="48"/>
        <v>0</v>
      </c>
      <c r="BK26" s="4">
        <f t="shared" si="49"/>
        <v>155000</v>
      </c>
      <c r="BL26" s="4">
        <f t="shared" si="49"/>
        <v>837000</v>
      </c>
      <c r="BM26" s="4">
        <f t="shared" si="49"/>
        <v>816000</v>
      </c>
      <c r="BN26" s="4">
        <f t="shared" si="50"/>
        <v>0</v>
      </c>
      <c r="BO26" s="94">
        <f t="shared" si="50"/>
        <v>0</v>
      </c>
      <c r="BP26" s="94">
        <f t="shared" si="50"/>
        <v>0</v>
      </c>
      <c r="BQ26" s="94">
        <f t="shared" si="50"/>
        <v>1846200</v>
      </c>
      <c r="BR26" s="94">
        <f t="shared" si="51"/>
        <v>1716000</v>
      </c>
      <c r="BS26" s="9">
        <f t="shared" si="52"/>
        <v>5370200</v>
      </c>
    </row>
    <row r="27" spans="1:71" s="38" customFormat="1">
      <c r="A27" s="34"/>
      <c r="B27" s="34"/>
      <c r="C27" s="35" t="s">
        <v>95</v>
      </c>
      <c r="D27" s="37"/>
      <c r="E27" s="37"/>
      <c r="F27" s="37">
        <f>SUM(F22:F26)</f>
        <v>155000</v>
      </c>
      <c r="G27" s="37">
        <f t="shared" ref="G27:BS27" si="53">SUM(G22:G26)</f>
        <v>362500</v>
      </c>
      <c r="H27" s="37">
        <f t="shared" si="53"/>
        <v>1994500</v>
      </c>
      <c r="I27" s="37">
        <f t="shared" si="53"/>
        <v>965500</v>
      </c>
      <c r="J27" s="37">
        <f t="shared" si="53"/>
        <v>420000</v>
      </c>
      <c r="K27" s="37">
        <f t="shared" si="53"/>
        <v>0</v>
      </c>
      <c r="L27" s="37">
        <f t="shared" si="53"/>
        <v>312500</v>
      </c>
      <c r="M27" s="37">
        <f t="shared" ref="M27" si="54">SUM(M22:M26)</f>
        <v>1210000</v>
      </c>
      <c r="N27" s="37">
        <f t="shared" si="53"/>
        <v>5420000</v>
      </c>
      <c r="O27" s="37">
        <f t="shared" si="53"/>
        <v>0</v>
      </c>
      <c r="P27" s="37">
        <f t="shared" si="53"/>
        <v>0</v>
      </c>
      <c r="Q27" s="37">
        <f t="shared" si="53"/>
        <v>0</v>
      </c>
      <c r="R27" s="37">
        <f t="shared" si="53"/>
        <v>0</v>
      </c>
      <c r="S27" s="37">
        <f t="shared" si="53"/>
        <v>0</v>
      </c>
      <c r="T27" s="37">
        <f t="shared" si="53"/>
        <v>0</v>
      </c>
      <c r="U27" s="37">
        <f t="shared" si="53"/>
        <v>0</v>
      </c>
      <c r="V27" s="37">
        <f t="shared" ref="V27" si="55">SUM(V22:V26)</f>
        <v>0</v>
      </c>
      <c r="W27" s="37">
        <f t="shared" si="53"/>
        <v>0</v>
      </c>
      <c r="X27" s="37">
        <f t="shared" si="53"/>
        <v>290000</v>
      </c>
      <c r="Y27" s="37">
        <f t="shared" si="53"/>
        <v>2383000</v>
      </c>
      <c r="Z27" s="37">
        <f t="shared" si="53"/>
        <v>3091000</v>
      </c>
      <c r="AA27" s="37">
        <f t="shared" si="53"/>
        <v>300000</v>
      </c>
      <c r="AB27" s="37">
        <f t="shared" si="53"/>
        <v>0</v>
      </c>
      <c r="AC27" s="37">
        <f t="shared" si="53"/>
        <v>0</v>
      </c>
      <c r="AD27" s="37">
        <f t="shared" si="53"/>
        <v>0</v>
      </c>
      <c r="AE27" s="37">
        <f t="shared" ref="AE27" si="56">SUM(AE22:AE26)</f>
        <v>0</v>
      </c>
      <c r="AF27" s="37">
        <f t="shared" si="53"/>
        <v>6064000</v>
      </c>
      <c r="AG27" s="37">
        <f t="shared" si="53"/>
        <v>195000</v>
      </c>
      <c r="AH27" s="37">
        <f t="shared" si="53"/>
        <v>2055950</v>
      </c>
      <c r="AI27" s="37">
        <f t="shared" si="53"/>
        <v>2113500</v>
      </c>
      <c r="AJ27" s="37">
        <f t="shared" si="53"/>
        <v>1152000</v>
      </c>
      <c r="AK27" s="37">
        <f t="shared" si="53"/>
        <v>280000</v>
      </c>
      <c r="AL27" s="37">
        <f t="shared" si="53"/>
        <v>0</v>
      </c>
      <c r="AM27" s="37">
        <f t="shared" si="53"/>
        <v>2250400</v>
      </c>
      <c r="AN27" s="37">
        <f t="shared" ref="AN27" si="57">SUM(AN22:AN26)</f>
        <v>1600500</v>
      </c>
      <c r="AO27" s="37">
        <f t="shared" si="53"/>
        <v>9647350</v>
      </c>
      <c r="AP27" s="37">
        <f t="shared" si="53"/>
        <v>1890000</v>
      </c>
      <c r="AQ27" s="37">
        <f t="shared" si="53"/>
        <v>2623500</v>
      </c>
      <c r="AR27" s="37">
        <f>SUM(AR22:AR26)</f>
        <v>4036000</v>
      </c>
      <c r="AS27" s="37">
        <f>SUM(AS22:AS26)</f>
        <v>5590200</v>
      </c>
      <c r="AT27" s="37">
        <f>SUM(AT22:AT26)</f>
        <v>5148000</v>
      </c>
      <c r="AU27" s="37">
        <f>SUM(AU22:AU26)</f>
        <v>19287700</v>
      </c>
      <c r="AV27" s="37">
        <f t="shared" si="53"/>
        <v>0</v>
      </c>
      <c r="AW27" s="37">
        <f t="shared" si="53"/>
        <v>0</v>
      </c>
      <c r="AX27" s="37">
        <f t="shared" si="53"/>
        <v>0</v>
      </c>
      <c r="AY27" s="37">
        <f t="shared" si="53"/>
        <v>0</v>
      </c>
      <c r="AZ27" s="37">
        <f t="shared" ref="AZ27" si="58">SUM(AZ22:AZ26)</f>
        <v>0</v>
      </c>
      <c r="BA27" s="37">
        <f t="shared" si="53"/>
        <v>0</v>
      </c>
      <c r="BB27" s="37">
        <f t="shared" si="53"/>
        <v>0</v>
      </c>
      <c r="BC27" s="37">
        <f t="shared" si="53"/>
        <v>100000</v>
      </c>
      <c r="BD27" s="37">
        <f t="shared" si="53"/>
        <v>1274000</v>
      </c>
      <c r="BE27" s="37">
        <f t="shared" si="53"/>
        <v>0</v>
      </c>
      <c r="BF27" s="37">
        <f t="shared" si="53"/>
        <v>0</v>
      </c>
      <c r="BG27" s="37">
        <f t="shared" si="53"/>
        <v>0</v>
      </c>
      <c r="BH27" s="37">
        <f t="shared" si="53"/>
        <v>0</v>
      </c>
      <c r="BI27" s="37">
        <f t="shared" ref="BI27" si="59">SUM(BI22:BI26)</f>
        <v>0</v>
      </c>
      <c r="BJ27" s="37">
        <f t="shared" si="53"/>
        <v>1374000</v>
      </c>
      <c r="BK27" s="37">
        <f t="shared" si="53"/>
        <v>640000</v>
      </c>
      <c r="BL27" s="37">
        <f t="shared" si="53"/>
        <v>4901450</v>
      </c>
      <c r="BM27" s="37">
        <f t="shared" si="53"/>
        <v>8473000</v>
      </c>
      <c r="BN27" s="37">
        <f t="shared" si="53"/>
        <v>4307500</v>
      </c>
      <c r="BO27" s="37">
        <f t="shared" si="53"/>
        <v>3323500</v>
      </c>
      <c r="BP27" s="144">
        <f>SUM(BP22:BP26)</f>
        <v>4036000</v>
      </c>
      <c r="BQ27" s="37">
        <f t="shared" ref="BQ27:BR27" si="60">SUM(BQ22:BQ26)</f>
        <v>8153100</v>
      </c>
      <c r="BR27" s="37">
        <f t="shared" si="60"/>
        <v>7958500</v>
      </c>
      <c r="BS27" s="37">
        <f t="shared" si="53"/>
        <v>41793050</v>
      </c>
    </row>
    <row r="28" spans="1:71">
      <c r="A28" s="185" t="s">
        <v>96</v>
      </c>
      <c r="B28" s="8">
        <v>1</v>
      </c>
      <c r="C28" s="1" t="s">
        <v>512</v>
      </c>
      <c r="D28" s="4" t="s">
        <v>96</v>
      </c>
      <c r="E28" s="4" t="s">
        <v>98</v>
      </c>
      <c r="F28" s="4"/>
      <c r="G28" s="4">
        <v>155000</v>
      </c>
      <c r="H28" s="4">
        <v>-155000</v>
      </c>
      <c r="I28" s="4"/>
      <c r="J28" s="4"/>
      <c r="K28" s="4"/>
      <c r="L28" s="4">
        <v>155000</v>
      </c>
      <c r="M28" s="4">
        <v>346500</v>
      </c>
      <c r="N28" s="9">
        <f t="shared" ref="N28:N29" si="61">SUM(F28:M28)</f>
        <v>501500</v>
      </c>
      <c r="O28" s="4"/>
      <c r="P28" s="4"/>
      <c r="Q28" s="4"/>
      <c r="R28" s="4"/>
      <c r="S28" s="4"/>
      <c r="T28" s="4"/>
      <c r="U28" s="4"/>
      <c r="V28" s="4"/>
      <c r="W28" s="9">
        <f t="shared" si="25"/>
        <v>0</v>
      </c>
      <c r="X28" s="4"/>
      <c r="Y28" s="4"/>
      <c r="Z28" s="4"/>
      <c r="AA28" s="4"/>
      <c r="AB28" s="4"/>
      <c r="AC28" s="4"/>
      <c r="AD28" s="4"/>
      <c r="AE28" s="4"/>
      <c r="AF28" s="9">
        <f t="shared" ref="AF28:AF29" si="62">SUM(X28:AE28)</f>
        <v>0</v>
      </c>
      <c r="AG28" s="4"/>
      <c r="AH28" s="4"/>
      <c r="AI28" s="4"/>
      <c r="AJ28" s="4"/>
      <c r="AK28" s="20"/>
      <c r="AL28" s="20"/>
      <c r="AM28" s="20"/>
      <c r="AN28" s="20"/>
      <c r="AO28" s="21">
        <f t="shared" ref="AO28:AO29" si="63">SUM(AG28:AN28)</f>
        <v>0</v>
      </c>
      <c r="AP28" s="10"/>
      <c r="AQ28" s="20"/>
      <c r="AR28" s="20"/>
      <c r="AS28" s="20"/>
      <c r="AT28" s="20"/>
      <c r="AU28" s="21">
        <f t="shared" ref="AU28:AU29" si="64">SUM(AP28:AT28)</f>
        <v>0</v>
      </c>
      <c r="AV28" s="10"/>
      <c r="AW28" s="20"/>
      <c r="AX28" s="20"/>
      <c r="AY28" s="20"/>
      <c r="AZ28" s="20"/>
      <c r="BA28" s="21">
        <f t="shared" ref="BA28:BA29" si="65">SUM(AV28:AZ28)</f>
        <v>0</v>
      </c>
      <c r="BB28" s="10"/>
      <c r="BC28" s="10"/>
      <c r="BD28" s="10"/>
      <c r="BE28" s="10"/>
      <c r="BF28" s="20"/>
      <c r="BG28" s="20"/>
      <c r="BH28" s="20"/>
      <c r="BI28" s="20"/>
      <c r="BJ28" s="21">
        <f t="shared" ref="BJ28:BJ29" si="66">SUM(BB28:BI28)</f>
        <v>0</v>
      </c>
      <c r="BK28" s="4">
        <f t="shared" ref="BK28:BM29" si="67">F28+O28+X28+AG28+BB28</f>
        <v>0</v>
      </c>
      <c r="BL28" s="4">
        <f t="shared" si="67"/>
        <v>155000</v>
      </c>
      <c r="BM28" s="4">
        <f t="shared" si="67"/>
        <v>-155000</v>
      </c>
      <c r="BN28" s="4">
        <f t="shared" ref="BN28:BQ29" si="68">I28+R28+AA28+AJ28+AP28+AV28+BE28</f>
        <v>0</v>
      </c>
      <c r="BO28" s="94">
        <f t="shared" si="68"/>
        <v>0</v>
      </c>
      <c r="BP28" s="94">
        <f t="shared" si="68"/>
        <v>0</v>
      </c>
      <c r="BQ28" s="94">
        <f t="shared" si="68"/>
        <v>155000</v>
      </c>
      <c r="BR28" s="94">
        <f t="shared" ref="BR28:BR29" si="69">M28+V28+AE28+AN28+AT28+AZ28+BI28</f>
        <v>346500</v>
      </c>
      <c r="BS28" s="9">
        <f t="shared" ref="BS28:BS29" si="70">SUM(BK28:BR28)</f>
        <v>501500</v>
      </c>
    </row>
    <row r="29" spans="1:71" ht="30">
      <c r="A29" s="187"/>
      <c r="B29" s="8">
        <v>2</v>
      </c>
      <c r="C29" s="2" t="s">
        <v>99</v>
      </c>
      <c r="D29" s="4" t="s">
        <v>96</v>
      </c>
      <c r="E29" s="4" t="s">
        <v>98</v>
      </c>
      <c r="F29" s="4"/>
      <c r="G29" s="4"/>
      <c r="H29" s="5"/>
      <c r="I29" s="4"/>
      <c r="J29" s="4"/>
      <c r="K29" s="4"/>
      <c r="L29" s="4"/>
      <c r="M29" s="4"/>
      <c r="N29" s="9">
        <f t="shared" si="61"/>
        <v>0</v>
      </c>
      <c r="O29" s="4"/>
      <c r="P29" s="4"/>
      <c r="Q29" s="4"/>
      <c r="R29" s="4"/>
      <c r="S29" s="4"/>
      <c r="T29" s="4"/>
      <c r="U29" s="4"/>
      <c r="V29" s="4"/>
      <c r="W29" s="9">
        <f t="shared" si="25"/>
        <v>0</v>
      </c>
      <c r="X29" s="4"/>
      <c r="Y29" s="4"/>
      <c r="Z29" s="4"/>
      <c r="AA29" s="4"/>
      <c r="AB29" s="4"/>
      <c r="AC29" s="4"/>
      <c r="AD29" s="4"/>
      <c r="AE29" s="4"/>
      <c r="AF29" s="9">
        <f t="shared" si="62"/>
        <v>0</v>
      </c>
      <c r="AG29" s="4"/>
      <c r="AH29" s="4"/>
      <c r="AI29" s="4"/>
      <c r="AJ29" s="4"/>
      <c r="AK29" s="20"/>
      <c r="AL29" s="20"/>
      <c r="AM29" s="20"/>
      <c r="AN29" s="20"/>
      <c r="AO29" s="21">
        <f t="shared" si="63"/>
        <v>0</v>
      </c>
      <c r="AP29" s="10"/>
      <c r="AQ29" s="20"/>
      <c r="AR29" s="20"/>
      <c r="AS29" s="20"/>
      <c r="AT29" s="20"/>
      <c r="AU29" s="21">
        <f t="shared" si="64"/>
        <v>0</v>
      </c>
      <c r="AV29" s="10"/>
      <c r="AW29" s="20"/>
      <c r="AX29" s="20"/>
      <c r="AY29" s="20"/>
      <c r="AZ29" s="20"/>
      <c r="BA29" s="21">
        <f t="shared" si="65"/>
        <v>0</v>
      </c>
      <c r="BB29" s="10"/>
      <c r="BC29" s="10"/>
      <c r="BD29" s="10">
        <v>100000</v>
      </c>
      <c r="BE29" s="10">
        <v>150000</v>
      </c>
      <c r="BF29" s="20"/>
      <c r="BG29" s="20"/>
      <c r="BH29" s="20"/>
      <c r="BI29" s="20"/>
      <c r="BJ29" s="21">
        <f t="shared" si="66"/>
        <v>250000</v>
      </c>
      <c r="BK29" s="4">
        <f t="shared" si="67"/>
        <v>0</v>
      </c>
      <c r="BL29" s="4">
        <f t="shared" si="67"/>
        <v>0</v>
      </c>
      <c r="BM29" s="4">
        <f t="shared" si="67"/>
        <v>100000</v>
      </c>
      <c r="BN29" s="4">
        <f t="shared" si="68"/>
        <v>150000</v>
      </c>
      <c r="BO29" s="94">
        <f t="shared" si="68"/>
        <v>0</v>
      </c>
      <c r="BP29" s="94">
        <f t="shared" si="68"/>
        <v>0</v>
      </c>
      <c r="BQ29" s="94">
        <f t="shared" si="68"/>
        <v>0</v>
      </c>
      <c r="BR29" s="94">
        <f t="shared" si="69"/>
        <v>0</v>
      </c>
      <c r="BS29" s="9">
        <f t="shared" si="70"/>
        <v>250000</v>
      </c>
    </row>
    <row r="30" spans="1:71" s="38" customFormat="1">
      <c r="A30" s="34"/>
      <c r="B30" s="34"/>
      <c r="C30" s="35" t="s">
        <v>100</v>
      </c>
      <c r="D30" s="37"/>
      <c r="E30" s="37"/>
      <c r="F30" s="37">
        <f>SUM(F28:F29)</f>
        <v>0</v>
      </c>
      <c r="G30" s="37">
        <f t="shared" ref="G30:BS30" si="71">SUM(G28:G29)</f>
        <v>155000</v>
      </c>
      <c r="H30" s="37">
        <f t="shared" si="71"/>
        <v>-155000</v>
      </c>
      <c r="I30" s="37">
        <f t="shared" si="71"/>
        <v>0</v>
      </c>
      <c r="J30" s="37">
        <f t="shared" si="71"/>
        <v>0</v>
      </c>
      <c r="K30" s="37">
        <f t="shared" si="71"/>
        <v>0</v>
      </c>
      <c r="L30" s="37">
        <f t="shared" si="71"/>
        <v>155000</v>
      </c>
      <c r="M30" s="37">
        <f t="shared" ref="M30" si="72">SUM(M28:M29)</f>
        <v>346500</v>
      </c>
      <c r="N30" s="37">
        <f t="shared" si="71"/>
        <v>501500</v>
      </c>
      <c r="O30" s="37">
        <f t="shared" si="71"/>
        <v>0</v>
      </c>
      <c r="P30" s="37">
        <f t="shared" si="71"/>
        <v>0</v>
      </c>
      <c r="Q30" s="37">
        <f t="shared" si="71"/>
        <v>0</v>
      </c>
      <c r="R30" s="37">
        <f t="shared" si="71"/>
        <v>0</v>
      </c>
      <c r="S30" s="37">
        <f t="shared" si="71"/>
        <v>0</v>
      </c>
      <c r="T30" s="37">
        <f t="shared" si="71"/>
        <v>0</v>
      </c>
      <c r="U30" s="37">
        <f t="shared" si="71"/>
        <v>0</v>
      </c>
      <c r="V30" s="37">
        <f t="shared" ref="V30" si="73">SUM(V28:V29)</f>
        <v>0</v>
      </c>
      <c r="W30" s="37">
        <f t="shared" si="71"/>
        <v>0</v>
      </c>
      <c r="X30" s="37">
        <f t="shared" si="71"/>
        <v>0</v>
      </c>
      <c r="Y30" s="37">
        <f t="shared" si="71"/>
        <v>0</v>
      </c>
      <c r="Z30" s="37">
        <f t="shared" si="71"/>
        <v>0</v>
      </c>
      <c r="AA30" s="37">
        <f t="shared" si="71"/>
        <v>0</v>
      </c>
      <c r="AB30" s="37">
        <f t="shared" si="71"/>
        <v>0</v>
      </c>
      <c r="AC30" s="37">
        <f t="shared" si="71"/>
        <v>0</v>
      </c>
      <c r="AD30" s="37">
        <f t="shared" si="71"/>
        <v>0</v>
      </c>
      <c r="AE30" s="37">
        <f t="shared" ref="AE30" si="74">SUM(AE28:AE29)</f>
        <v>0</v>
      </c>
      <c r="AF30" s="37">
        <f t="shared" si="71"/>
        <v>0</v>
      </c>
      <c r="AG30" s="37">
        <f t="shared" si="71"/>
        <v>0</v>
      </c>
      <c r="AH30" s="37">
        <f t="shared" si="71"/>
        <v>0</v>
      </c>
      <c r="AI30" s="37">
        <f t="shared" si="71"/>
        <v>0</v>
      </c>
      <c r="AJ30" s="37">
        <f t="shared" si="71"/>
        <v>0</v>
      </c>
      <c r="AK30" s="37">
        <f t="shared" si="71"/>
        <v>0</v>
      </c>
      <c r="AL30" s="37">
        <f t="shared" si="71"/>
        <v>0</v>
      </c>
      <c r="AM30" s="37">
        <f t="shared" si="71"/>
        <v>0</v>
      </c>
      <c r="AN30" s="37">
        <f t="shared" ref="AN30" si="75">SUM(AN28:AN29)</f>
        <v>0</v>
      </c>
      <c r="AO30" s="37">
        <f t="shared" si="71"/>
        <v>0</v>
      </c>
      <c r="AP30" s="37">
        <f t="shared" si="71"/>
        <v>0</v>
      </c>
      <c r="AQ30" s="37">
        <f t="shared" si="71"/>
        <v>0</v>
      </c>
      <c r="AR30" s="37">
        <f t="shared" si="71"/>
        <v>0</v>
      </c>
      <c r="AS30" s="37">
        <f t="shared" si="71"/>
        <v>0</v>
      </c>
      <c r="AT30" s="37">
        <f t="shared" ref="AT30" si="76">SUM(AT28:AT29)</f>
        <v>0</v>
      </c>
      <c r="AU30" s="37">
        <f t="shared" si="71"/>
        <v>0</v>
      </c>
      <c r="AV30" s="37">
        <f t="shared" si="71"/>
        <v>0</v>
      </c>
      <c r="AW30" s="37">
        <f t="shared" si="71"/>
        <v>0</v>
      </c>
      <c r="AX30" s="37">
        <f t="shared" si="71"/>
        <v>0</v>
      </c>
      <c r="AY30" s="37">
        <f t="shared" si="71"/>
        <v>0</v>
      </c>
      <c r="AZ30" s="37">
        <f t="shared" ref="AZ30" si="77">SUM(AZ28:AZ29)</f>
        <v>0</v>
      </c>
      <c r="BA30" s="37">
        <f t="shared" si="71"/>
        <v>0</v>
      </c>
      <c r="BB30" s="37">
        <f t="shared" si="71"/>
        <v>0</v>
      </c>
      <c r="BC30" s="37">
        <f t="shared" si="71"/>
        <v>0</v>
      </c>
      <c r="BD30" s="37">
        <f t="shared" si="71"/>
        <v>100000</v>
      </c>
      <c r="BE30" s="37">
        <f t="shared" si="71"/>
        <v>150000</v>
      </c>
      <c r="BF30" s="37">
        <f t="shared" si="71"/>
        <v>0</v>
      </c>
      <c r="BG30" s="37">
        <f t="shared" si="71"/>
        <v>0</v>
      </c>
      <c r="BH30" s="37">
        <f t="shared" si="71"/>
        <v>0</v>
      </c>
      <c r="BI30" s="37">
        <f t="shared" ref="BI30" si="78">SUM(BI28:BI29)</f>
        <v>0</v>
      </c>
      <c r="BJ30" s="37">
        <f t="shared" si="71"/>
        <v>250000</v>
      </c>
      <c r="BK30" s="37">
        <f t="shared" si="71"/>
        <v>0</v>
      </c>
      <c r="BL30" s="37">
        <f t="shared" si="71"/>
        <v>155000</v>
      </c>
      <c r="BM30" s="37">
        <f t="shared" si="71"/>
        <v>-55000</v>
      </c>
      <c r="BN30" s="37">
        <f t="shared" si="71"/>
        <v>150000</v>
      </c>
      <c r="BO30" s="37">
        <f t="shared" si="71"/>
        <v>0</v>
      </c>
      <c r="BP30" s="144">
        <f>SUM(BP28:BP29)</f>
        <v>0</v>
      </c>
      <c r="BQ30" s="37">
        <f t="shared" ref="BQ30:BR30" si="79">SUM(BQ28:BQ29)</f>
        <v>155000</v>
      </c>
      <c r="BR30" s="37">
        <f t="shared" si="79"/>
        <v>346500</v>
      </c>
      <c r="BS30" s="37">
        <f t="shared" si="71"/>
        <v>751500</v>
      </c>
    </row>
    <row r="31" spans="1:71">
      <c r="A31" s="185" t="s">
        <v>58</v>
      </c>
      <c r="B31" s="8">
        <v>1</v>
      </c>
      <c r="C31" s="1" t="s">
        <v>101</v>
      </c>
      <c r="D31" s="4" t="s">
        <v>102</v>
      </c>
      <c r="E31" s="4" t="s">
        <v>31</v>
      </c>
      <c r="F31" s="4"/>
      <c r="G31" s="4"/>
      <c r="H31" s="4">
        <v>155000</v>
      </c>
      <c r="I31" s="4">
        <v>12000</v>
      </c>
      <c r="J31" s="4"/>
      <c r="K31" s="4">
        <v>220000</v>
      </c>
      <c r="L31" s="4"/>
      <c r="M31" s="4"/>
      <c r="N31" s="9">
        <f t="shared" ref="N31:N34" si="80">SUM(F31:M31)</f>
        <v>387000</v>
      </c>
      <c r="O31" s="4"/>
      <c r="P31" s="4"/>
      <c r="Q31" s="4"/>
      <c r="R31" s="4"/>
      <c r="S31" s="4"/>
      <c r="T31" s="4"/>
      <c r="U31" s="4"/>
      <c r="V31" s="4"/>
      <c r="W31" s="9">
        <f t="shared" si="25"/>
        <v>0</v>
      </c>
      <c r="X31" s="20"/>
      <c r="Y31" s="20"/>
      <c r="Z31" s="20"/>
      <c r="AA31" s="20"/>
      <c r="AB31" s="20"/>
      <c r="AC31" s="20"/>
      <c r="AD31" s="20"/>
      <c r="AE31" s="20"/>
      <c r="AF31" s="9">
        <f t="shared" ref="AF31:AF34" si="81">SUM(X31:AE31)</f>
        <v>0</v>
      </c>
      <c r="AG31" s="20"/>
      <c r="AH31" s="20"/>
      <c r="AI31" s="20"/>
      <c r="AJ31" s="20"/>
      <c r="AK31" s="20"/>
      <c r="AL31" s="20"/>
      <c r="AM31" s="20"/>
      <c r="AN31" s="20"/>
      <c r="AO31" s="21">
        <f t="shared" ref="AO31:AO34" si="82">SUM(AG31:AN31)</f>
        <v>0</v>
      </c>
      <c r="AP31" s="25"/>
      <c r="AQ31" s="20"/>
      <c r="AR31" s="20"/>
      <c r="AS31" s="20"/>
      <c r="AT31" s="20"/>
      <c r="AU31" s="21">
        <f t="shared" ref="AU31:AU34" si="83">SUM(AP31:AT31)</f>
        <v>0</v>
      </c>
      <c r="AV31" s="25"/>
      <c r="AW31" s="20"/>
      <c r="AX31" s="20"/>
      <c r="AY31" s="20"/>
      <c r="AZ31" s="20"/>
      <c r="BA31" s="21">
        <f t="shared" ref="BA31" si="84">SUM(AV31:AY31)</f>
        <v>0</v>
      </c>
      <c r="BB31" s="25"/>
      <c r="BC31" s="25"/>
      <c r="BD31" s="25"/>
      <c r="BE31" s="25"/>
      <c r="BF31" s="20"/>
      <c r="BG31" s="20"/>
      <c r="BH31" s="20"/>
      <c r="BI31" s="20"/>
      <c r="BJ31" s="21">
        <f t="shared" ref="BJ31:BJ34" si="85">SUM(BB31:BI31)</f>
        <v>0</v>
      </c>
      <c r="BK31" s="4">
        <f t="shared" ref="BK31:BM34" si="86">F31+O31+X31+AG31+BB31</f>
        <v>0</v>
      </c>
      <c r="BL31" s="4">
        <f t="shared" si="86"/>
        <v>0</v>
      </c>
      <c r="BM31" s="4">
        <f t="shared" si="86"/>
        <v>155000</v>
      </c>
      <c r="BN31" s="4">
        <f t="shared" ref="BN31:BQ34" si="87">I31+R31+AA31+AJ31+AP31+AV31+BE31</f>
        <v>12000</v>
      </c>
      <c r="BO31" s="94">
        <f t="shared" si="87"/>
        <v>0</v>
      </c>
      <c r="BP31" s="94">
        <f t="shared" si="87"/>
        <v>220000</v>
      </c>
      <c r="BQ31" s="94">
        <f t="shared" si="87"/>
        <v>0</v>
      </c>
      <c r="BR31" s="94">
        <f t="shared" ref="BR31:BR34" si="88">M31+V31+AE31+AN31+AT31+AZ31+BI31</f>
        <v>0</v>
      </c>
      <c r="BS31" s="9">
        <f t="shared" ref="BS31:BS34" si="89">SUM(BK31:BR31)</f>
        <v>387000</v>
      </c>
    </row>
    <row r="32" spans="1:71">
      <c r="A32" s="186"/>
      <c r="B32" s="8">
        <v>2</v>
      </c>
      <c r="C32" s="1" t="s">
        <v>103</v>
      </c>
      <c r="D32" s="4" t="s">
        <v>104</v>
      </c>
      <c r="E32" s="4" t="s">
        <v>31</v>
      </c>
      <c r="F32" s="4"/>
      <c r="G32" s="4">
        <v>155000</v>
      </c>
      <c r="H32" s="4">
        <f>33000+115933</f>
        <v>148933</v>
      </c>
      <c r="I32" s="4"/>
      <c r="J32" s="4"/>
      <c r="K32" s="4"/>
      <c r="L32" s="4"/>
      <c r="M32" s="4"/>
      <c r="N32" s="9">
        <f t="shared" si="80"/>
        <v>303933</v>
      </c>
      <c r="O32" s="76"/>
      <c r="P32" s="76"/>
      <c r="Q32" s="76">
        <v>290000</v>
      </c>
      <c r="R32" s="76"/>
      <c r="S32" s="4"/>
      <c r="T32" s="4"/>
      <c r="U32" s="4">
        <v>410000</v>
      </c>
      <c r="V32" s="4"/>
      <c r="W32" s="9">
        <f t="shared" si="25"/>
        <v>700000</v>
      </c>
      <c r="X32" s="20"/>
      <c r="Y32" s="20">
        <v>605000</v>
      </c>
      <c r="Z32" s="4">
        <v>252000</v>
      </c>
      <c r="AA32" s="22"/>
      <c r="AB32" s="22"/>
      <c r="AC32" s="22"/>
      <c r="AD32" s="22">
        <v>684000</v>
      </c>
      <c r="AE32" s="22"/>
      <c r="AF32" s="9">
        <f t="shared" si="81"/>
        <v>1541000</v>
      </c>
      <c r="AG32" s="20"/>
      <c r="AH32" s="20">
        <v>322500</v>
      </c>
      <c r="AI32" s="25">
        <v>122950</v>
      </c>
      <c r="AJ32" s="25"/>
      <c r="AK32" s="20"/>
      <c r="AL32" s="20"/>
      <c r="AM32" s="20"/>
      <c r="AN32" s="20"/>
      <c r="AO32" s="21">
        <f t="shared" si="82"/>
        <v>445450</v>
      </c>
      <c r="AP32" s="25"/>
      <c r="AQ32" s="20"/>
      <c r="AR32" s="20"/>
      <c r="AS32" s="20"/>
      <c r="AT32" s="20"/>
      <c r="AU32" s="21">
        <f t="shared" si="83"/>
        <v>0</v>
      </c>
      <c r="AV32" s="25"/>
      <c r="AW32" s="20"/>
      <c r="AX32" s="20"/>
      <c r="AY32" s="20">
        <f>204000+204000+408000+204000</f>
        <v>1020000</v>
      </c>
      <c r="AZ32" s="20">
        <f>612000+408000+204000+816000+408000+204000</f>
        <v>2652000</v>
      </c>
      <c r="BA32" s="21">
        <f t="shared" ref="BA32:BA34" si="90">SUM(AV32:AZ32)</f>
        <v>3672000</v>
      </c>
      <c r="BB32" s="25"/>
      <c r="BC32" s="24">
        <v>100000</v>
      </c>
      <c r="BD32" s="25">
        <v>276000</v>
      </c>
      <c r="BE32" s="25"/>
      <c r="BF32" s="20"/>
      <c r="BG32" s="20"/>
      <c r="BH32" s="20"/>
      <c r="BI32" s="20"/>
      <c r="BJ32" s="21">
        <f t="shared" si="85"/>
        <v>376000</v>
      </c>
      <c r="BK32" s="4">
        <f t="shared" si="86"/>
        <v>0</v>
      </c>
      <c r="BL32" s="4">
        <f t="shared" si="86"/>
        <v>1182500</v>
      </c>
      <c r="BM32" s="4">
        <f t="shared" si="86"/>
        <v>1089883</v>
      </c>
      <c r="BN32" s="4">
        <f t="shared" si="87"/>
        <v>0</v>
      </c>
      <c r="BO32" s="94">
        <f t="shared" si="87"/>
        <v>0</v>
      </c>
      <c r="BP32" s="94">
        <f t="shared" si="87"/>
        <v>0</v>
      </c>
      <c r="BQ32" s="94">
        <f t="shared" si="87"/>
        <v>2114000</v>
      </c>
      <c r="BR32" s="94">
        <f t="shared" si="88"/>
        <v>2652000</v>
      </c>
      <c r="BS32" s="9">
        <f t="shared" si="89"/>
        <v>7038383</v>
      </c>
    </row>
    <row r="33" spans="1:71">
      <c r="A33" s="186"/>
      <c r="B33" s="8">
        <v>3</v>
      </c>
      <c r="C33" s="1" t="s">
        <v>12</v>
      </c>
      <c r="D33" s="4" t="s">
        <v>45</v>
      </c>
      <c r="E33" s="4" t="s">
        <v>31</v>
      </c>
      <c r="F33" s="4"/>
      <c r="G33" s="4"/>
      <c r="H33" s="4">
        <v>155000</v>
      </c>
      <c r="I33" s="4">
        <v>160000</v>
      </c>
      <c r="J33" s="4"/>
      <c r="K33" s="4"/>
      <c r="L33" s="4"/>
      <c r="M33" s="4"/>
      <c r="N33" s="9">
        <f t="shared" si="80"/>
        <v>315000</v>
      </c>
      <c r="O33" s="76"/>
      <c r="P33" s="76"/>
      <c r="Q33" s="76">
        <v>820000</v>
      </c>
      <c r="R33" s="76">
        <v>200000</v>
      </c>
      <c r="S33" s="4"/>
      <c r="T33" s="4"/>
      <c r="U33" s="4"/>
      <c r="V33" s="4"/>
      <c r="W33" s="9">
        <f t="shared" si="25"/>
        <v>1020000</v>
      </c>
      <c r="X33" s="20"/>
      <c r="Y33" s="20"/>
      <c r="Z33" s="4">
        <v>530000</v>
      </c>
      <c r="AA33" s="23">
        <v>480000</v>
      </c>
      <c r="AB33" s="23"/>
      <c r="AC33" s="23"/>
      <c r="AD33" s="23"/>
      <c r="AE33" s="23"/>
      <c r="AF33" s="9">
        <f t="shared" si="81"/>
        <v>1010000</v>
      </c>
      <c r="AG33" s="20"/>
      <c r="AH33" s="20"/>
      <c r="AI33" s="20"/>
      <c r="AJ33" s="20"/>
      <c r="AK33" s="20"/>
      <c r="AL33" s="20"/>
      <c r="AM33" s="20"/>
      <c r="AN33" s="20"/>
      <c r="AO33" s="21">
        <f t="shared" si="82"/>
        <v>0</v>
      </c>
      <c r="AP33" s="25"/>
      <c r="AQ33" s="20"/>
      <c r="AR33" s="20"/>
      <c r="AS33" s="20"/>
      <c r="AT33" s="20"/>
      <c r="AU33" s="21">
        <f t="shared" si="83"/>
        <v>0</v>
      </c>
      <c r="AV33" s="25"/>
      <c r="AW33" s="20"/>
      <c r="AX33" s="20"/>
      <c r="AY33" s="20">
        <v>952000</v>
      </c>
      <c r="AZ33" s="20">
        <f>714000+493000+510000+510000+510000+255000</f>
        <v>2992000</v>
      </c>
      <c r="BA33" s="21">
        <f t="shared" si="90"/>
        <v>3944000</v>
      </c>
      <c r="BB33" s="25"/>
      <c r="BC33" s="25"/>
      <c r="BD33" s="25"/>
      <c r="BE33" s="25"/>
      <c r="BF33" s="20"/>
      <c r="BG33" s="20"/>
      <c r="BH33" s="20"/>
      <c r="BI33" s="20"/>
      <c r="BJ33" s="21">
        <f t="shared" si="85"/>
        <v>0</v>
      </c>
      <c r="BK33" s="4">
        <f t="shared" si="86"/>
        <v>0</v>
      </c>
      <c r="BL33" s="4">
        <f t="shared" si="86"/>
        <v>0</v>
      </c>
      <c r="BM33" s="4">
        <f t="shared" si="86"/>
        <v>1505000</v>
      </c>
      <c r="BN33" s="4">
        <f t="shared" si="87"/>
        <v>840000</v>
      </c>
      <c r="BO33" s="94">
        <f t="shared" si="87"/>
        <v>0</v>
      </c>
      <c r="BP33" s="94">
        <f t="shared" si="87"/>
        <v>0</v>
      </c>
      <c r="BQ33" s="94">
        <f t="shared" si="87"/>
        <v>952000</v>
      </c>
      <c r="BR33" s="94">
        <f t="shared" si="88"/>
        <v>2992000</v>
      </c>
      <c r="BS33" s="9">
        <f t="shared" si="89"/>
        <v>6289000</v>
      </c>
    </row>
    <row r="34" spans="1:71">
      <c r="A34" s="187"/>
      <c r="B34" s="8">
        <v>4</v>
      </c>
      <c r="C34" s="1" t="s">
        <v>481</v>
      </c>
      <c r="D34" s="4" t="s">
        <v>102</v>
      </c>
      <c r="E34" s="4" t="s">
        <v>31</v>
      </c>
      <c r="F34" s="4"/>
      <c r="G34" s="4"/>
      <c r="H34" s="4"/>
      <c r="I34" s="4"/>
      <c r="J34" s="4"/>
      <c r="K34" s="4"/>
      <c r="L34" s="4"/>
      <c r="M34" s="4"/>
      <c r="N34" s="9">
        <f t="shared" si="80"/>
        <v>0</v>
      </c>
      <c r="O34" s="76"/>
      <c r="P34" s="76"/>
      <c r="Q34" s="76"/>
      <c r="R34" s="76"/>
      <c r="S34" s="4">
        <v>-3000000</v>
      </c>
      <c r="T34" s="4"/>
      <c r="U34" s="4"/>
      <c r="V34" s="4"/>
      <c r="W34" s="9">
        <f t="shared" si="25"/>
        <v>-3000000</v>
      </c>
      <c r="X34" s="20"/>
      <c r="Y34" s="20"/>
      <c r="Z34" s="4"/>
      <c r="AA34" s="23"/>
      <c r="AB34" s="23"/>
      <c r="AC34" s="23"/>
      <c r="AD34" s="23"/>
      <c r="AE34" s="23"/>
      <c r="AF34" s="9">
        <f t="shared" si="81"/>
        <v>0</v>
      </c>
      <c r="AG34" s="20"/>
      <c r="AH34" s="20"/>
      <c r="AI34" s="20"/>
      <c r="AJ34" s="20"/>
      <c r="AK34" s="20"/>
      <c r="AL34" s="20"/>
      <c r="AM34" s="20"/>
      <c r="AN34" s="20"/>
      <c r="AO34" s="21">
        <f t="shared" si="82"/>
        <v>0</v>
      </c>
      <c r="AP34" s="25"/>
      <c r="AQ34" s="20"/>
      <c r="AR34" s="20"/>
      <c r="AS34" s="20"/>
      <c r="AT34" s="20"/>
      <c r="AU34" s="21">
        <f t="shared" si="83"/>
        <v>0</v>
      </c>
      <c r="AV34" s="25"/>
      <c r="AW34" s="20"/>
      <c r="AX34" s="20"/>
      <c r="AY34" s="20"/>
      <c r="AZ34" s="20"/>
      <c r="BA34" s="21">
        <f t="shared" si="90"/>
        <v>0</v>
      </c>
      <c r="BB34" s="25"/>
      <c r="BC34" s="25"/>
      <c r="BD34" s="25"/>
      <c r="BE34" s="25"/>
      <c r="BF34" s="20"/>
      <c r="BG34" s="20"/>
      <c r="BH34" s="20"/>
      <c r="BI34" s="20"/>
      <c r="BJ34" s="21">
        <f t="shared" si="85"/>
        <v>0</v>
      </c>
      <c r="BK34" s="4">
        <f t="shared" si="86"/>
        <v>0</v>
      </c>
      <c r="BL34" s="4">
        <f t="shared" si="86"/>
        <v>0</v>
      </c>
      <c r="BM34" s="4">
        <f t="shared" si="86"/>
        <v>0</v>
      </c>
      <c r="BN34" s="4">
        <f t="shared" si="87"/>
        <v>0</v>
      </c>
      <c r="BO34" s="94">
        <f t="shared" si="87"/>
        <v>-3000000</v>
      </c>
      <c r="BP34" s="94">
        <f t="shared" si="87"/>
        <v>0</v>
      </c>
      <c r="BQ34" s="94">
        <f t="shared" si="87"/>
        <v>0</v>
      </c>
      <c r="BR34" s="94">
        <f t="shared" si="88"/>
        <v>0</v>
      </c>
      <c r="BS34" s="9">
        <f t="shared" si="89"/>
        <v>-3000000</v>
      </c>
    </row>
    <row r="35" spans="1:71" s="38" customFormat="1">
      <c r="A35" s="34"/>
      <c r="B35" s="34"/>
      <c r="C35" s="35" t="s">
        <v>107</v>
      </c>
      <c r="D35" s="37"/>
      <c r="E35" s="37"/>
      <c r="F35" s="37">
        <f>SUM(F31:F34)</f>
        <v>0</v>
      </c>
      <c r="G35" s="37">
        <f t="shared" ref="G35:BS35" si="91">SUM(G31:G34)</f>
        <v>155000</v>
      </c>
      <c r="H35" s="37">
        <f t="shared" si="91"/>
        <v>458933</v>
      </c>
      <c r="I35" s="37">
        <f t="shared" si="91"/>
        <v>172000</v>
      </c>
      <c r="J35" s="37">
        <f t="shared" si="91"/>
        <v>0</v>
      </c>
      <c r="K35" s="37">
        <f t="shared" si="91"/>
        <v>220000</v>
      </c>
      <c r="L35" s="37">
        <f t="shared" si="91"/>
        <v>0</v>
      </c>
      <c r="M35" s="37">
        <f t="shared" ref="M35" si="92">SUM(M31:M34)</f>
        <v>0</v>
      </c>
      <c r="N35" s="37">
        <f t="shared" si="91"/>
        <v>1005933</v>
      </c>
      <c r="O35" s="37">
        <f t="shared" si="91"/>
        <v>0</v>
      </c>
      <c r="P35" s="37">
        <f t="shared" si="91"/>
        <v>0</v>
      </c>
      <c r="Q35" s="37">
        <f t="shared" si="91"/>
        <v>1110000</v>
      </c>
      <c r="R35" s="37">
        <f t="shared" si="91"/>
        <v>200000</v>
      </c>
      <c r="S35" s="37">
        <f t="shared" si="91"/>
        <v>-3000000</v>
      </c>
      <c r="T35" s="37">
        <f t="shared" si="91"/>
        <v>0</v>
      </c>
      <c r="U35" s="37">
        <f t="shared" si="91"/>
        <v>410000</v>
      </c>
      <c r="V35" s="37">
        <f t="shared" ref="V35" si="93">SUM(V31:V34)</f>
        <v>0</v>
      </c>
      <c r="W35" s="37">
        <f t="shared" si="91"/>
        <v>-1280000</v>
      </c>
      <c r="X35" s="37">
        <f t="shared" si="91"/>
        <v>0</v>
      </c>
      <c r="Y35" s="37">
        <f t="shared" si="91"/>
        <v>605000</v>
      </c>
      <c r="Z35" s="37">
        <f t="shared" si="91"/>
        <v>782000</v>
      </c>
      <c r="AA35" s="37">
        <f t="shared" si="91"/>
        <v>480000</v>
      </c>
      <c r="AB35" s="37">
        <f t="shared" si="91"/>
        <v>0</v>
      </c>
      <c r="AC35" s="37">
        <f t="shared" si="91"/>
        <v>0</v>
      </c>
      <c r="AD35" s="37">
        <f t="shared" si="91"/>
        <v>684000</v>
      </c>
      <c r="AE35" s="37">
        <f t="shared" ref="AE35" si="94">SUM(AE31:AE34)</f>
        <v>0</v>
      </c>
      <c r="AF35" s="37">
        <f t="shared" si="91"/>
        <v>2551000</v>
      </c>
      <c r="AG35" s="37">
        <f t="shared" si="91"/>
        <v>0</v>
      </c>
      <c r="AH35" s="37">
        <f t="shared" si="91"/>
        <v>322500</v>
      </c>
      <c r="AI35" s="37">
        <f t="shared" si="91"/>
        <v>122950</v>
      </c>
      <c r="AJ35" s="37">
        <f t="shared" si="91"/>
        <v>0</v>
      </c>
      <c r="AK35" s="37">
        <f t="shared" si="91"/>
        <v>0</v>
      </c>
      <c r="AL35" s="37">
        <f t="shared" si="91"/>
        <v>0</v>
      </c>
      <c r="AM35" s="37">
        <f t="shared" si="91"/>
        <v>0</v>
      </c>
      <c r="AN35" s="37">
        <f t="shared" ref="AN35" si="95">SUM(AN31:AN34)</f>
        <v>0</v>
      </c>
      <c r="AO35" s="37">
        <f t="shared" si="91"/>
        <v>445450</v>
      </c>
      <c r="AP35" s="37">
        <f t="shared" si="91"/>
        <v>0</v>
      </c>
      <c r="AQ35" s="37">
        <f t="shared" si="91"/>
        <v>0</v>
      </c>
      <c r="AR35" s="37">
        <f t="shared" si="91"/>
        <v>0</v>
      </c>
      <c r="AS35" s="37">
        <f t="shared" si="91"/>
        <v>0</v>
      </c>
      <c r="AT35" s="37">
        <f t="shared" ref="AT35" si="96">SUM(AT31:AT34)</f>
        <v>0</v>
      </c>
      <c r="AU35" s="37">
        <f t="shared" si="91"/>
        <v>0</v>
      </c>
      <c r="AV35" s="37">
        <f t="shared" si="91"/>
        <v>0</v>
      </c>
      <c r="AW35" s="37">
        <f t="shared" si="91"/>
        <v>0</v>
      </c>
      <c r="AX35" s="37">
        <f t="shared" si="91"/>
        <v>0</v>
      </c>
      <c r="AY35" s="37">
        <f t="shared" si="91"/>
        <v>1972000</v>
      </c>
      <c r="AZ35" s="37">
        <f t="shared" ref="AZ35" si="97">SUM(AZ31:AZ34)</f>
        <v>5644000</v>
      </c>
      <c r="BA35" s="37">
        <f t="shared" si="91"/>
        <v>7616000</v>
      </c>
      <c r="BB35" s="37">
        <f t="shared" si="91"/>
        <v>0</v>
      </c>
      <c r="BC35" s="37">
        <f t="shared" si="91"/>
        <v>100000</v>
      </c>
      <c r="BD35" s="37">
        <f t="shared" si="91"/>
        <v>276000</v>
      </c>
      <c r="BE35" s="37">
        <f t="shared" si="91"/>
        <v>0</v>
      </c>
      <c r="BF35" s="37">
        <f t="shared" si="91"/>
        <v>0</v>
      </c>
      <c r="BG35" s="37">
        <f t="shared" si="91"/>
        <v>0</v>
      </c>
      <c r="BH35" s="37">
        <f t="shared" si="91"/>
        <v>0</v>
      </c>
      <c r="BI35" s="37">
        <f t="shared" ref="BI35" si="98">SUM(BI31:BI34)</f>
        <v>0</v>
      </c>
      <c r="BJ35" s="37">
        <f t="shared" si="91"/>
        <v>376000</v>
      </c>
      <c r="BK35" s="37">
        <f t="shared" si="91"/>
        <v>0</v>
      </c>
      <c r="BL35" s="37">
        <f t="shared" si="91"/>
        <v>1182500</v>
      </c>
      <c r="BM35" s="37">
        <f t="shared" si="91"/>
        <v>2749883</v>
      </c>
      <c r="BN35" s="37">
        <f t="shared" si="91"/>
        <v>852000</v>
      </c>
      <c r="BO35" s="37">
        <f t="shared" si="91"/>
        <v>-3000000</v>
      </c>
      <c r="BP35" s="144">
        <f>SUM(BP31:BP34)</f>
        <v>220000</v>
      </c>
      <c r="BQ35" s="37">
        <f t="shared" si="91"/>
        <v>3066000</v>
      </c>
      <c r="BR35" s="37">
        <f t="shared" ref="BR35" si="99">SUM(BR31:BR34)</f>
        <v>5644000</v>
      </c>
      <c r="BS35" s="37">
        <f t="shared" si="91"/>
        <v>10714383</v>
      </c>
    </row>
    <row r="36" spans="1:71">
      <c r="A36" s="185" t="s">
        <v>108</v>
      </c>
      <c r="B36" s="8">
        <v>1</v>
      </c>
      <c r="C36" s="1" t="s">
        <v>110</v>
      </c>
      <c r="D36" s="4" t="s">
        <v>108</v>
      </c>
      <c r="E36" s="4" t="s">
        <v>108</v>
      </c>
      <c r="F36" s="4">
        <v>155000</v>
      </c>
      <c r="G36" s="4">
        <v>368500</v>
      </c>
      <c r="H36" s="4">
        <f>44000+22000+8000+140000</f>
        <v>214000</v>
      </c>
      <c r="I36" s="4">
        <v>180000</v>
      </c>
      <c r="J36" s="4"/>
      <c r="K36" s="4"/>
      <c r="L36" s="4"/>
      <c r="M36" s="4"/>
      <c r="N36" s="9">
        <f t="shared" ref="N36:N44" si="100">SUM(F36:M36)</f>
        <v>917500</v>
      </c>
      <c r="O36" s="4"/>
      <c r="P36" s="4"/>
      <c r="Q36" s="4"/>
      <c r="R36" s="4"/>
      <c r="S36" s="4"/>
      <c r="T36" s="4"/>
      <c r="U36" s="4"/>
      <c r="V36" s="4"/>
      <c r="W36" s="9">
        <f t="shared" si="25"/>
        <v>0</v>
      </c>
      <c r="X36" s="20"/>
      <c r="Y36" s="20"/>
      <c r="Z36" s="20"/>
      <c r="AA36" s="20"/>
      <c r="AB36" s="20"/>
      <c r="AC36" s="20"/>
      <c r="AD36" s="20"/>
      <c r="AE36" s="20"/>
      <c r="AF36" s="9">
        <f t="shared" ref="AF36:AF44" si="101">SUM(X36:AE36)</f>
        <v>0</v>
      </c>
      <c r="AG36" s="20"/>
      <c r="AH36" s="20"/>
      <c r="AI36" s="20"/>
      <c r="AJ36" s="20"/>
      <c r="AK36" s="20"/>
      <c r="AL36" s="20"/>
      <c r="AM36" s="20"/>
      <c r="AN36" s="20"/>
      <c r="AO36" s="21">
        <f t="shared" ref="AO36:AO44" si="102">SUM(AG36:AN36)</f>
        <v>0</v>
      </c>
      <c r="AP36" s="25"/>
      <c r="AQ36" s="20"/>
      <c r="AR36" s="20"/>
      <c r="AS36" s="20"/>
      <c r="AT36" s="20"/>
      <c r="AU36" s="21">
        <f t="shared" ref="AU36:AU44" si="103">SUM(AP36:AT36)</f>
        <v>0</v>
      </c>
      <c r="AV36" s="25"/>
      <c r="AW36" s="20"/>
      <c r="AX36" s="20"/>
      <c r="AY36" s="20"/>
      <c r="AZ36" s="20"/>
      <c r="BA36" s="21">
        <f t="shared" ref="BA36:BA44" si="104">SUM(AV36:AZ36)</f>
        <v>0</v>
      </c>
      <c r="BB36" s="25"/>
      <c r="BC36" s="25"/>
      <c r="BD36" s="25"/>
      <c r="BE36" s="25"/>
      <c r="BF36" s="20"/>
      <c r="BG36" s="20"/>
      <c r="BH36" s="20"/>
      <c r="BI36" s="20"/>
      <c r="BJ36" s="21">
        <f t="shared" ref="BJ36:BJ44" si="105">SUM(BB36:BI36)</f>
        <v>0</v>
      </c>
      <c r="BK36" s="4">
        <f t="shared" ref="BK36:BK44" si="106">F36+O36+X36+AG36+BB36</f>
        <v>155000</v>
      </c>
      <c r="BL36" s="4">
        <f t="shared" ref="BL36:BL44" si="107">G36+P36+Y36+AH36+BC36</f>
        <v>368500</v>
      </c>
      <c r="BM36" s="4">
        <f t="shared" ref="BM36:BM44" si="108">H36+Q36+Z36+AI36+BD36</f>
        <v>214000</v>
      </c>
      <c r="BN36" s="4">
        <f t="shared" ref="BN36:BN44" si="109">I36+R36+AA36+AJ36+AP36+AV36+BE36</f>
        <v>180000</v>
      </c>
      <c r="BO36" s="94">
        <f t="shared" ref="BO36:BO44" si="110">J36+S36+AB36+AK36+AQ36+AW36+BF36</f>
        <v>0</v>
      </c>
      <c r="BP36" s="94">
        <f t="shared" ref="BP36:BP44" si="111">K36+T36+AC36+AL36+AR36+AX36+BG36</f>
        <v>0</v>
      </c>
      <c r="BQ36" s="94">
        <f t="shared" ref="BQ36:BQ44" si="112">L36+U36+AD36+AM36+AS36+AY36+BH36</f>
        <v>0</v>
      </c>
      <c r="BR36" s="94">
        <f t="shared" ref="BR36:BR44" si="113">M36+V36+AE36+AN36+AT36+AZ36+BI36</f>
        <v>0</v>
      </c>
      <c r="BS36" s="9">
        <f t="shared" ref="BS36:BS44" si="114">SUM(BK36:BR36)</f>
        <v>917500</v>
      </c>
    </row>
    <row r="37" spans="1:71" ht="31.5">
      <c r="A37" s="186"/>
      <c r="B37" s="8">
        <v>2</v>
      </c>
      <c r="C37" s="1" t="s">
        <v>513</v>
      </c>
      <c r="D37" s="4" t="s">
        <v>108</v>
      </c>
      <c r="E37" s="4" t="s">
        <v>108</v>
      </c>
      <c r="F37" s="4"/>
      <c r="G37" s="4"/>
      <c r="H37" s="4"/>
      <c r="I37" s="4"/>
      <c r="J37" s="4"/>
      <c r="K37" s="4"/>
      <c r="L37" s="4"/>
      <c r="M37" s="4"/>
      <c r="N37" s="9">
        <f t="shared" si="100"/>
        <v>0</v>
      </c>
      <c r="O37" s="4"/>
      <c r="P37" s="4"/>
      <c r="Q37" s="4"/>
      <c r="R37" s="4"/>
      <c r="S37" s="4"/>
      <c r="T37" s="4"/>
      <c r="U37" s="4"/>
      <c r="V37" s="4"/>
      <c r="W37" s="9">
        <f t="shared" si="25"/>
        <v>0</v>
      </c>
      <c r="X37" s="20"/>
      <c r="Y37" s="20"/>
      <c r="Z37" s="20"/>
      <c r="AA37" s="20"/>
      <c r="AB37" s="20"/>
      <c r="AC37" s="20"/>
      <c r="AD37" s="20"/>
      <c r="AE37" s="20"/>
      <c r="AF37" s="9">
        <f t="shared" si="101"/>
        <v>0</v>
      </c>
      <c r="AG37" s="20"/>
      <c r="AH37" s="24">
        <v>354300</v>
      </c>
      <c r="AI37" s="24">
        <f>32950+112000</f>
        <v>144950</v>
      </c>
      <c r="AJ37" s="24"/>
      <c r="AK37" s="20"/>
      <c r="AL37" s="20"/>
      <c r="AM37" s="20"/>
      <c r="AN37" s="20">
        <v>130950</v>
      </c>
      <c r="AO37" s="21">
        <f t="shared" si="102"/>
        <v>630200</v>
      </c>
      <c r="AP37" s="25"/>
      <c r="AQ37" s="20"/>
      <c r="AR37" s="20"/>
      <c r="AS37" s="20"/>
      <c r="AT37" s="20"/>
      <c r="AU37" s="21">
        <f t="shared" si="103"/>
        <v>0</v>
      </c>
      <c r="AV37" s="25"/>
      <c r="AW37" s="20"/>
      <c r="AX37" s="20"/>
      <c r="AY37" s="20"/>
      <c r="AZ37" s="20"/>
      <c r="BA37" s="21">
        <f t="shared" si="104"/>
        <v>0</v>
      </c>
      <c r="BB37" s="25"/>
      <c r="BC37" s="25"/>
      <c r="BD37" s="25"/>
      <c r="BE37" s="25"/>
      <c r="BF37" s="20"/>
      <c r="BG37" s="20"/>
      <c r="BH37" s="20"/>
      <c r="BI37" s="20"/>
      <c r="BJ37" s="21">
        <f t="shared" si="105"/>
        <v>0</v>
      </c>
      <c r="BK37" s="4">
        <f t="shared" si="106"/>
        <v>0</v>
      </c>
      <c r="BL37" s="4">
        <f t="shared" si="107"/>
        <v>354300</v>
      </c>
      <c r="BM37" s="4">
        <f t="shared" si="108"/>
        <v>144950</v>
      </c>
      <c r="BN37" s="4">
        <f t="shared" si="109"/>
        <v>0</v>
      </c>
      <c r="BO37" s="94">
        <f t="shared" si="110"/>
        <v>0</v>
      </c>
      <c r="BP37" s="94">
        <f t="shared" si="111"/>
        <v>0</v>
      </c>
      <c r="BQ37" s="94">
        <f t="shared" si="112"/>
        <v>0</v>
      </c>
      <c r="BR37" s="94">
        <f t="shared" si="113"/>
        <v>130950</v>
      </c>
      <c r="BS37" s="9">
        <f t="shared" si="114"/>
        <v>630200</v>
      </c>
    </row>
    <row r="38" spans="1:71">
      <c r="A38" s="186"/>
      <c r="B38" s="8">
        <v>3</v>
      </c>
      <c r="C38" s="40" t="s">
        <v>112</v>
      </c>
      <c r="D38" s="4" t="s">
        <v>108</v>
      </c>
      <c r="E38" s="4" t="s">
        <v>108</v>
      </c>
      <c r="F38" s="4"/>
      <c r="G38" s="4"/>
      <c r="H38" s="4"/>
      <c r="I38" s="4"/>
      <c r="J38" s="4"/>
      <c r="K38" s="4"/>
      <c r="L38" s="4"/>
      <c r="M38" s="4"/>
      <c r="N38" s="9">
        <f t="shared" si="100"/>
        <v>0</v>
      </c>
      <c r="O38" s="76">
        <v>290000</v>
      </c>
      <c r="P38" s="76">
        <v>2200000</v>
      </c>
      <c r="Q38" s="76">
        <v>1200000</v>
      </c>
      <c r="R38" s="76">
        <v>700000</v>
      </c>
      <c r="S38" s="4">
        <f>280000+150000+150000+150000</f>
        <v>730000</v>
      </c>
      <c r="T38" s="4">
        <v>750000</v>
      </c>
      <c r="U38" s="4">
        <f>500000+800000+100000</f>
        <v>1400000</v>
      </c>
      <c r="V38" s="4">
        <f>200000+400000+100000+100000+300000+400000</f>
        <v>1500000</v>
      </c>
      <c r="W38" s="9">
        <f t="shared" si="25"/>
        <v>8770000</v>
      </c>
      <c r="X38" s="20"/>
      <c r="Y38" s="20"/>
      <c r="Z38" s="20"/>
      <c r="AA38" s="20"/>
      <c r="AB38" s="20"/>
      <c r="AC38" s="20"/>
      <c r="AD38" s="20"/>
      <c r="AE38" s="20"/>
      <c r="AF38" s="9">
        <f t="shared" si="101"/>
        <v>0</v>
      </c>
      <c r="AG38" s="20"/>
      <c r="AH38" s="24"/>
      <c r="AI38" s="24"/>
      <c r="AJ38" s="24"/>
      <c r="AK38" s="20"/>
      <c r="AL38" s="20"/>
      <c r="AM38" s="20"/>
      <c r="AN38" s="20"/>
      <c r="AO38" s="21">
        <f t="shared" si="102"/>
        <v>0</v>
      </c>
      <c r="AP38" s="25"/>
      <c r="AQ38" s="20"/>
      <c r="AR38" s="20"/>
      <c r="AS38" s="20"/>
      <c r="AT38" s="20"/>
      <c r="AU38" s="21">
        <f t="shared" si="103"/>
        <v>0</v>
      </c>
      <c r="AV38" s="25"/>
      <c r="AW38" s="20"/>
      <c r="AX38" s="20"/>
      <c r="AY38" s="20"/>
      <c r="AZ38" s="20"/>
      <c r="BA38" s="21">
        <f t="shared" si="104"/>
        <v>0</v>
      </c>
      <c r="BB38" s="25"/>
      <c r="BC38" s="25"/>
      <c r="BD38" s="25"/>
      <c r="BE38" s="25"/>
      <c r="BF38" s="20"/>
      <c r="BG38" s="20"/>
      <c r="BH38" s="20"/>
      <c r="BI38" s="20"/>
      <c r="BJ38" s="21">
        <f t="shared" si="105"/>
        <v>0</v>
      </c>
      <c r="BK38" s="4">
        <f t="shared" si="106"/>
        <v>290000</v>
      </c>
      <c r="BL38" s="4">
        <f t="shared" si="107"/>
        <v>2200000</v>
      </c>
      <c r="BM38" s="4">
        <f t="shared" si="108"/>
        <v>1200000</v>
      </c>
      <c r="BN38" s="4">
        <f t="shared" si="109"/>
        <v>700000</v>
      </c>
      <c r="BO38" s="94">
        <f t="shared" si="110"/>
        <v>730000</v>
      </c>
      <c r="BP38" s="94">
        <f t="shared" si="111"/>
        <v>750000</v>
      </c>
      <c r="BQ38" s="94">
        <f t="shared" si="112"/>
        <v>1400000</v>
      </c>
      <c r="BR38" s="94">
        <f t="shared" si="113"/>
        <v>1500000</v>
      </c>
      <c r="BS38" s="9">
        <f t="shared" si="114"/>
        <v>8770000</v>
      </c>
    </row>
    <row r="39" spans="1:71">
      <c r="A39" s="186"/>
      <c r="B39" s="8">
        <v>4</v>
      </c>
      <c r="C39" s="1" t="s">
        <v>113</v>
      </c>
      <c r="D39" s="41" t="s">
        <v>114</v>
      </c>
      <c r="E39" s="4" t="s">
        <v>108</v>
      </c>
      <c r="F39" s="4"/>
      <c r="G39" s="4"/>
      <c r="H39" s="4"/>
      <c r="I39" s="4"/>
      <c r="J39" s="4"/>
      <c r="K39" s="4"/>
      <c r="L39" s="4"/>
      <c r="M39" s="4"/>
      <c r="N39" s="9">
        <f t="shared" si="100"/>
        <v>0</v>
      </c>
      <c r="O39" s="4"/>
      <c r="P39" s="4"/>
      <c r="Q39" s="4"/>
      <c r="R39" s="4"/>
      <c r="S39" s="4"/>
      <c r="T39" s="4"/>
      <c r="U39" s="4"/>
      <c r="V39" s="4"/>
      <c r="W39" s="9">
        <f t="shared" si="25"/>
        <v>0</v>
      </c>
      <c r="X39" s="20"/>
      <c r="Y39" s="20"/>
      <c r="Z39" s="20"/>
      <c r="AA39" s="20"/>
      <c r="AB39" s="20"/>
      <c r="AC39" s="20"/>
      <c r="AD39" s="20"/>
      <c r="AE39" s="20"/>
      <c r="AF39" s="9">
        <f t="shared" si="101"/>
        <v>0</v>
      </c>
      <c r="AG39" s="20"/>
      <c r="AH39" s="24"/>
      <c r="AI39" s="24">
        <v>199000</v>
      </c>
      <c r="AJ39" s="24">
        <v>92000</v>
      </c>
      <c r="AK39" s="20"/>
      <c r="AL39" s="20"/>
      <c r="AM39" s="20"/>
      <c r="AN39" s="20"/>
      <c r="AO39" s="21">
        <f t="shared" si="102"/>
        <v>291000</v>
      </c>
      <c r="AP39" s="25"/>
      <c r="AQ39" s="20"/>
      <c r="AR39" s="20"/>
      <c r="AS39" s="20"/>
      <c r="AT39" s="20"/>
      <c r="AU39" s="21">
        <f t="shared" si="103"/>
        <v>0</v>
      </c>
      <c r="AV39" s="25"/>
      <c r="AW39" s="20"/>
      <c r="AX39" s="20"/>
      <c r="AY39" s="20"/>
      <c r="AZ39" s="20"/>
      <c r="BA39" s="21">
        <f t="shared" si="104"/>
        <v>0</v>
      </c>
      <c r="BB39" s="25"/>
      <c r="BC39" s="25"/>
      <c r="BD39" s="25"/>
      <c r="BE39" s="25"/>
      <c r="BF39" s="20"/>
      <c r="BG39" s="20"/>
      <c r="BH39" s="20"/>
      <c r="BI39" s="20"/>
      <c r="BJ39" s="21">
        <f t="shared" si="105"/>
        <v>0</v>
      </c>
      <c r="BK39" s="4">
        <f t="shared" si="106"/>
        <v>0</v>
      </c>
      <c r="BL39" s="4">
        <f t="shared" si="107"/>
        <v>0</v>
      </c>
      <c r="BM39" s="4">
        <f t="shared" si="108"/>
        <v>199000</v>
      </c>
      <c r="BN39" s="4">
        <f t="shared" si="109"/>
        <v>92000</v>
      </c>
      <c r="BO39" s="94">
        <f t="shared" si="110"/>
        <v>0</v>
      </c>
      <c r="BP39" s="94">
        <f t="shared" si="111"/>
        <v>0</v>
      </c>
      <c r="BQ39" s="94">
        <f t="shared" si="112"/>
        <v>0</v>
      </c>
      <c r="BR39" s="94">
        <f t="shared" si="113"/>
        <v>0</v>
      </c>
      <c r="BS39" s="9">
        <f t="shared" si="114"/>
        <v>291000</v>
      </c>
    </row>
    <row r="40" spans="1:71">
      <c r="A40" s="186"/>
      <c r="B40" s="8">
        <v>5</v>
      </c>
      <c r="C40" s="1" t="s">
        <v>115</v>
      </c>
      <c r="D40" s="4" t="s">
        <v>116</v>
      </c>
      <c r="E40" s="4" t="s">
        <v>108</v>
      </c>
      <c r="F40" s="4">
        <v>155000</v>
      </c>
      <c r="G40" s="4">
        <v>395500</v>
      </c>
      <c r="H40" s="4">
        <v>303500</v>
      </c>
      <c r="I40" s="4">
        <f>60000+20000</f>
        <v>80000</v>
      </c>
      <c r="J40" s="4"/>
      <c r="K40" s="4"/>
      <c r="L40" s="4"/>
      <c r="M40" s="4"/>
      <c r="N40" s="9">
        <f t="shared" si="100"/>
        <v>934000</v>
      </c>
      <c r="O40" s="4"/>
      <c r="P40" s="4"/>
      <c r="Q40" s="4"/>
      <c r="R40" s="4"/>
      <c r="S40" s="4"/>
      <c r="T40" s="4"/>
      <c r="U40" s="4"/>
      <c r="V40" s="4"/>
      <c r="W40" s="9">
        <f t="shared" si="25"/>
        <v>0</v>
      </c>
      <c r="X40" s="20">
        <v>290000</v>
      </c>
      <c r="Y40" s="22">
        <v>364000</v>
      </c>
      <c r="Z40" s="4">
        <v>404000</v>
      </c>
      <c r="AA40" s="22">
        <v>248000</v>
      </c>
      <c r="AB40" s="22"/>
      <c r="AC40" s="22"/>
      <c r="AD40" s="22"/>
      <c r="AE40" s="22"/>
      <c r="AF40" s="9">
        <f t="shared" si="101"/>
        <v>1306000</v>
      </c>
      <c r="AG40" s="20">
        <v>195000</v>
      </c>
      <c r="AH40" s="24">
        <f>438600+4000</f>
        <v>442600</v>
      </c>
      <c r="AI40" s="24">
        <v>449800</v>
      </c>
      <c r="AJ40" s="24">
        <v>150000</v>
      </c>
      <c r="AK40" s="20"/>
      <c r="AL40" s="20"/>
      <c r="AM40" s="20"/>
      <c r="AN40" s="20"/>
      <c r="AO40" s="21">
        <f t="shared" si="102"/>
        <v>1237400</v>
      </c>
      <c r="AP40" s="25">
        <v>409500</v>
      </c>
      <c r="AQ40" s="20">
        <f>154000+241500+147000</f>
        <v>542500</v>
      </c>
      <c r="AR40" s="20">
        <f>961500+122600+122600+122600</f>
        <v>1329300</v>
      </c>
      <c r="AS40" s="20">
        <v>1625400</v>
      </c>
      <c r="AT40" s="20">
        <v>1582400</v>
      </c>
      <c r="AU40" s="21">
        <f t="shared" si="103"/>
        <v>5489100</v>
      </c>
      <c r="AV40" s="25"/>
      <c r="AW40" s="20"/>
      <c r="AX40" s="20"/>
      <c r="AY40" s="20"/>
      <c r="AZ40" s="20"/>
      <c r="BA40" s="21">
        <f t="shared" si="104"/>
        <v>0</v>
      </c>
      <c r="BB40" s="25"/>
      <c r="BC40" s="25"/>
      <c r="BD40" s="25">
        <v>100000</v>
      </c>
      <c r="BE40" s="25"/>
      <c r="BF40" s="20"/>
      <c r="BG40" s="20"/>
      <c r="BH40" s="20"/>
      <c r="BI40" s="20"/>
      <c r="BJ40" s="21">
        <f t="shared" si="105"/>
        <v>100000</v>
      </c>
      <c r="BK40" s="4">
        <f t="shared" si="106"/>
        <v>640000</v>
      </c>
      <c r="BL40" s="4">
        <f t="shared" si="107"/>
        <v>1202100</v>
      </c>
      <c r="BM40" s="4">
        <f t="shared" si="108"/>
        <v>1257300</v>
      </c>
      <c r="BN40" s="4">
        <f t="shared" si="109"/>
        <v>887500</v>
      </c>
      <c r="BO40" s="94">
        <f t="shared" si="110"/>
        <v>542500</v>
      </c>
      <c r="BP40" s="94">
        <f t="shared" si="111"/>
        <v>1329300</v>
      </c>
      <c r="BQ40" s="94">
        <f t="shared" si="112"/>
        <v>1625400</v>
      </c>
      <c r="BR40" s="94">
        <f t="shared" si="113"/>
        <v>1582400</v>
      </c>
      <c r="BS40" s="9">
        <f t="shared" si="114"/>
        <v>9066500</v>
      </c>
    </row>
    <row r="41" spans="1:71">
      <c r="A41" s="186"/>
      <c r="B41" s="8">
        <v>6</v>
      </c>
      <c r="C41" s="1" t="s">
        <v>115</v>
      </c>
      <c r="D41" s="4" t="s">
        <v>116</v>
      </c>
      <c r="E41" s="4" t="s">
        <v>108</v>
      </c>
      <c r="F41" s="4"/>
      <c r="G41" s="4"/>
      <c r="H41" s="4"/>
      <c r="I41" s="4"/>
      <c r="J41" s="4"/>
      <c r="K41" s="4"/>
      <c r="L41" s="4"/>
      <c r="M41" s="4"/>
      <c r="N41" s="9">
        <f t="shared" si="100"/>
        <v>0</v>
      </c>
      <c r="O41" s="4"/>
      <c r="P41" s="4"/>
      <c r="Q41" s="4"/>
      <c r="R41" s="4"/>
      <c r="S41" s="4"/>
      <c r="T41" s="4"/>
      <c r="U41" s="4"/>
      <c r="V41" s="4"/>
      <c r="W41" s="9">
        <f t="shared" si="25"/>
        <v>0</v>
      </c>
      <c r="X41" s="20"/>
      <c r="Y41" s="26"/>
      <c r="Z41" s="22"/>
      <c r="AA41" s="22"/>
      <c r="AB41" s="22"/>
      <c r="AC41" s="22"/>
      <c r="AD41" s="22"/>
      <c r="AE41" s="22"/>
      <c r="AF41" s="9">
        <f t="shared" si="101"/>
        <v>0</v>
      </c>
      <c r="AG41" s="20"/>
      <c r="AH41" s="24">
        <v>195000</v>
      </c>
      <c r="AI41" s="24"/>
      <c r="AJ41" s="24"/>
      <c r="AK41" s="20"/>
      <c r="AL41" s="20"/>
      <c r="AM41" s="20"/>
      <c r="AN41" s="20"/>
      <c r="AO41" s="21">
        <f t="shared" si="102"/>
        <v>195000</v>
      </c>
      <c r="AP41" s="25"/>
      <c r="AQ41" s="20"/>
      <c r="AR41" s="20"/>
      <c r="AS41" s="20"/>
      <c r="AT41" s="20"/>
      <c r="AU41" s="21">
        <f t="shared" si="103"/>
        <v>0</v>
      </c>
      <c r="AV41" s="25"/>
      <c r="AW41" s="20"/>
      <c r="AX41" s="20"/>
      <c r="AY41" s="20"/>
      <c r="AZ41" s="20"/>
      <c r="BA41" s="21">
        <f t="shared" si="104"/>
        <v>0</v>
      </c>
      <c r="BB41" s="25"/>
      <c r="BC41" s="25"/>
      <c r="BD41" s="25"/>
      <c r="BE41" s="25"/>
      <c r="BF41" s="20"/>
      <c r="BG41" s="20"/>
      <c r="BH41" s="20"/>
      <c r="BI41" s="20"/>
      <c r="BJ41" s="21">
        <f t="shared" si="105"/>
        <v>0</v>
      </c>
      <c r="BK41" s="4">
        <f t="shared" si="106"/>
        <v>0</v>
      </c>
      <c r="BL41" s="4">
        <f t="shared" si="107"/>
        <v>195000</v>
      </c>
      <c r="BM41" s="4">
        <f t="shared" si="108"/>
        <v>0</v>
      </c>
      <c r="BN41" s="4">
        <f t="shared" si="109"/>
        <v>0</v>
      </c>
      <c r="BO41" s="94">
        <f t="shared" si="110"/>
        <v>0</v>
      </c>
      <c r="BP41" s="94">
        <f t="shared" si="111"/>
        <v>0</v>
      </c>
      <c r="BQ41" s="94">
        <f t="shared" si="112"/>
        <v>0</v>
      </c>
      <c r="BR41" s="94">
        <f t="shared" si="113"/>
        <v>0</v>
      </c>
      <c r="BS41" s="9">
        <f t="shared" si="114"/>
        <v>195000</v>
      </c>
    </row>
    <row r="42" spans="1:71" ht="31.5">
      <c r="A42" s="186"/>
      <c r="B42" s="8">
        <v>7</v>
      </c>
      <c r="C42" s="1" t="s">
        <v>117</v>
      </c>
      <c r="D42" s="4" t="s">
        <v>114</v>
      </c>
      <c r="E42" s="4" t="s">
        <v>108</v>
      </c>
      <c r="F42" s="4"/>
      <c r="G42" s="4"/>
      <c r="H42" s="4"/>
      <c r="I42" s="4"/>
      <c r="J42" s="4"/>
      <c r="K42" s="4"/>
      <c r="L42" s="4"/>
      <c r="M42" s="4"/>
      <c r="N42" s="9">
        <f t="shared" si="100"/>
        <v>0</v>
      </c>
      <c r="O42" s="76"/>
      <c r="P42" s="76">
        <v>290000</v>
      </c>
      <c r="Q42" s="76">
        <v>-290000</v>
      </c>
      <c r="R42" s="76">
        <v>913500</v>
      </c>
      <c r="S42" s="4"/>
      <c r="T42" s="4"/>
      <c r="U42" s="4"/>
      <c r="V42" s="4"/>
      <c r="W42" s="9">
        <f t="shared" si="25"/>
        <v>913500</v>
      </c>
      <c r="X42" s="20"/>
      <c r="Y42" s="20"/>
      <c r="Z42" s="20"/>
      <c r="AA42" s="20"/>
      <c r="AB42" s="20"/>
      <c r="AC42" s="20"/>
      <c r="AD42" s="20"/>
      <c r="AE42" s="20"/>
      <c r="AF42" s="9">
        <f t="shared" si="101"/>
        <v>0</v>
      </c>
      <c r="AG42" s="20"/>
      <c r="AH42" s="24"/>
      <c r="AI42" s="24"/>
      <c r="AJ42" s="24"/>
      <c r="AK42" s="20"/>
      <c r="AL42" s="20"/>
      <c r="AM42" s="20"/>
      <c r="AN42" s="20"/>
      <c r="AO42" s="21">
        <f t="shared" si="102"/>
        <v>0</v>
      </c>
      <c r="AP42" s="25"/>
      <c r="AQ42" s="20"/>
      <c r="AR42" s="20"/>
      <c r="AS42" s="20"/>
      <c r="AT42" s="20"/>
      <c r="AU42" s="21">
        <f t="shared" si="103"/>
        <v>0</v>
      </c>
      <c r="AV42" s="25"/>
      <c r="AW42" s="20"/>
      <c r="AX42" s="20"/>
      <c r="AY42" s="20"/>
      <c r="AZ42" s="20"/>
      <c r="BA42" s="21">
        <f t="shared" si="104"/>
        <v>0</v>
      </c>
      <c r="BB42" s="25"/>
      <c r="BC42" s="25"/>
      <c r="BD42" s="25"/>
      <c r="BE42" s="25"/>
      <c r="BF42" s="20"/>
      <c r="BG42" s="20"/>
      <c r="BH42" s="20"/>
      <c r="BI42" s="20"/>
      <c r="BJ42" s="21">
        <f t="shared" si="105"/>
        <v>0</v>
      </c>
      <c r="BK42" s="4">
        <f t="shared" si="106"/>
        <v>0</v>
      </c>
      <c r="BL42" s="4">
        <f t="shared" si="107"/>
        <v>290000</v>
      </c>
      <c r="BM42" s="4">
        <f t="shared" si="108"/>
        <v>-290000</v>
      </c>
      <c r="BN42" s="4">
        <f t="shared" si="109"/>
        <v>913500</v>
      </c>
      <c r="BO42" s="94">
        <f t="shared" si="110"/>
        <v>0</v>
      </c>
      <c r="BP42" s="94">
        <f t="shared" si="111"/>
        <v>0</v>
      </c>
      <c r="BQ42" s="94">
        <f t="shared" si="112"/>
        <v>0</v>
      </c>
      <c r="BR42" s="94">
        <f t="shared" si="113"/>
        <v>0</v>
      </c>
      <c r="BS42" s="9">
        <f t="shared" si="114"/>
        <v>913500</v>
      </c>
    </row>
    <row r="43" spans="1:71">
      <c r="A43" s="186"/>
      <c r="B43" s="8">
        <v>8</v>
      </c>
      <c r="C43" s="1" t="s">
        <v>118</v>
      </c>
      <c r="D43" s="4" t="s">
        <v>108</v>
      </c>
      <c r="E43" s="4" t="s">
        <v>108</v>
      </c>
      <c r="F43" s="4"/>
      <c r="G43" s="4"/>
      <c r="H43" s="4">
        <f>155000+40000</f>
        <v>195000</v>
      </c>
      <c r="I43" s="4">
        <v>371000</v>
      </c>
      <c r="J43" s="4">
        <f>40500+87500+100500+100500+49000</f>
        <v>378000</v>
      </c>
      <c r="K43" s="4">
        <f>292500+145400+36000</f>
        <v>473900</v>
      </c>
      <c r="L43" s="4">
        <v>351000</v>
      </c>
      <c r="M43" s="4">
        <v>238500</v>
      </c>
      <c r="N43" s="9">
        <f t="shared" si="100"/>
        <v>2007400</v>
      </c>
      <c r="O43" s="4"/>
      <c r="P43" s="4"/>
      <c r="Q43" s="4"/>
      <c r="R43" s="4"/>
      <c r="S43" s="4"/>
      <c r="T43" s="4"/>
      <c r="U43" s="4"/>
      <c r="V43" s="4"/>
      <c r="W43" s="9">
        <f t="shared" si="25"/>
        <v>0</v>
      </c>
      <c r="X43" s="20"/>
      <c r="Y43" s="20"/>
      <c r="Z43" s="20"/>
      <c r="AA43" s="20"/>
      <c r="AB43" s="20"/>
      <c r="AC43" s="20"/>
      <c r="AD43" s="20"/>
      <c r="AE43" s="20"/>
      <c r="AF43" s="9">
        <f t="shared" si="101"/>
        <v>0</v>
      </c>
      <c r="AG43" s="20"/>
      <c r="AH43" s="20"/>
      <c r="AI43" s="20"/>
      <c r="AJ43" s="20"/>
      <c r="AK43" s="20"/>
      <c r="AL43" s="20"/>
      <c r="AM43" s="20"/>
      <c r="AN43" s="20"/>
      <c r="AO43" s="21">
        <f t="shared" si="102"/>
        <v>0</v>
      </c>
      <c r="AP43" s="25"/>
      <c r="AQ43" s="20"/>
      <c r="AR43" s="20"/>
      <c r="AS43" s="20"/>
      <c r="AT43" s="20"/>
      <c r="AU43" s="21">
        <f t="shared" si="103"/>
        <v>0</v>
      </c>
      <c r="AV43" s="25"/>
      <c r="AW43" s="20"/>
      <c r="AX43" s="20"/>
      <c r="AY43" s="20"/>
      <c r="AZ43" s="20"/>
      <c r="BA43" s="21">
        <f t="shared" si="104"/>
        <v>0</v>
      </c>
      <c r="BB43" s="25"/>
      <c r="BC43" s="25"/>
      <c r="BD43" s="25"/>
      <c r="BE43" s="25"/>
      <c r="BF43" s="20"/>
      <c r="BG43" s="20"/>
      <c r="BH43" s="20"/>
      <c r="BI43" s="20"/>
      <c r="BJ43" s="21">
        <f t="shared" si="105"/>
        <v>0</v>
      </c>
      <c r="BK43" s="4">
        <f t="shared" si="106"/>
        <v>0</v>
      </c>
      <c r="BL43" s="4">
        <f t="shared" si="107"/>
        <v>0</v>
      </c>
      <c r="BM43" s="4">
        <f t="shared" si="108"/>
        <v>195000</v>
      </c>
      <c r="BN43" s="4">
        <f t="shared" si="109"/>
        <v>371000</v>
      </c>
      <c r="BO43" s="94">
        <f t="shared" si="110"/>
        <v>378000</v>
      </c>
      <c r="BP43" s="94">
        <f t="shared" si="111"/>
        <v>473900</v>
      </c>
      <c r="BQ43" s="94">
        <f t="shared" si="112"/>
        <v>351000</v>
      </c>
      <c r="BR43" s="94">
        <f t="shared" si="113"/>
        <v>238500</v>
      </c>
      <c r="BS43" s="9">
        <f t="shared" si="114"/>
        <v>2007400</v>
      </c>
    </row>
    <row r="44" spans="1:71">
      <c r="A44" s="187"/>
      <c r="B44" s="8">
        <v>9</v>
      </c>
      <c r="C44" s="1" t="s">
        <v>121</v>
      </c>
      <c r="D44" s="4" t="s">
        <v>108</v>
      </c>
      <c r="E44" s="4" t="s">
        <v>108</v>
      </c>
      <c r="F44" s="4"/>
      <c r="G44" s="4">
        <v>155000</v>
      </c>
      <c r="H44" s="4">
        <v>44000</v>
      </c>
      <c r="I44" s="4"/>
      <c r="J44" s="4"/>
      <c r="K44" s="4"/>
      <c r="L44" s="4"/>
      <c r="M44" s="4"/>
      <c r="N44" s="9">
        <f t="shared" si="100"/>
        <v>199000</v>
      </c>
      <c r="O44" s="4"/>
      <c r="P44" s="4"/>
      <c r="Q44" s="4"/>
      <c r="R44" s="4"/>
      <c r="S44" s="4"/>
      <c r="T44" s="4"/>
      <c r="U44" s="4"/>
      <c r="V44" s="4"/>
      <c r="W44" s="9">
        <f t="shared" si="25"/>
        <v>0</v>
      </c>
      <c r="X44" s="20"/>
      <c r="Y44" s="20"/>
      <c r="Z44" s="20"/>
      <c r="AA44" s="20"/>
      <c r="AB44" s="20"/>
      <c r="AC44" s="20"/>
      <c r="AD44" s="20"/>
      <c r="AE44" s="20"/>
      <c r="AF44" s="9">
        <f t="shared" si="101"/>
        <v>0</v>
      </c>
      <c r="AG44" s="20"/>
      <c r="AH44" s="20">
        <v>195000</v>
      </c>
      <c r="AI44" s="24">
        <v>188250</v>
      </c>
      <c r="AJ44" s="24"/>
      <c r="AK44" s="20"/>
      <c r="AL44" s="20"/>
      <c r="AM44" s="20"/>
      <c r="AN44" s="20"/>
      <c r="AO44" s="21">
        <f t="shared" si="102"/>
        <v>383250</v>
      </c>
      <c r="AP44" s="25"/>
      <c r="AQ44" s="20"/>
      <c r="AR44" s="20"/>
      <c r="AS44" s="20"/>
      <c r="AT44" s="20"/>
      <c r="AU44" s="21">
        <f t="shared" si="103"/>
        <v>0</v>
      </c>
      <c r="AV44" s="25"/>
      <c r="AW44" s="20"/>
      <c r="AX44" s="20"/>
      <c r="AY44" s="20"/>
      <c r="AZ44" s="20"/>
      <c r="BA44" s="21">
        <f t="shared" si="104"/>
        <v>0</v>
      </c>
      <c r="BB44" s="25"/>
      <c r="BC44" s="25"/>
      <c r="BD44" s="25"/>
      <c r="BE44" s="25"/>
      <c r="BF44" s="20"/>
      <c r="BG44" s="20"/>
      <c r="BH44" s="20"/>
      <c r="BI44" s="20"/>
      <c r="BJ44" s="21">
        <f t="shared" si="105"/>
        <v>0</v>
      </c>
      <c r="BK44" s="4">
        <f t="shared" si="106"/>
        <v>0</v>
      </c>
      <c r="BL44" s="4">
        <f t="shared" si="107"/>
        <v>350000</v>
      </c>
      <c r="BM44" s="4">
        <f t="shared" si="108"/>
        <v>232250</v>
      </c>
      <c r="BN44" s="4">
        <f t="shared" si="109"/>
        <v>0</v>
      </c>
      <c r="BO44" s="94">
        <f t="shared" si="110"/>
        <v>0</v>
      </c>
      <c r="BP44" s="94">
        <f t="shared" si="111"/>
        <v>0</v>
      </c>
      <c r="BQ44" s="94">
        <f t="shared" si="112"/>
        <v>0</v>
      </c>
      <c r="BR44" s="94">
        <f t="shared" si="113"/>
        <v>0</v>
      </c>
      <c r="BS44" s="9">
        <f t="shared" si="114"/>
        <v>582250</v>
      </c>
    </row>
    <row r="45" spans="1:71" s="38" customFormat="1">
      <c r="A45" s="34"/>
      <c r="B45" s="34"/>
      <c r="C45" s="35" t="s">
        <v>122</v>
      </c>
      <c r="D45" s="37"/>
      <c r="E45" s="37"/>
      <c r="F45" s="37">
        <f t="shared" ref="F45:BS45" si="115">SUM(F36:F44)</f>
        <v>310000</v>
      </c>
      <c r="G45" s="37">
        <f t="shared" si="115"/>
        <v>919000</v>
      </c>
      <c r="H45" s="37">
        <f t="shared" si="115"/>
        <v>756500</v>
      </c>
      <c r="I45" s="37">
        <f t="shared" si="115"/>
        <v>631000</v>
      </c>
      <c r="J45" s="37">
        <f t="shared" si="115"/>
        <v>378000</v>
      </c>
      <c r="K45" s="37">
        <f t="shared" si="115"/>
        <v>473900</v>
      </c>
      <c r="L45" s="37">
        <f t="shared" ref="L45:M45" si="116">SUM(L36:L44)</f>
        <v>351000</v>
      </c>
      <c r="M45" s="37">
        <f t="shared" si="116"/>
        <v>238500</v>
      </c>
      <c r="N45" s="37">
        <f t="shared" si="115"/>
        <v>4057900</v>
      </c>
      <c r="O45" s="37">
        <f t="shared" si="115"/>
        <v>290000</v>
      </c>
      <c r="P45" s="37">
        <f t="shared" si="115"/>
        <v>2490000</v>
      </c>
      <c r="Q45" s="37">
        <f t="shared" si="115"/>
        <v>910000</v>
      </c>
      <c r="R45" s="37">
        <f t="shared" si="115"/>
        <v>1613500</v>
      </c>
      <c r="S45" s="37">
        <f t="shared" si="115"/>
        <v>730000</v>
      </c>
      <c r="T45" s="37">
        <f t="shared" si="115"/>
        <v>750000</v>
      </c>
      <c r="U45" s="37">
        <f t="shared" ref="U45:V45" si="117">SUM(U36:U44)</f>
        <v>1400000</v>
      </c>
      <c r="V45" s="37">
        <f t="shared" si="117"/>
        <v>1500000</v>
      </c>
      <c r="W45" s="37">
        <f t="shared" si="115"/>
        <v>9683500</v>
      </c>
      <c r="X45" s="37">
        <f t="shared" si="115"/>
        <v>290000</v>
      </c>
      <c r="Y45" s="37">
        <f t="shared" si="115"/>
        <v>364000</v>
      </c>
      <c r="Z45" s="37">
        <f t="shared" si="115"/>
        <v>404000</v>
      </c>
      <c r="AA45" s="37">
        <f t="shared" si="115"/>
        <v>248000</v>
      </c>
      <c r="AB45" s="37">
        <f t="shared" si="115"/>
        <v>0</v>
      </c>
      <c r="AC45" s="37">
        <f t="shared" si="115"/>
        <v>0</v>
      </c>
      <c r="AD45" s="37">
        <f t="shared" ref="AD45:AE45" si="118">SUM(AD36:AD44)</f>
        <v>0</v>
      </c>
      <c r="AE45" s="37">
        <f t="shared" si="118"/>
        <v>0</v>
      </c>
      <c r="AF45" s="37">
        <f t="shared" si="115"/>
        <v>1306000</v>
      </c>
      <c r="AG45" s="37">
        <f t="shared" si="115"/>
        <v>195000</v>
      </c>
      <c r="AH45" s="37">
        <f t="shared" si="115"/>
        <v>1186900</v>
      </c>
      <c r="AI45" s="37">
        <f t="shared" si="115"/>
        <v>982000</v>
      </c>
      <c r="AJ45" s="37">
        <f t="shared" si="115"/>
        <v>242000</v>
      </c>
      <c r="AK45" s="37">
        <f t="shared" si="115"/>
        <v>0</v>
      </c>
      <c r="AL45" s="37">
        <f t="shared" si="115"/>
        <v>0</v>
      </c>
      <c r="AM45" s="37">
        <f t="shared" ref="AM45:AN45" si="119">SUM(AM36:AM44)</f>
        <v>0</v>
      </c>
      <c r="AN45" s="37">
        <f t="shared" si="119"/>
        <v>130950</v>
      </c>
      <c r="AO45" s="37">
        <f t="shared" si="115"/>
        <v>2736850</v>
      </c>
      <c r="AP45" s="37">
        <f t="shared" si="115"/>
        <v>409500</v>
      </c>
      <c r="AQ45" s="37">
        <f t="shared" si="115"/>
        <v>542500</v>
      </c>
      <c r="AR45" s="37">
        <f t="shared" si="115"/>
        <v>1329300</v>
      </c>
      <c r="AS45" s="37">
        <f t="shared" ref="AS45:AT45" si="120">SUM(AS36:AS44)</f>
        <v>1625400</v>
      </c>
      <c r="AT45" s="37">
        <f t="shared" si="120"/>
        <v>1582400</v>
      </c>
      <c r="AU45" s="37">
        <f t="shared" si="115"/>
        <v>5489100</v>
      </c>
      <c r="AV45" s="37">
        <f t="shared" si="115"/>
        <v>0</v>
      </c>
      <c r="AW45" s="37">
        <f t="shared" si="115"/>
        <v>0</v>
      </c>
      <c r="AX45" s="37">
        <f t="shared" si="115"/>
        <v>0</v>
      </c>
      <c r="AY45" s="37">
        <f t="shared" ref="AY45:AZ45" si="121">SUM(AY36:AY44)</f>
        <v>0</v>
      </c>
      <c r="AZ45" s="37">
        <f t="shared" si="121"/>
        <v>0</v>
      </c>
      <c r="BA45" s="37">
        <f t="shared" si="115"/>
        <v>0</v>
      </c>
      <c r="BB45" s="37">
        <f t="shared" si="115"/>
        <v>0</v>
      </c>
      <c r="BC45" s="37">
        <f t="shared" si="115"/>
        <v>0</v>
      </c>
      <c r="BD45" s="37">
        <f t="shared" si="115"/>
        <v>100000</v>
      </c>
      <c r="BE45" s="37">
        <f t="shared" si="115"/>
        <v>0</v>
      </c>
      <c r="BF45" s="37">
        <f t="shared" si="115"/>
        <v>0</v>
      </c>
      <c r="BG45" s="37">
        <f t="shared" si="115"/>
        <v>0</v>
      </c>
      <c r="BH45" s="37">
        <f t="shared" ref="BH45:BI45" si="122">SUM(BH36:BH44)</f>
        <v>0</v>
      </c>
      <c r="BI45" s="37">
        <f t="shared" si="122"/>
        <v>0</v>
      </c>
      <c r="BJ45" s="37">
        <f t="shared" si="115"/>
        <v>100000</v>
      </c>
      <c r="BK45" s="37">
        <f t="shared" si="115"/>
        <v>1085000</v>
      </c>
      <c r="BL45" s="37">
        <f t="shared" si="115"/>
        <v>4959900</v>
      </c>
      <c r="BM45" s="37">
        <f t="shared" si="115"/>
        <v>3152500</v>
      </c>
      <c r="BN45" s="37">
        <f t="shared" si="115"/>
        <v>3144000</v>
      </c>
      <c r="BO45" s="37">
        <f t="shared" si="115"/>
        <v>1650500</v>
      </c>
      <c r="BP45" s="144">
        <f>SUM(BP36:BP44)</f>
        <v>2553200</v>
      </c>
      <c r="BQ45" s="37">
        <f t="shared" ref="BQ45:BR45" si="123">SUM(BQ36:BQ44)</f>
        <v>3376400</v>
      </c>
      <c r="BR45" s="37">
        <f t="shared" si="123"/>
        <v>3451850</v>
      </c>
      <c r="BS45" s="37">
        <f t="shared" si="115"/>
        <v>23373350</v>
      </c>
    </row>
    <row r="46" spans="1:71" ht="31.5">
      <c r="A46" s="185" t="s">
        <v>20</v>
      </c>
      <c r="B46" s="8">
        <v>1</v>
      </c>
      <c r="C46" s="1" t="s">
        <v>123</v>
      </c>
      <c r="D46" s="4" t="s">
        <v>124</v>
      </c>
      <c r="E46" s="4" t="s">
        <v>20</v>
      </c>
      <c r="F46" s="4"/>
      <c r="G46" s="4"/>
      <c r="H46" s="5"/>
      <c r="I46" s="4"/>
      <c r="J46" s="4"/>
      <c r="K46" s="4"/>
      <c r="L46" s="4"/>
      <c r="M46" s="4"/>
      <c r="N46" s="9">
        <f t="shared" ref="N46:N53" si="124">SUM(F46:M46)</f>
        <v>0</v>
      </c>
      <c r="O46" s="4"/>
      <c r="P46" s="4"/>
      <c r="Q46" s="4"/>
      <c r="R46" s="4"/>
      <c r="S46" s="4"/>
      <c r="T46" s="4"/>
      <c r="U46" s="4"/>
      <c r="V46" s="4"/>
      <c r="W46" s="9">
        <f t="shared" si="25"/>
        <v>0</v>
      </c>
      <c r="X46" s="20"/>
      <c r="Y46" s="20"/>
      <c r="Z46" s="20"/>
      <c r="AA46" s="20"/>
      <c r="AB46" s="20"/>
      <c r="AC46" s="20"/>
      <c r="AD46" s="20"/>
      <c r="AE46" s="20"/>
      <c r="AF46" s="9">
        <f t="shared" ref="AF46:AF53" si="125">SUM(X46:AE46)</f>
        <v>0</v>
      </c>
      <c r="AG46" s="20"/>
      <c r="AH46" s="25">
        <v>481150</v>
      </c>
      <c r="AI46" s="25">
        <f>202300+70000</f>
        <v>272300</v>
      </c>
      <c r="AJ46" s="24">
        <v>478000</v>
      </c>
      <c r="AK46" s="20">
        <f>49000+98000+364000+112000</f>
        <v>623000</v>
      </c>
      <c r="AL46" s="20">
        <f>491750+123200+61600</f>
        <v>676550</v>
      </c>
      <c r="AM46" s="20">
        <v>498500</v>
      </c>
      <c r="AN46" s="20">
        <v>819650</v>
      </c>
      <c r="AO46" s="21">
        <f t="shared" ref="AO46:AO53" si="126">SUM(AG46:AN46)</f>
        <v>3849150</v>
      </c>
      <c r="AP46" s="25">
        <v>0</v>
      </c>
      <c r="AQ46" s="20"/>
      <c r="AR46" s="20"/>
      <c r="AS46" s="20"/>
      <c r="AT46" s="20"/>
      <c r="AU46" s="21">
        <f t="shared" ref="AU46:AU53" si="127">SUM(AP46:AT46)</f>
        <v>0</v>
      </c>
      <c r="AV46" s="25"/>
      <c r="AW46" s="20"/>
      <c r="AX46" s="20"/>
      <c r="AY46" s="20"/>
      <c r="AZ46" s="20"/>
      <c r="BA46" s="21">
        <f t="shared" ref="BA46:BA53" si="128">SUM(AV46:AZ46)</f>
        <v>0</v>
      </c>
      <c r="BB46" s="25"/>
      <c r="BC46" s="25"/>
      <c r="BD46" s="25"/>
      <c r="BE46" s="25"/>
      <c r="BF46" s="20"/>
      <c r="BG46" s="20"/>
      <c r="BH46" s="20"/>
      <c r="BI46" s="20"/>
      <c r="BJ46" s="21">
        <f t="shared" ref="BJ46:BJ53" si="129">SUM(BB46:BI46)</f>
        <v>0</v>
      </c>
      <c r="BK46" s="4">
        <f t="shared" ref="BK46:BM53" si="130">F46+O46+X46+AG46+BB46</f>
        <v>0</v>
      </c>
      <c r="BL46" s="4">
        <f t="shared" si="130"/>
        <v>481150</v>
      </c>
      <c r="BM46" s="4">
        <f t="shared" si="130"/>
        <v>272300</v>
      </c>
      <c r="BN46" s="4">
        <f t="shared" ref="BN46:BQ53" si="131">I46+R46+AA46+AJ46+AP46+AV46+BE46</f>
        <v>478000</v>
      </c>
      <c r="BO46" s="94">
        <f t="shared" si="131"/>
        <v>623000</v>
      </c>
      <c r="BP46" s="94">
        <f t="shared" si="131"/>
        <v>676550</v>
      </c>
      <c r="BQ46" s="94">
        <f t="shared" si="131"/>
        <v>498500</v>
      </c>
      <c r="BR46" s="94">
        <f t="shared" ref="BR46:BR53" si="132">M46+V46+AE46+AN46+AT46+AZ46+BI46</f>
        <v>819650</v>
      </c>
      <c r="BS46" s="9">
        <f t="shared" ref="BS46:BS53" si="133">SUM(BK46:BR46)</f>
        <v>3849150</v>
      </c>
    </row>
    <row r="47" spans="1:71" ht="31.5">
      <c r="A47" s="186"/>
      <c r="B47" s="8">
        <v>2</v>
      </c>
      <c r="C47" s="1" t="s">
        <v>125</v>
      </c>
      <c r="D47" s="4" t="s">
        <v>126</v>
      </c>
      <c r="E47" s="4" t="s">
        <v>20</v>
      </c>
      <c r="F47" s="4">
        <v>155000</v>
      </c>
      <c r="G47" s="4">
        <v>712500</v>
      </c>
      <c r="H47" s="4">
        <f>60500+60500+200000</f>
        <v>321000</v>
      </c>
      <c r="I47" s="4">
        <f>160000+20000</f>
        <v>180000</v>
      </c>
      <c r="J47" s="4"/>
      <c r="K47" s="4"/>
      <c r="L47" s="4"/>
      <c r="M47" s="4"/>
      <c r="N47" s="9">
        <f t="shared" si="124"/>
        <v>1368500</v>
      </c>
      <c r="O47" s="4"/>
      <c r="P47" s="4"/>
      <c r="Q47" s="4"/>
      <c r="R47" s="4"/>
      <c r="S47" s="4"/>
      <c r="T47" s="4"/>
      <c r="U47" s="4"/>
      <c r="V47" s="4"/>
      <c r="W47" s="9">
        <f t="shared" si="25"/>
        <v>0</v>
      </c>
      <c r="X47" s="20"/>
      <c r="Y47" s="20"/>
      <c r="Z47" s="20"/>
      <c r="AA47" s="20"/>
      <c r="AB47" s="20"/>
      <c r="AC47" s="20"/>
      <c r="AD47" s="20"/>
      <c r="AE47" s="20"/>
      <c r="AF47" s="9">
        <f t="shared" si="125"/>
        <v>0</v>
      </c>
      <c r="AG47" s="20">
        <v>195000</v>
      </c>
      <c r="AH47" s="25">
        <v>608650</v>
      </c>
      <c r="AI47" s="25">
        <v>377050</v>
      </c>
      <c r="AJ47" s="24">
        <v>40000</v>
      </c>
      <c r="AK47" s="20"/>
      <c r="AL47" s="20"/>
      <c r="AM47" s="20"/>
      <c r="AN47" s="20"/>
      <c r="AO47" s="21">
        <f t="shared" si="126"/>
        <v>1220700</v>
      </c>
      <c r="AP47" s="25">
        <v>770000</v>
      </c>
      <c r="AQ47" s="20">
        <f>70000+210000+210000+210000+140000</f>
        <v>840000</v>
      </c>
      <c r="AR47" s="20">
        <f>941892+217055+109185</f>
        <v>1268132</v>
      </c>
      <c r="AS47" s="20">
        <v>1415450</v>
      </c>
      <c r="AT47" s="20">
        <v>1601600</v>
      </c>
      <c r="AU47" s="21">
        <f t="shared" si="127"/>
        <v>5895182</v>
      </c>
      <c r="AV47" s="25"/>
      <c r="AW47" s="20"/>
      <c r="AX47" s="20"/>
      <c r="AY47" s="20"/>
      <c r="AZ47" s="20"/>
      <c r="BA47" s="21">
        <f t="shared" si="128"/>
        <v>0</v>
      </c>
      <c r="BB47" s="25"/>
      <c r="BC47" s="25"/>
      <c r="BD47" s="25"/>
      <c r="BE47" s="25"/>
      <c r="BF47" s="20"/>
      <c r="BG47" s="20"/>
      <c r="BH47" s="20"/>
      <c r="BI47" s="20"/>
      <c r="BJ47" s="21">
        <f t="shared" si="129"/>
        <v>0</v>
      </c>
      <c r="BK47" s="4">
        <f t="shared" si="130"/>
        <v>350000</v>
      </c>
      <c r="BL47" s="4">
        <f t="shared" si="130"/>
        <v>1321150</v>
      </c>
      <c r="BM47" s="4">
        <f t="shared" si="130"/>
        <v>698050</v>
      </c>
      <c r="BN47" s="4">
        <f t="shared" si="131"/>
        <v>990000</v>
      </c>
      <c r="BO47" s="94">
        <f t="shared" si="131"/>
        <v>840000</v>
      </c>
      <c r="BP47" s="94">
        <f t="shared" si="131"/>
        <v>1268132</v>
      </c>
      <c r="BQ47" s="94">
        <f t="shared" si="131"/>
        <v>1415450</v>
      </c>
      <c r="BR47" s="94">
        <f t="shared" si="132"/>
        <v>1601600</v>
      </c>
      <c r="BS47" s="9">
        <f t="shared" si="133"/>
        <v>8484382</v>
      </c>
    </row>
    <row r="48" spans="1:71">
      <c r="A48" s="186"/>
      <c r="B48" s="8">
        <v>3</v>
      </c>
      <c r="C48" s="1" t="s">
        <v>127</v>
      </c>
      <c r="D48" s="4" t="s">
        <v>128</v>
      </c>
      <c r="E48" s="4" t="s">
        <v>20</v>
      </c>
      <c r="F48" s="4"/>
      <c r="G48" s="4">
        <v>155000</v>
      </c>
      <c r="H48" s="4">
        <v>311100</v>
      </c>
      <c r="I48" s="4"/>
      <c r="J48" s="4"/>
      <c r="K48" s="4"/>
      <c r="L48" s="4"/>
      <c r="M48" s="4"/>
      <c r="N48" s="9">
        <f t="shared" si="124"/>
        <v>466100</v>
      </c>
      <c r="O48" s="4"/>
      <c r="P48" s="4"/>
      <c r="Q48" s="4"/>
      <c r="R48" s="4"/>
      <c r="S48" s="4"/>
      <c r="T48" s="4"/>
      <c r="U48" s="4"/>
      <c r="V48" s="4"/>
      <c r="W48" s="9">
        <f t="shared" si="25"/>
        <v>0</v>
      </c>
      <c r="X48" s="20"/>
      <c r="Y48" s="20"/>
      <c r="Z48" s="20"/>
      <c r="AA48" s="20"/>
      <c r="AB48" s="20"/>
      <c r="AC48" s="20"/>
      <c r="AD48" s="20"/>
      <c r="AE48" s="20"/>
      <c r="AF48" s="9">
        <f t="shared" si="125"/>
        <v>0</v>
      </c>
      <c r="AG48" s="20"/>
      <c r="AH48" s="20"/>
      <c r="AI48" s="20"/>
      <c r="AJ48" s="20"/>
      <c r="AK48" s="20"/>
      <c r="AL48" s="20"/>
      <c r="AM48" s="20"/>
      <c r="AN48" s="20"/>
      <c r="AO48" s="21">
        <f t="shared" si="126"/>
        <v>0</v>
      </c>
      <c r="AP48" s="25">
        <v>0</v>
      </c>
      <c r="AQ48" s="20"/>
      <c r="AR48" s="20"/>
      <c r="AS48" s="20"/>
      <c r="AT48" s="20"/>
      <c r="AU48" s="21">
        <f t="shared" si="127"/>
        <v>0</v>
      </c>
      <c r="AV48" s="25"/>
      <c r="AW48" s="20"/>
      <c r="AX48" s="20"/>
      <c r="AY48" s="20"/>
      <c r="AZ48" s="20"/>
      <c r="BA48" s="21">
        <f t="shared" si="128"/>
        <v>0</v>
      </c>
      <c r="BB48" s="25"/>
      <c r="BC48" s="24">
        <v>100000</v>
      </c>
      <c r="BD48" s="25"/>
      <c r="BE48" s="25"/>
      <c r="BF48" s="20"/>
      <c r="BG48" s="20"/>
      <c r="BH48" s="20"/>
      <c r="BI48" s="20"/>
      <c r="BJ48" s="21">
        <f t="shared" si="129"/>
        <v>100000</v>
      </c>
      <c r="BK48" s="4">
        <f t="shared" si="130"/>
        <v>0</v>
      </c>
      <c r="BL48" s="4">
        <f t="shared" si="130"/>
        <v>255000</v>
      </c>
      <c r="BM48" s="4">
        <f t="shared" si="130"/>
        <v>311100</v>
      </c>
      <c r="BN48" s="4">
        <f t="shared" si="131"/>
        <v>0</v>
      </c>
      <c r="BO48" s="94">
        <f t="shared" si="131"/>
        <v>0</v>
      </c>
      <c r="BP48" s="94">
        <f t="shared" si="131"/>
        <v>0</v>
      </c>
      <c r="BQ48" s="94">
        <f t="shared" si="131"/>
        <v>0</v>
      </c>
      <c r="BR48" s="94">
        <f t="shared" si="132"/>
        <v>0</v>
      </c>
      <c r="BS48" s="9">
        <f t="shared" si="133"/>
        <v>566100</v>
      </c>
    </row>
    <row r="49" spans="1:71">
      <c r="A49" s="186"/>
      <c r="B49" s="8">
        <v>4</v>
      </c>
      <c r="C49" s="1" t="s">
        <v>129</v>
      </c>
      <c r="D49" s="4" t="s">
        <v>130</v>
      </c>
      <c r="E49" s="4" t="s">
        <v>20</v>
      </c>
      <c r="F49" s="4"/>
      <c r="G49" s="4">
        <v>155000</v>
      </c>
      <c r="H49" s="4"/>
      <c r="I49" s="4"/>
      <c r="J49" s="4"/>
      <c r="K49" s="4"/>
      <c r="L49" s="4"/>
      <c r="M49" s="4"/>
      <c r="N49" s="9">
        <f t="shared" si="124"/>
        <v>155000</v>
      </c>
      <c r="O49" s="4"/>
      <c r="P49" s="4"/>
      <c r="Q49" s="4"/>
      <c r="R49" s="4"/>
      <c r="S49" s="4"/>
      <c r="T49" s="4"/>
      <c r="U49" s="4"/>
      <c r="V49" s="4"/>
      <c r="W49" s="9">
        <f t="shared" si="25"/>
        <v>0</v>
      </c>
      <c r="X49" s="20"/>
      <c r="Y49" s="20"/>
      <c r="Z49" s="20"/>
      <c r="AA49" s="20"/>
      <c r="AB49" s="20"/>
      <c r="AC49" s="20"/>
      <c r="AD49" s="20"/>
      <c r="AE49" s="20"/>
      <c r="AF49" s="9">
        <f t="shared" si="125"/>
        <v>0</v>
      </c>
      <c r="AG49" s="20"/>
      <c r="AH49" s="20">
        <v>195000</v>
      </c>
      <c r="AI49" s="25">
        <v>73150</v>
      </c>
      <c r="AJ49" s="24">
        <v>30000</v>
      </c>
      <c r="AK49" s="20"/>
      <c r="AL49" s="20"/>
      <c r="AM49" s="20"/>
      <c r="AN49" s="20"/>
      <c r="AO49" s="21">
        <f t="shared" si="126"/>
        <v>298150</v>
      </c>
      <c r="AP49" s="25">
        <v>0</v>
      </c>
      <c r="AQ49" s="20"/>
      <c r="AR49" s="20"/>
      <c r="AS49" s="20"/>
      <c r="AT49" s="20"/>
      <c r="AU49" s="21">
        <f t="shared" si="127"/>
        <v>0</v>
      </c>
      <c r="AV49" s="25"/>
      <c r="AW49" s="20"/>
      <c r="AX49" s="20"/>
      <c r="AY49" s="20"/>
      <c r="AZ49" s="20"/>
      <c r="BA49" s="21">
        <f t="shared" si="128"/>
        <v>0</v>
      </c>
      <c r="BB49" s="25"/>
      <c r="BC49" s="25"/>
      <c r="BD49" s="25"/>
      <c r="BE49" s="25"/>
      <c r="BF49" s="20"/>
      <c r="BG49" s="20"/>
      <c r="BH49" s="20"/>
      <c r="BI49" s="20"/>
      <c r="BJ49" s="21">
        <f t="shared" si="129"/>
        <v>0</v>
      </c>
      <c r="BK49" s="4">
        <f t="shared" si="130"/>
        <v>0</v>
      </c>
      <c r="BL49" s="4">
        <f t="shared" si="130"/>
        <v>350000</v>
      </c>
      <c r="BM49" s="4">
        <f t="shared" si="130"/>
        <v>73150</v>
      </c>
      <c r="BN49" s="4">
        <f t="shared" si="131"/>
        <v>30000</v>
      </c>
      <c r="BO49" s="94">
        <f t="shared" si="131"/>
        <v>0</v>
      </c>
      <c r="BP49" s="94">
        <f t="shared" si="131"/>
        <v>0</v>
      </c>
      <c r="BQ49" s="94">
        <f t="shared" si="131"/>
        <v>0</v>
      </c>
      <c r="BR49" s="94">
        <f t="shared" si="132"/>
        <v>0</v>
      </c>
      <c r="BS49" s="9">
        <f t="shared" si="133"/>
        <v>453150</v>
      </c>
    </row>
    <row r="50" spans="1:71" ht="31.5">
      <c r="A50" s="186"/>
      <c r="B50" s="8">
        <v>5</v>
      </c>
      <c r="C50" s="1" t="s">
        <v>131</v>
      </c>
      <c r="D50" s="4" t="s">
        <v>132</v>
      </c>
      <c r="E50" s="4" t="s">
        <v>20</v>
      </c>
      <c r="F50" s="4">
        <v>155000</v>
      </c>
      <c r="G50" s="4">
        <v>427000</v>
      </c>
      <c r="H50" s="4">
        <f>71500+71500+231000</f>
        <v>374000</v>
      </c>
      <c r="I50" s="4"/>
      <c r="J50" s="4"/>
      <c r="K50" s="4"/>
      <c r="L50" s="4"/>
      <c r="M50" s="4"/>
      <c r="N50" s="9">
        <f t="shared" si="124"/>
        <v>956000</v>
      </c>
      <c r="O50" s="4"/>
      <c r="P50" s="4"/>
      <c r="Q50" s="4"/>
      <c r="R50" s="4"/>
      <c r="S50" s="4"/>
      <c r="T50" s="4"/>
      <c r="U50" s="4"/>
      <c r="V50" s="4"/>
      <c r="W50" s="9">
        <f t="shared" si="25"/>
        <v>0</v>
      </c>
      <c r="X50" s="20"/>
      <c r="Y50" s="20"/>
      <c r="Z50" s="20"/>
      <c r="AA50" s="20"/>
      <c r="AB50" s="20"/>
      <c r="AC50" s="20"/>
      <c r="AD50" s="20"/>
      <c r="AE50" s="20"/>
      <c r="AF50" s="9">
        <f t="shared" si="125"/>
        <v>0</v>
      </c>
      <c r="AG50" s="20"/>
      <c r="AH50" s="25">
        <v>585250</v>
      </c>
      <c r="AI50" s="25">
        <v>174600</v>
      </c>
      <c r="AJ50" s="25"/>
      <c r="AK50" s="20"/>
      <c r="AL50" s="20"/>
      <c r="AM50" s="20"/>
      <c r="AN50" s="20"/>
      <c r="AO50" s="21">
        <f t="shared" si="126"/>
        <v>759850</v>
      </c>
      <c r="AP50" s="25">
        <v>0</v>
      </c>
      <c r="AQ50" s="20"/>
      <c r="AR50" s="20">
        <f>707200+202800+104000</f>
        <v>1014000</v>
      </c>
      <c r="AS50" s="20">
        <v>1258400</v>
      </c>
      <c r="AT50" s="20">
        <v>1440400</v>
      </c>
      <c r="AU50" s="21">
        <f t="shared" si="127"/>
        <v>3712800</v>
      </c>
      <c r="AV50" s="25"/>
      <c r="AW50" s="20"/>
      <c r="AX50" s="20"/>
      <c r="AY50" s="20"/>
      <c r="AZ50" s="20"/>
      <c r="BA50" s="21">
        <f t="shared" si="128"/>
        <v>0</v>
      </c>
      <c r="BB50" s="25"/>
      <c r="BC50" s="25"/>
      <c r="BD50" s="25"/>
      <c r="BE50" s="25"/>
      <c r="BF50" s="20"/>
      <c r="BG50" s="20"/>
      <c r="BH50" s="20"/>
      <c r="BI50" s="20"/>
      <c r="BJ50" s="21">
        <f t="shared" si="129"/>
        <v>0</v>
      </c>
      <c r="BK50" s="4">
        <f t="shared" si="130"/>
        <v>155000</v>
      </c>
      <c r="BL50" s="4">
        <f t="shared" si="130"/>
        <v>1012250</v>
      </c>
      <c r="BM50" s="4">
        <f t="shared" si="130"/>
        <v>548600</v>
      </c>
      <c r="BN50" s="4">
        <f t="shared" si="131"/>
        <v>0</v>
      </c>
      <c r="BO50" s="94">
        <f t="shared" si="131"/>
        <v>0</v>
      </c>
      <c r="BP50" s="94">
        <f t="shared" si="131"/>
        <v>1014000</v>
      </c>
      <c r="BQ50" s="94">
        <f t="shared" si="131"/>
        <v>1258400</v>
      </c>
      <c r="BR50" s="94">
        <f t="shared" si="132"/>
        <v>1440400</v>
      </c>
      <c r="BS50" s="9">
        <f t="shared" si="133"/>
        <v>5428650</v>
      </c>
    </row>
    <row r="51" spans="1:71">
      <c r="A51" s="186"/>
      <c r="B51" s="8">
        <v>6</v>
      </c>
      <c r="C51" s="1" t="s">
        <v>52</v>
      </c>
      <c r="D51" s="4" t="s">
        <v>30</v>
      </c>
      <c r="E51" s="4" t="s">
        <v>20</v>
      </c>
      <c r="F51" s="4">
        <v>155000</v>
      </c>
      <c r="G51" s="4">
        <v>279000</v>
      </c>
      <c r="H51" s="4">
        <f>108000+36000</f>
        <v>144000</v>
      </c>
      <c r="I51" s="4">
        <v>218000</v>
      </c>
      <c r="J51" s="4">
        <f>15000+198000</f>
        <v>213000</v>
      </c>
      <c r="K51" s="4">
        <v>45000</v>
      </c>
      <c r="L51" s="4"/>
      <c r="M51" s="4"/>
      <c r="N51" s="9">
        <f t="shared" si="124"/>
        <v>1054000</v>
      </c>
      <c r="O51" s="4"/>
      <c r="P51" s="4"/>
      <c r="Q51" s="4"/>
      <c r="R51" s="4"/>
      <c r="S51" s="4"/>
      <c r="T51" s="4"/>
      <c r="U51" s="4"/>
      <c r="V51" s="4"/>
      <c r="W51" s="9">
        <f t="shared" si="25"/>
        <v>0</v>
      </c>
      <c r="X51" s="20"/>
      <c r="Y51" s="20"/>
      <c r="Z51" s="20"/>
      <c r="AA51" s="20"/>
      <c r="AB51" s="20"/>
      <c r="AC51" s="20"/>
      <c r="AD51" s="20"/>
      <c r="AE51" s="20"/>
      <c r="AF51" s="9">
        <f t="shared" si="125"/>
        <v>0</v>
      </c>
      <c r="AG51" s="20"/>
      <c r="AH51" s="20"/>
      <c r="AI51" s="20"/>
      <c r="AJ51" s="20"/>
      <c r="AK51" s="20"/>
      <c r="AL51" s="20"/>
      <c r="AM51" s="20"/>
      <c r="AN51" s="20"/>
      <c r="AO51" s="21">
        <f t="shared" si="126"/>
        <v>0</v>
      </c>
      <c r="AP51" s="25">
        <v>0</v>
      </c>
      <c r="AQ51" s="20"/>
      <c r="AR51" s="20"/>
      <c r="AS51" s="20"/>
      <c r="AT51" s="20"/>
      <c r="AU51" s="21">
        <f t="shared" si="127"/>
        <v>0</v>
      </c>
      <c r="AV51" s="25"/>
      <c r="AW51" s="20"/>
      <c r="AX51" s="20"/>
      <c r="AY51" s="20"/>
      <c r="AZ51" s="20"/>
      <c r="BA51" s="21">
        <f t="shared" si="128"/>
        <v>0</v>
      </c>
      <c r="BB51" s="25"/>
      <c r="BC51" s="25"/>
      <c r="BD51" s="25"/>
      <c r="BE51" s="25"/>
      <c r="BF51" s="20"/>
      <c r="BG51" s="20"/>
      <c r="BH51" s="20"/>
      <c r="BI51" s="20"/>
      <c r="BJ51" s="21">
        <f t="shared" si="129"/>
        <v>0</v>
      </c>
      <c r="BK51" s="4">
        <f t="shared" si="130"/>
        <v>155000</v>
      </c>
      <c r="BL51" s="4">
        <f t="shared" si="130"/>
        <v>279000</v>
      </c>
      <c r="BM51" s="4">
        <f t="shared" si="130"/>
        <v>144000</v>
      </c>
      <c r="BN51" s="4">
        <f t="shared" si="131"/>
        <v>218000</v>
      </c>
      <c r="BO51" s="94">
        <f t="shared" si="131"/>
        <v>213000</v>
      </c>
      <c r="BP51" s="94">
        <f t="shared" si="131"/>
        <v>45000</v>
      </c>
      <c r="BQ51" s="94">
        <f t="shared" si="131"/>
        <v>0</v>
      </c>
      <c r="BR51" s="94">
        <f t="shared" si="132"/>
        <v>0</v>
      </c>
      <c r="BS51" s="9">
        <f t="shared" si="133"/>
        <v>1054000</v>
      </c>
    </row>
    <row r="52" spans="1:71" ht="31.5">
      <c r="A52" s="186"/>
      <c r="B52" s="8">
        <v>7</v>
      </c>
      <c r="C52" s="1" t="s">
        <v>133</v>
      </c>
      <c r="D52" s="4" t="s">
        <v>134</v>
      </c>
      <c r="E52" s="4" t="s">
        <v>20</v>
      </c>
      <c r="F52" s="4">
        <v>155000</v>
      </c>
      <c r="G52" s="4">
        <v>823000</v>
      </c>
      <c r="H52" s="4">
        <f>82500+82500</f>
        <v>165000</v>
      </c>
      <c r="I52" s="4"/>
      <c r="J52" s="4"/>
      <c r="K52" s="4"/>
      <c r="L52" s="4"/>
      <c r="M52" s="4"/>
      <c r="N52" s="9">
        <f t="shared" si="124"/>
        <v>1143000</v>
      </c>
      <c r="O52" s="4"/>
      <c r="P52" s="4"/>
      <c r="Q52" s="4"/>
      <c r="R52" s="4"/>
      <c r="S52" s="4"/>
      <c r="T52" s="4"/>
      <c r="U52" s="4"/>
      <c r="V52" s="4"/>
      <c r="W52" s="9">
        <f t="shared" si="25"/>
        <v>0</v>
      </c>
      <c r="X52" s="20">
        <v>290000</v>
      </c>
      <c r="Y52" s="22">
        <v>1267000</v>
      </c>
      <c r="Z52" s="4">
        <v>448000</v>
      </c>
      <c r="AA52" s="22"/>
      <c r="AB52" s="22"/>
      <c r="AC52" s="22">
        <f>1743000+581000</f>
        <v>2324000</v>
      </c>
      <c r="AD52" s="22">
        <f>203000+595000+406000+210000+210000+420000+210000</f>
        <v>2254000</v>
      </c>
      <c r="AE52" s="4">
        <f>630000+210000+210000+210000+210000+420000+420000+210000</f>
        <v>2520000</v>
      </c>
      <c r="AF52" s="9">
        <f t="shared" si="125"/>
        <v>9103000</v>
      </c>
      <c r="AG52" s="20">
        <v>195000</v>
      </c>
      <c r="AH52" s="25">
        <v>1031900</v>
      </c>
      <c r="AI52" s="25">
        <v>412250</v>
      </c>
      <c r="AJ52" s="25"/>
      <c r="AK52" s="20"/>
      <c r="AL52" s="20"/>
      <c r="AM52" s="20"/>
      <c r="AN52" s="20"/>
      <c r="AO52" s="21">
        <f t="shared" si="126"/>
        <v>1639150</v>
      </c>
      <c r="AP52" s="25">
        <v>0</v>
      </c>
      <c r="AQ52" s="20"/>
      <c r="AR52" s="20"/>
      <c r="AS52" s="20"/>
      <c r="AT52" s="20"/>
      <c r="AU52" s="21">
        <f t="shared" si="127"/>
        <v>0</v>
      </c>
      <c r="AV52" s="25"/>
      <c r="AW52" s="20"/>
      <c r="AX52" s="20"/>
      <c r="AY52" s="20"/>
      <c r="AZ52" s="20"/>
      <c r="BA52" s="21">
        <f t="shared" si="128"/>
        <v>0</v>
      </c>
      <c r="BB52" s="25"/>
      <c r="BC52" s="25"/>
      <c r="BD52" s="25"/>
      <c r="BE52" s="25"/>
      <c r="BF52" s="20"/>
      <c r="BG52" s="20"/>
      <c r="BH52" s="20"/>
      <c r="BI52" s="20"/>
      <c r="BJ52" s="21">
        <f t="shared" si="129"/>
        <v>0</v>
      </c>
      <c r="BK52" s="4">
        <f t="shared" si="130"/>
        <v>640000</v>
      </c>
      <c r="BL52" s="4">
        <f t="shared" si="130"/>
        <v>3121900</v>
      </c>
      <c r="BM52" s="4">
        <f t="shared" si="130"/>
        <v>1025250</v>
      </c>
      <c r="BN52" s="4">
        <f t="shared" si="131"/>
        <v>0</v>
      </c>
      <c r="BO52" s="94">
        <f t="shared" si="131"/>
        <v>0</v>
      </c>
      <c r="BP52" s="94">
        <f t="shared" si="131"/>
        <v>2324000</v>
      </c>
      <c r="BQ52" s="94">
        <f t="shared" si="131"/>
        <v>2254000</v>
      </c>
      <c r="BR52" s="94">
        <f t="shared" si="132"/>
        <v>2520000</v>
      </c>
      <c r="BS52" s="9">
        <f t="shared" si="133"/>
        <v>11885150</v>
      </c>
    </row>
    <row r="53" spans="1:71" ht="47.25">
      <c r="A53" s="187"/>
      <c r="B53" s="8">
        <v>8</v>
      </c>
      <c r="C53" s="1" t="s">
        <v>135</v>
      </c>
      <c r="D53" s="4" t="s">
        <v>124</v>
      </c>
      <c r="E53" s="4" t="s">
        <v>20</v>
      </c>
      <c r="F53" s="4"/>
      <c r="G53" s="4">
        <v>630500</v>
      </c>
      <c r="H53" s="4">
        <f>60500+60500+170500</f>
        <v>291500</v>
      </c>
      <c r="I53" s="4">
        <f>160000+20000</f>
        <v>180000</v>
      </c>
      <c r="J53" s="4"/>
      <c r="K53" s="4"/>
      <c r="L53" s="4"/>
      <c r="M53" s="4"/>
      <c r="N53" s="9">
        <f t="shared" si="124"/>
        <v>1102000</v>
      </c>
      <c r="O53" s="4"/>
      <c r="P53" s="4"/>
      <c r="Q53" s="4"/>
      <c r="R53" s="4"/>
      <c r="S53" s="4"/>
      <c r="T53" s="4"/>
      <c r="U53" s="4"/>
      <c r="V53" s="4"/>
      <c r="W53" s="9">
        <f t="shared" si="25"/>
        <v>0</v>
      </c>
      <c r="X53" s="20"/>
      <c r="Y53" s="20"/>
      <c r="Z53" s="20"/>
      <c r="AA53" s="20"/>
      <c r="AB53" s="20"/>
      <c r="AC53" s="20"/>
      <c r="AD53" s="20"/>
      <c r="AE53" s="20"/>
      <c r="AF53" s="9">
        <f t="shared" si="125"/>
        <v>0</v>
      </c>
      <c r="AG53" s="20">
        <v>195000</v>
      </c>
      <c r="AH53" s="25">
        <v>854300</v>
      </c>
      <c r="AI53" s="25">
        <v>375250</v>
      </c>
      <c r="AJ53" s="25">
        <v>180000</v>
      </c>
      <c r="AK53" s="20"/>
      <c r="AL53" s="20"/>
      <c r="AM53" s="20"/>
      <c r="AN53" s="20"/>
      <c r="AO53" s="21">
        <f t="shared" si="126"/>
        <v>1604550</v>
      </c>
      <c r="AP53" s="25">
        <v>1155000</v>
      </c>
      <c r="AQ53" s="20">
        <f>105000+315000+315000+315000+210000</f>
        <v>1260000</v>
      </c>
      <c r="AR53" s="20">
        <f>1281120+252000+126000</f>
        <v>1659120</v>
      </c>
      <c r="AS53" s="20">
        <v>1602000</v>
      </c>
      <c r="AT53" s="20">
        <v>1716000</v>
      </c>
      <c r="AU53" s="21">
        <f t="shared" si="127"/>
        <v>7392120</v>
      </c>
      <c r="AV53" s="25"/>
      <c r="AW53" s="20"/>
      <c r="AX53" s="20"/>
      <c r="AY53" s="20"/>
      <c r="AZ53" s="20"/>
      <c r="BA53" s="21">
        <f t="shared" si="128"/>
        <v>0</v>
      </c>
      <c r="BB53" s="25"/>
      <c r="BC53" s="25"/>
      <c r="BD53" s="25">
        <v>100000</v>
      </c>
      <c r="BE53" s="25">
        <v>200000</v>
      </c>
      <c r="BF53" s="20"/>
      <c r="BG53" s="20"/>
      <c r="BH53" s="20"/>
      <c r="BI53" s="20"/>
      <c r="BJ53" s="21">
        <f t="shared" si="129"/>
        <v>300000</v>
      </c>
      <c r="BK53" s="4">
        <f t="shared" si="130"/>
        <v>195000</v>
      </c>
      <c r="BL53" s="4">
        <f t="shared" si="130"/>
        <v>1484800</v>
      </c>
      <c r="BM53" s="4">
        <f t="shared" si="130"/>
        <v>766750</v>
      </c>
      <c r="BN53" s="4">
        <f t="shared" si="131"/>
        <v>1715000</v>
      </c>
      <c r="BO53" s="94">
        <f t="shared" si="131"/>
        <v>1260000</v>
      </c>
      <c r="BP53" s="94">
        <f t="shared" si="131"/>
        <v>1659120</v>
      </c>
      <c r="BQ53" s="94">
        <f t="shared" si="131"/>
        <v>1602000</v>
      </c>
      <c r="BR53" s="94">
        <f t="shared" si="132"/>
        <v>1716000</v>
      </c>
      <c r="BS53" s="9">
        <f t="shared" si="133"/>
        <v>10398670</v>
      </c>
    </row>
    <row r="54" spans="1:71" s="38" customFormat="1">
      <c r="A54" s="34"/>
      <c r="B54" s="34"/>
      <c r="C54" s="35" t="s">
        <v>136</v>
      </c>
      <c r="D54" s="37"/>
      <c r="E54" s="37"/>
      <c r="F54" s="37">
        <f>SUM(F46:F53)</f>
        <v>620000</v>
      </c>
      <c r="G54" s="37">
        <f t="shared" ref="G54:BS54" si="134">SUM(G46:G53)</f>
        <v>3182000</v>
      </c>
      <c r="H54" s="37">
        <f t="shared" si="134"/>
        <v>1606600</v>
      </c>
      <c r="I54" s="37">
        <f t="shared" si="134"/>
        <v>578000</v>
      </c>
      <c r="J54" s="37">
        <f t="shared" si="134"/>
        <v>213000</v>
      </c>
      <c r="K54" s="37">
        <f t="shared" si="134"/>
        <v>45000</v>
      </c>
      <c r="L54" s="37">
        <f t="shared" si="134"/>
        <v>0</v>
      </c>
      <c r="M54" s="37">
        <f t="shared" ref="M54" si="135">SUM(M46:M53)</f>
        <v>0</v>
      </c>
      <c r="N54" s="37">
        <f t="shared" si="134"/>
        <v>6244600</v>
      </c>
      <c r="O54" s="37">
        <f t="shared" si="134"/>
        <v>0</v>
      </c>
      <c r="P54" s="37">
        <f t="shared" si="134"/>
        <v>0</v>
      </c>
      <c r="Q54" s="37">
        <f t="shared" si="134"/>
        <v>0</v>
      </c>
      <c r="R54" s="37">
        <f t="shared" si="134"/>
        <v>0</v>
      </c>
      <c r="S54" s="37">
        <f t="shared" si="134"/>
        <v>0</v>
      </c>
      <c r="T54" s="37">
        <f t="shared" si="134"/>
        <v>0</v>
      </c>
      <c r="U54" s="37">
        <f t="shared" si="134"/>
        <v>0</v>
      </c>
      <c r="V54" s="37">
        <f t="shared" ref="V54" si="136">SUM(V46:V53)</f>
        <v>0</v>
      </c>
      <c r="W54" s="37">
        <f t="shared" si="134"/>
        <v>0</v>
      </c>
      <c r="X54" s="37">
        <f t="shared" si="134"/>
        <v>290000</v>
      </c>
      <c r="Y54" s="37">
        <f t="shared" si="134"/>
        <v>1267000</v>
      </c>
      <c r="Z54" s="37">
        <f t="shared" si="134"/>
        <v>448000</v>
      </c>
      <c r="AA54" s="37">
        <f t="shared" si="134"/>
        <v>0</v>
      </c>
      <c r="AB54" s="37">
        <f t="shared" si="134"/>
        <v>0</v>
      </c>
      <c r="AC54" s="37">
        <f t="shared" si="134"/>
        <v>2324000</v>
      </c>
      <c r="AD54" s="37">
        <f t="shared" si="134"/>
        <v>2254000</v>
      </c>
      <c r="AE54" s="37">
        <f t="shared" ref="AE54" si="137">SUM(AE46:AE53)</f>
        <v>2520000</v>
      </c>
      <c r="AF54" s="37">
        <f t="shared" si="134"/>
        <v>9103000</v>
      </c>
      <c r="AG54" s="37">
        <f t="shared" si="134"/>
        <v>585000</v>
      </c>
      <c r="AH54" s="37">
        <f t="shared" si="134"/>
        <v>3756250</v>
      </c>
      <c r="AI54" s="37">
        <f t="shared" si="134"/>
        <v>1684600</v>
      </c>
      <c r="AJ54" s="37">
        <f t="shared" si="134"/>
        <v>728000</v>
      </c>
      <c r="AK54" s="37">
        <f t="shared" si="134"/>
        <v>623000</v>
      </c>
      <c r="AL54" s="37">
        <f t="shared" si="134"/>
        <v>676550</v>
      </c>
      <c r="AM54" s="37">
        <f t="shared" si="134"/>
        <v>498500</v>
      </c>
      <c r="AN54" s="37">
        <f t="shared" ref="AN54" si="138">SUM(AN46:AN53)</f>
        <v>819650</v>
      </c>
      <c r="AO54" s="37">
        <f t="shared" si="134"/>
        <v>9371550</v>
      </c>
      <c r="AP54" s="37">
        <f t="shared" si="134"/>
        <v>1925000</v>
      </c>
      <c r="AQ54" s="37">
        <f t="shared" si="134"/>
        <v>2100000</v>
      </c>
      <c r="AR54" s="37">
        <f t="shared" si="134"/>
        <v>3941252</v>
      </c>
      <c r="AS54" s="37">
        <f t="shared" si="134"/>
        <v>4275850</v>
      </c>
      <c r="AT54" s="37">
        <f t="shared" ref="AT54" si="139">SUM(AT46:AT53)</f>
        <v>4758000</v>
      </c>
      <c r="AU54" s="37">
        <f t="shared" si="134"/>
        <v>17000102</v>
      </c>
      <c r="AV54" s="37">
        <f t="shared" si="134"/>
        <v>0</v>
      </c>
      <c r="AW54" s="37">
        <f t="shared" si="134"/>
        <v>0</v>
      </c>
      <c r="AX54" s="37">
        <f t="shared" si="134"/>
        <v>0</v>
      </c>
      <c r="AY54" s="37">
        <f t="shared" si="134"/>
        <v>0</v>
      </c>
      <c r="AZ54" s="37">
        <f t="shared" ref="AZ54" si="140">SUM(AZ46:AZ53)</f>
        <v>0</v>
      </c>
      <c r="BA54" s="37">
        <f t="shared" si="134"/>
        <v>0</v>
      </c>
      <c r="BB54" s="37">
        <f t="shared" si="134"/>
        <v>0</v>
      </c>
      <c r="BC54" s="37">
        <f t="shared" si="134"/>
        <v>100000</v>
      </c>
      <c r="BD54" s="37">
        <f t="shared" si="134"/>
        <v>100000</v>
      </c>
      <c r="BE54" s="37">
        <f t="shared" si="134"/>
        <v>200000</v>
      </c>
      <c r="BF54" s="37">
        <f t="shared" si="134"/>
        <v>0</v>
      </c>
      <c r="BG54" s="37">
        <f t="shared" si="134"/>
        <v>0</v>
      </c>
      <c r="BH54" s="37">
        <f t="shared" si="134"/>
        <v>0</v>
      </c>
      <c r="BI54" s="37">
        <f t="shared" ref="BI54" si="141">SUM(BI46:BI53)</f>
        <v>0</v>
      </c>
      <c r="BJ54" s="37">
        <f t="shared" si="134"/>
        <v>400000</v>
      </c>
      <c r="BK54" s="37">
        <f t="shared" si="134"/>
        <v>1495000</v>
      </c>
      <c r="BL54" s="37">
        <f t="shared" si="134"/>
        <v>8305250</v>
      </c>
      <c r="BM54" s="37">
        <f t="shared" si="134"/>
        <v>3839200</v>
      </c>
      <c r="BN54" s="37">
        <f t="shared" si="134"/>
        <v>3431000</v>
      </c>
      <c r="BO54" s="37">
        <f t="shared" si="134"/>
        <v>2936000</v>
      </c>
      <c r="BP54" s="144">
        <f>SUM(BP46:BP53)</f>
        <v>6986802</v>
      </c>
      <c r="BQ54" s="37">
        <f t="shared" ref="BQ54:BR54" si="142">SUM(BQ46:BQ53)</f>
        <v>7028350</v>
      </c>
      <c r="BR54" s="37">
        <f t="shared" si="142"/>
        <v>8097650</v>
      </c>
      <c r="BS54" s="37">
        <f t="shared" si="134"/>
        <v>42119252</v>
      </c>
    </row>
    <row r="55" spans="1:71">
      <c r="A55" s="185" t="s">
        <v>19</v>
      </c>
      <c r="B55" s="8">
        <v>1</v>
      </c>
      <c r="C55" s="1" t="s">
        <v>137</v>
      </c>
      <c r="D55" s="5" t="s">
        <v>409</v>
      </c>
      <c r="E55" s="4" t="s">
        <v>19</v>
      </c>
      <c r="F55" s="4"/>
      <c r="G55" s="4"/>
      <c r="H55" s="5"/>
      <c r="I55" s="4"/>
      <c r="J55" s="4"/>
      <c r="K55" s="4"/>
      <c r="L55" s="4"/>
      <c r="M55" s="4"/>
      <c r="N55" s="9">
        <f t="shared" ref="N55:N62" si="143">SUM(F55:M55)</f>
        <v>0</v>
      </c>
      <c r="O55" s="4"/>
      <c r="P55" s="4"/>
      <c r="Q55" s="4"/>
      <c r="R55" s="4"/>
      <c r="S55" s="4"/>
      <c r="T55" s="4"/>
      <c r="U55" s="4"/>
      <c r="V55" s="4"/>
      <c r="W55" s="9">
        <f t="shared" si="25"/>
        <v>0</v>
      </c>
      <c r="X55" s="20"/>
      <c r="Y55" s="20"/>
      <c r="Z55" s="20"/>
      <c r="AA55" s="20"/>
      <c r="AB55" s="20"/>
      <c r="AC55" s="20"/>
      <c r="AD55" s="20"/>
      <c r="AE55" s="20"/>
      <c r="AF55" s="9">
        <f t="shared" ref="AF55:AF62" si="144">SUM(X55:AE55)</f>
        <v>0</v>
      </c>
      <c r="AG55" s="20"/>
      <c r="AH55" s="25">
        <v>992250</v>
      </c>
      <c r="AI55" s="25">
        <f>546900+180000</f>
        <v>726900</v>
      </c>
      <c r="AJ55" s="24">
        <v>760000</v>
      </c>
      <c r="AK55" s="20">
        <f>140000+210000+420000+70000</f>
        <v>840000</v>
      </c>
      <c r="AL55" s="20">
        <v>1340520</v>
      </c>
      <c r="AM55" s="20">
        <v>1499800</v>
      </c>
      <c r="AN55" s="20">
        <v>1353150</v>
      </c>
      <c r="AO55" s="21">
        <f t="shared" ref="AO55:AO62" si="145">SUM(AG55:AN55)</f>
        <v>7512620</v>
      </c>
      <c r="AP55" s="25"/>
      <c r="AQ55" s="20"/>
      <c r="AR55" s="20"/>
      <c r="AS55" s="20"/>
      <c r="AT55" s="20"/>
      <c r="AU55" s="21">
        <f t="shared" ref="AU55:AU62" si="146">SUM(AP55:AT55)</f>
        <v>0</v>
      </c>
      <c r="AV55" s="25"/>
      <c r="AW55" s="20"/>
      <c r="AX55" s="20"/>
      <c r="AY55" s="20"/>
      <c r="AZ55" s="20"/>
      <c r="BA55" s="21">
        <f t="shared" ref="BA55:BA62" si="147">SUM(AV55:AZ55)</f>
        <v>0</v>
      </c>
      <c r="BB55" s="25"/>
      <c r="BC55" s="25">
        <v>100000</v>
      </c>
      <c r="BD55" s="25">
        <v>540000</v>
      </c>
      <c r="BE55" s="25"/>
      <c r="BF55" s="20"/>
      <c r="BG55" s="20"/>
      <c r="BH55" s="20"/>
      <c r="BI55" s="20"/>
      <c r="BJ55" s="21">
        <f t="shared" ref="BJ55:BJ62" si="148">SUM(BB55:BI55)</f>
        <v>640000</v>
      </c>
      <c r="BK55" s="4">
        <f t="shared" ref="BK55:BM62" si="149">F55+O55+X55+AG55+BB55</f>
        <v>0</v>
      </c>
      <c r="BL55" s="4">
        <f t="shared" si="149"/>
        <v>1092250</v>
      </c>
      <c r="BM55" s="4">
        <f t="shared" si="149"/>
        <v>1266900</v>
      </c>
      <c r="BN55" s="4">
        <f t="shared" ref="BN55:BQ62" si="150">I55+R55+AA55+AJ55+AP55+AV55+BE55</f>
        <v>760000</v>
      </c>
      <c r="BO55" s="94">
        <f t="shared" si="150"/>
        <v>840000</v>
      </c>
      <c r="BP55" s="94">
        <f t="shared" si="150"/>
        <v>1340520</v>
      </c>
      <c r="BQ55" s="94">
        <f t="shared" si="150"/>
        <v>1499800</v>
      </c>
      <c r="BR55" s="94">
        <f t="shared" ref="BR55:BR62" si="151">M55+V55+AE55+AN55+AT55+AZ55+BI55</f>
        <v>1353150</v>
      </c>
      <c r="BS55" s="9">
        <f t="shared" ref="BS55:BS62" si="152">SUM(BK55:BR55)</f>
        <v>8152620</v>
      </c>
    </row>
    <row r="56" spans="1:71">
      <c r="A56" s="186"/>
      <c r="B56" s="8">
        <v>2</v>
      </c>
      <c r="C56" s="1" t="s">
        <v>394</v>
      </c>
      <c r="D56" s="12" t="s">
        <v>395</v>
      </c>
      <c r="E56" s="4" t="s">
        <v>19</v>
      </c>
      <c r="F56" s="4"/>
      <c r="G56" s="4"/>
      <c r="H56" s="5"/>
      <c r="I56" s="4"/>
      <c r="J56" s="4"/>
      <c r="K56" s="4"/>
      <c r="L56" s="4"/>
      <c r="M56" s="4"/>
      <c r="N56" s="9">
        <f t="shared" si="143"/>
        <v>0</v>
      </c>
      <c r="O56" s="4"/>
      <c r="P56" s="4"/>
      <c r="Q56" s="4"/>
      <c r="R56" s="4"/>
      <c r="S56" s="4"/>
      <c r="T56" s="4"/>
      <c r="U56" s="4"/>
      <c r="V56" s="4"/>
      <c r="W56" s="9">
        <f t="shared" si="25"/>
        <v>0</v>
      </c>
      <c r="X56" s="20"/>
      <c r="Y56" s="20"/>
      <c r="Z56" s="20"/>
      <c r="AA56" s="20"/>
      <c r="AB56" s="20"/>
      <c r="AC56" s="20"/>
      <c r="AD56" s="20"/>
      <c r="AE56" s="20"/>
      <c r="AF56" s="9">
        <f t="shared" si="144"/>
        <v>0</v>
      </c>
      <c r="AG56" s="20"/>
      <c r="AH56" s="25"/>
      <c r="AI56" s="25"/>
      <c r="AJ56" s="24"/>
      <c r="AK56" s="20"/>
      <c r="AL56" s="20"/>
      <c r="AM56" s="20"/>
      <c r="AN56" s="20"/>
      <c r="AO56" s="21">
        <f t="shared" si="145"/>
        <v>0</v>
      </c>
      <c r="AP56" s="25"/>
      <c r="AQ56" s="20"/>
      <c r="AR56" s="20"/>
      <c r="AS56" s="20"/>
      <c r="AT56" s="20"/>
      <c r="AU56" s="21">
        <f t="shared" si="146"/>
        <v>0</v>
      </c>
      <c r="AV56" s="25"/>
      <c r="AW56" s="20"/>
      <c r="AX56" s="20"/>
      <c r="AY56" s="20"/>
      <c r="AZ56" s="20"/>
      <c r="BA56" s="21">
        <f t="shared" si="147"/>
        <v>0</v>
      </c>
      <c r="BB56" s="25"/>
      <c r="BC56" s="25">
        <v>100000</v>
      </c>
      <c r="BD56" s="25">
        <v>-100000</v>
      </c>
      <c r="BE56" s="25"/>
      <c r="BF56" s="20"/>
      <c r="BG56" s="20"/>
      <c r="BH56" s="20"/>
      <c r="BI56" s="20"/>
      <c r="BJ56" s="21">
        <f t="shared" si="148"/>
        <v>0</v>
      </c>
      <c r="BK56" s="4">
        <f t="shared" si="149"/>
        <v>0</v>
      </c>
      <c r="BL56" s="4">
        <f t="shared" si="149"/>
        <v>100000</v>
      </c>
      <c r="BM56" s="4">
        <f t="shared" si="149"/>
        <v>-100000</v>
      </c>
      <c r="BN56" s="4">
        <f t="shared" si="150"/>
        <v>0</v>
      </c>
      <c r="BO56" s="94">
        <f t="shared" si="150"/>
        <v>0</v>
      </c>
      <c r="BP56" s="94">
        <f t="shared" si="150"/>
        <v>0</v>
      </c>
      <c r="BQ56" s="94">
        <f t="shared" si="150"/>
        <v>0</v>
      </c>
      <c r="BR56" s="94">
        <f t="shared" si="151"/>
        <v>0</v>
      </c>
      <c r="BS56" s="9">
        <f t="shared" si="152"/>
        <v>0</v>
      </c>
    </row>
    <row r="57" spans="1:71">
      <c r="A57" s="186"/>
      <c r="B57" s="8">
        <v>3</v>
      </c>
      <c r="C57" s="1" t="s">
        <v>59</v>
      </c>
      <c r="D57" s="12" t="s">
        <v>27</v>
      </c>
      <c r="E57" s="4" t="s">
        <v>19</v>
      </c>
      <c r="F57" s="4"/>
      <c r="G57" s="4"/>
      <c r="H57" s="4"/>
      <c r="I57" s="4"/>
      <c r="J57" s="4"/>
      <c r="K57" s="4"/>
      <c r="L57" s="4"/>
      <c r="M57" s="4"/>
      <c r="N57" s="9">
        <f t="shared" si="143"/>
        <v>0</v>
      </c>
      <c r="O57" s="4"/>
      <c r="P57" s="4"/>
      <c r="Q57" s="4"/>
      <c r="R57" s="4"/>
      <c r="S57" s="4"/>
      <c r="T57" s="4"/>
      <c r="U57" s="4"/>
      <c r="V57" s="4"/>
      <c r="W57" s="9">
        <f t="shared" si="25"/>
        <v>0</v>
      </c>
      <c r="X57" s="20"/>
      <c r="Y57" s="20"/>
      <c r="Z57" s="20"/>
      <c r="AA57" s="20"/>
      <c r="AB57" s="20"/>
      <c r="AC57" s="20"/>
      <c r="AD57" s="20"/>
      <c r="AE57" s="20"/>
      <c r="AF57" s="9">
        <f t="shared" si="144"/>
        <v>0</v>
      </c>
      <c r="AG57" s="20"/>
      <c r="AH57" s="25">
        <v>195000</v>
      </c>
      <c r="AI57" s="20">
        <v>36000</v>
      </c>
      <c r="AJ57" s="20">
        <v>30000</v>
      </c>
      <c r="AK57" s="20"/>
      <c r="AL57" s="20"/>
      <c r="AM57" s="20"/>
      <c r="AN57" s="20"/>
      <c r="AO57" s="21">
        <f t="shared" si="145"/>
        <v>261000</v>
      </c>
      <c r="AP57" s="25"/>
      <c r="AQ57" s="20"/>
      <c r="AR57" s="20"/>
      <c r="AS57" s="20"/>
      <c r="AT57" s="20"/>
      <c r="AU57" s="21">
        <f t="shared" si="146"/>
        <v>0</v>
      </c>
      <c r="AV57" s="25"/>
      <c r="AW57" s="20"/>
      <c r="AX57" s="20"/>
      <c r="AY57" s="20"/>
      <c r="AZ57" s="20"/>
      <c r="BA57" s="21">
        <f t="shared" si="147"/>
        <v>0</v>
      </c>
      <c r="BB57" s="25"/>
      <c r="BC57" s="25">
        <v>100000</v>
      </c>
      <c r="BD57" s="25"/>
      <c r="BE57" s="25"/>
      <c r="BF57" s="20"/>
      <c r="BG57" s="20"/>
      <c r="BH57" s="20"/>
      <c r="BI57" s="20"/>
      <c r="BJ57" s="21">
        <f t="shared" si="148"/>
        <v>100000</v>
      </c>
      <c r="BK57" s="4">
        <f t="shared" si="149"/>
        <v>0</v>
      </c>
      <c r="BL57" s="4">
        <f t="shared" si="149"/>
        <v>295000</v>
      </c>
      <c r="BM57" s="4">
        <f t="shared" si="149"/>
        <v>36000</v>
      </c>
      <c r="BN57" s="4">
        <f t="shared" si="150"/>
        <v>30000</v>
      </c>
      <c r="BO57" s="94">
        <f t="shared" si="150"/>
        <v>0</v>
      </c>
      <c r="BP57" s="94">
        <f t="shared" si="150"/>
        <v>0</v>
      </c>
      <c r="BQ57" s="94">
        <f t="shared" si="150"/>
        <v>0</v>
      </c>
      <c r="BR57" s="94">
        <f t="shared" si="151"/>
        <v>0</v>
      </c>
      <c r="BS57" s="9">
        <f t="shared" si="152"/>
        <v>361000</v>
      </c>
    </row>
    <row r="58" spans="1:71">
      <c r="A58" s="186"/>
      <c r="B58" s="8">
        <v>4</v>
      </c>
      <c r="C58" s="1" t="s">
        <v>138</v>
      </c>
      <c r="D58" s="12" t="s">
        <v>139</v>
      </c>
      <c r="E58" s="4" t="s">
        <v>19</v>
      </c>
      <c r="F58" s="4">
        <v>155000</v>
      </c>
      <c r="G58" s="4"/>
      <c r="H58" s="4">
        <f>323000+565000</f>
        <v>888000</v>
      </c>
      <c r="I58" s="4"/>
      <c r="J58" s="4"/>
      <c r="K58" s="4"/>
      <c r="L58" s="4"/>
      <c r="M58" s="4"/>
      <c r="N58" s="9">
        <f t="shared" si="143"/>
        <v>1043000</v>
      </c>
      <c r="O58" s="76">
        <v>290000</v>
      </c>
      <c r="P58" s="76">
        <v>700000</v>
      </c>
      <c r="Q58" s="76">
        <v>1890000</v>
      </c>
      <c r="R58" s="76"/>
      <c r="S58" s="4"/>
      <c r="T58" s="4"/>
      <c r="U58" s="4"/>
      <c r="V58" s="4"/>
      <c r="W58" s="9">
        <f t="shared" si="25"/>
        <v>2880000</v>
      </c>
      <c r="X58" s="20">
        <v>290000</v>
      </c>
      <c r="Y58" s="22">
        <v>336000</v>
      </c>
      <c r="Z58" s="4">
        <v>2310000</v>
      </c>
      <c r="AA58" s="22"/>
      <c r="AB58" s="22"/>
      <c r="AC58" s="22"/>
      <c r="AD58" s="22"/>
      <c r="AE58" s="22"/>
      <c r="AF58" s="9">
        <f t="shared" si="144"/>
        <v>2936000</v>
      </c>
      <c r="AG58" s="20">
        <v>195000</v>
      </c>
      <c r="AH58" s="25">
        <v>1508350</v>
      </c>
      <c r="AI58" s="25">
        <v>436500</v>
      </c>
      <c r="AJ58" s="24"/>
      <c r="AK58" s="20"/>
      <c r="AL58" s="20"/>
      <c r="AM58" s="20"/>
      <c r="AN58" s="20"/>
      <c r="AO58" s="21">
        <f t="shared" si="145"/>
        <v>2139850</v>
      </c>
      <c r="AP58" s="25"/>
      <c r="AQ58" s="20"/>
      <c r="AR58" s="20"/>
      <c r="AS58" s="20"/>
      <c r="AT58" s="20"/>
      <c r="AU58" s="21">
        <f t="shared" si="146"/>
        <v>0</v>
      </c>
      <c r="AV58" s="25"/>
      <c r="AW58" s="20"/>
      <c r="AX58" s="20"/>
      <c r="AY58" s="20"/>
      <c r="AZ58" s="20"/>
      <c r="BA58" s="21">
        <f t="shared" si="147"/>
        <v>0</v>
      </c>
      <c r="BB58" s="25"/>
      <c r="BC58" s="24">
        <v>100000</v>
      </c>
      <c r="BD58" s="25"/>
      <c r="BE58" s="25"/>
      <c r="BF58" s="20"/>
      <c r="BG58" s="20"/>
      <c r="BH58" s="20"/>
      <c r="BI58" s="20"/>
      <c r="BJ58" s="21">
        <f t="shared" si="148"/>
        <v>100000</v>
      </c>
      <c r="BK58" s="4">
        <f t="shared" si="149"/>
        <v>930000</v>
      </c>
      <c r="BL58" s="4">
        <f t="shared" si="149"/>
        <v>2644350</v>
      </c>
      <c r="BM58" s="4">
        <f t="shared" si="149"/>
        <v>5524500</v>
      </c>
      <c r="BN58" s="4">
        <f t="shared" si="150"/>
        <v>0</v>
      </c>
      <c r="BO58" s="94">
        <f t="shared" si="150"/>
        <v>0</v>
      </c>
      <c r="BP58" s="94">
        <f t="shared" si="150"/>
        <v>0</v>
      </c>
      <c r="BQ58" s="94">
        <f t="shared" si="150"/>
        <v>0</v>
      </c>
      <c r="BR58" s="94">
        <f t="shared" si="151"/>
        <v>0</v>
      </c>
      <c r="BS58" s="9">
        <f t="shared" si="152"/>
        <v>9098850</v>
      </c>
    </row>
    <row r="59" spans="1:71">
      <c r="A59" s="186"/>
      <c r="B59" s="8">
        <v>5</v>
      </c>
      <c r="C59" s="1" t="s">
        <v>140</v>
      </c>
      <c r="D59" s="12" t="s">
        <v>141</v>
      </c>
      <c r="E59" s="4" t="s">
        <v>19</v>
      </c>
      <c r="F59" s="4"/>
      <c r="G59" s="4">
        <v>200000</v>
      </c>
      <c r="H59" s="4">
        <f>5500+11000</f>
        <v>16500</v>
      </c>
      <c r="I59" s="4"/>
      <c r="J59" s="4"/>
      <c r="K59" s="4"/>
      <c r="L59" s="4"/>
      <c r="M59" s="4"/>
      <c r="N59" s="9">
        <f t="shared" si="143"/>
        <v>216500</v>
      </c>
      <c r="O59" s="4"/>
      <c r="P59" s="4"/>
      <c r="Q59" s="4"/>
      <c r="R59" s="4"/>
      <c r="S59" s="4"/>
      <c r="T59" s="4"/>
      <c r="U59" s="4"/>
      <c r="V59" s="4"/>
      <c r="W59" s="9">
        <f t="shared" si="25"/>
        <v>0</v>
      </c>
      <c r="X59" s="20"/>
      <c r="Y59" s="20"/>
      <c r="Z59" s="4"/>
      <c r="AA59" s="20"/>
      <c r="AB59" s="20"/>
      <c r="AC59" s="20"/>
      <c r="AD59" s="20"/>
      <c r="AE59" s="20"/>
      <c r="AF59" s="9">
        <f t="shared" si="144"/>
        <v>0</v>
      </c>
      <c r="AG59" s="20"/>
      <c r="AH59" s="25">
        <v>410250</v>
      </c>
      <c r="AI59" s="25">
        <v>95900</v>
      </c>
      <c r="AJ59" s="24">
        <v>76000</v>
      </c>
      <c r="AK59" s="20"/>
      <c r="AL59" s="20"/>
      <c r="AM59" s="20"/>
      <c r="AN59" s="20"/>
      <c r="AO59" s="21">
        <f t="shared" si="145"/>
        <v>582150</v>
      </c>
      <c r="AP59" s="25"/>
      <c r="AQ59" s="20"/>
      <c r="AR59" s="20"/>
      <c r="AS59" s="20"/>
      <c r="AT59" s="20"/>
      <c r="AU59" s="21">
        <f t="shared" si="146"/>
        <v>0</v>
      </c>
      <c r="AV59" s="25"/>
      <c r="AW59" s="20"/>
      <c r="AX59" s="20"/>
      <c r="AY59" s="20"/>
      <c r="AZ59" s="20"/>
      <c r="BA59" s="21">
        <f t="shared" si="147"/>
        <v>0</v>
      </c>
      <c r="BB59" s="25"/>
      <c r="BC59" s="24">
        <v>100000</v>
      </c>
      <c r="BD59" s="25">
        <v>230000</v>
      </c>
      <c r="BE59" s="25"/>
      <c r="BF59" s="20"/>
      <c r="BG59" s="20"/>
      <c r="BH59" s="20"/>
      <c r="BI59" s="20"/>
      <c r="BJ59" s="21">
        <f t="shared" si="148"/>
        <v>330000</v>
      </c>
      <c r="BK59" s="4">
        <f t="shared" si="149"/>
        <v>0</v>
      </c>
      <c r="BL59" s="4">
        <f t="shared" si="149"/>
        <v>710250</v>
      </c>
      <c r="BM59" s="4">
        <f t="shared" si="149"/>
        <v>342400</v>
      </c>
      <c r="BN59" s="4">
        <f t="shared" si="150"/>
        <v>76000</v>
      </c>
      <c r="BO59" s="94">
        <f t="shared" si="150"/>
        <v>0</v>
      </c>
      <c r="BP59" s="94">
        <f t="shared" si="150"/>
        <v>0</v>
      </c>
      <c r="BQ59" s="94">
        <f t="shared" si="150"/>
        <v>0</v>
      </c>
      <c r="BR59" s="94">
        <f t="shared" si="151"/>
        <v>0</v>
      </c>
      <c r="BS59" s="9">
        <f t="shared" si="152"/>
        <v>1128650</v>
      </c>
    </row>
    <row r="60" spans="1:71">
      <c r="A60" s="186"/>
      <c r="B60" s="8">
        <v>6</v>
      </c>
      <c r="C60" s="1" t="s">
        <v>142</v>
      </c>
      <c r="D60" s="5" t="s">
        <v>410</v>
      </c>
      <c r="E60" s="4" t="s">
        <v>19</v>
      </c>
      <c r="F60" s="4"/>
      <c r="G60" s="4"/>
      <c r="H60" s="4"/>
      <c r="I60" s="4"/>
      <c r="J60" s="4"/>
      <c r="K60" s="4"/>
      <c r="L60" s="4"/>
      <c r="M60" s="4"/>
      <c r="N60" s="9">
        <f t="shared" si="143"/>
        <v>0</v>
      </c>
      <c r="O60" s="4"/>
      <c r="P60" s="4"/>
      <c r="Q60" s="4"/>
      <c r="R60" s="4"/>
      <c r="S60" s="4"/>
      <c r="T60" s="4"/>
      <c r="U60" s="4"/>
      <c r="V60" s="4"/>
      <c r="W60" s="9">
        <f t="shared" si="25"/>
        <v>0</v>
      </c>
      <c r="X60" s="20"/>
      <c r="Y60" s="20"/>
      <c r="Z60" s="4"/>
      <c r="AA60" s="20"/>
      <c r="AB60" s="20"/>
      <c r="AC60" s="20"/>
      <c r="AD60" s="20"/>
      <c r="AE60" s="20"/>
      <c r="AF60" s="9">
        <f t="shared" si="144"/>
        <v>0</v>
      </c>
      <c r="AG60" s="20"/>
      <c r="AH60" s="25">
        <v>592700</v>
      </c>
      <c r="AI60" s="25">
        <v>254000</v>
      </c>
      <c r="AJ60" s="24">
        <v>1010000</v>
      </c>
      <c r="AK60" s="20">
        <f>70000+210000+210000+210000+140000</f>
        <v>840000</v>
      </c>
      <c r="AL60" s="20">
        <v>988000</v>
      </c>
      <c r="AM60" s="20">
        <v>1929600</v>
      </c>
      <c r="AN60" s="20">
        <v>1387100</v>
      </c>
      <c r="AO60" s="21">
        <f t="shared" si="145"/>
        <v>7001400</v>
      </c>
      <c r="AP60" s="25"/>
      <c r="AQ60" s="20"/>
      <c r="AR60" s="20"/>
      <c r="AS60" s="20"/>
      <c r="AT60" s="20"/>
      <c r="AU60" s="21">
        <f t="shared" si="146"/>
        <v>0</v>
      </c>
      <c r="AV60" s="25"/>
      <c r="AW60" s="20"/>
      <c r="AX60" s="20"/>
      <c r="AY60" s="20"/>
      <c r="AZ60" s="20"/>
      <c r="BA60" s="21">
        <f t="shared" si="147"/>
        <v>0</v>
      </c>
      <c r="BB60" s="25"/>
      <c r="BC60" s="24"/>
      <c r="BD60" s="25"/>
      <c r="BE60" s="25"/>
      <c r="BF60" s="20"/>
      <c r="BG60" s="20"/>
      <c r="BH60" s="20"/>
      <c r="BI60" s="20"/>
      <c r="BJ60" s="21">
        <f t="shared" si="148"/>
        <v>0</v>
      </c>
      <c r="BK60" s="4">
        <f t="shared" si="149"/>
        <v>0</v>
      </c>
      <c r="BL60" s="4">
        <f t="shared" si="149"/>
        <v>592700</v>
      </c>
      <c r="BM60" s="4">
        <f t="shared" si="149"/>
        <v>254000</v>
      </c>
      <c r="BN60" s="4">
        <f t="shared" si="150"/>
        <v>1010000</v>
      </c>
      <c r="BO60" s="94">
        <f t="shared" si="150"/>
        <v>840000</v>
      </c>
      <c r="BP60" s="94">
        <f t="shared" si="150"/>
        <v>988000</v>
      </c>
      <c r="BQ60" s="94">
        <f t="shared" si="150"/>
        <v>1929600</v>
      </c>
      <c r="BR60" s="94">
        <f t="shared" si="151"/>
        <v>1387100</v>
      </c>
      <c r="BS60" s="9">
        <f t="shared" si="152"/>
        <v>7001400</v>
      </c>
    </row>
    <row r="61" spans="1:71">
      <c r="A61" s="186"/>
      <c r="B61" s="8">
        <v>7</v>
      </c>
      <c r="C61" s="1" t="s">
        <v>143</v>
      </c>
      <c r="D61" s="12" t="s">
        <v>144</v>
      </c>
      <c r="E61" s="4" t="s">
        <v>19</v>
      </c>
      <c r="F61" s="4"/>
      <c r="G61" s="4">
        <v>155000</v>
      </c>
      <c r="H61" s="4"/>
      <c r="I61" s="4">
        <v>705500</v>
      </c>
      <c r="J61" s="4">
        <f>73500+35000+101500+94500+94500+63000</f>
        <v>462000</v>
      </c>
      <c r="K61" s="4">
        <f>595500+150500+75000</f>
        <v>821000</v>
      </c>
      <c r="L61" s="4">
        <v>831260</v>
      </c>
      <c r="M61" s="4">
        <v>550000</v>
      </c>
      <c r="N61" s="9">
        <f t="shared" si="143"/>
        <v>3524760</v>
      </c>
      <c r="O61" s="4"/>
      <c r="P61" s="4"/>
      <c r="Q61" s="4"/>
      <c r="R61" s="4"/>
      <c r="S61" s="4"/>
      <c r="T61" s="4"/>
      <c r="U61" s="4"/>
      <c r="V61" s="4"/>
      <c r="W61" s="9">
        <f t="shared" si="25"/>
        <v>0</v>
      </c>
      <c r="X61" s="20"/>
      <c r="Y61" s="20"/>
      <c r="Z61" s="4"/>
      <c r="AA61" s="20"/>
      <c r="AB61" s="20"/>
      <c r="AC61" s="20"/>
      <c r="AD61" s="20"/>
      <c r="AE61" s="20"/>
      <c r="AF61" s="9">
        <f t="shared" si="144"/>
        <v>0</v>
      </c>
      <c r="AG61" s="20"/>
      <c r="AH61" s="20"/>
      <c r="AI61" s="20"/>
      <c r="AJ61" s="20"/>
      <c r="AK61" s="20"/>
      <c r="AL61" s="20"/>
      <c r="AM61" s="20"/>
      <c r="AN61" s="20"/>
      <c r="AO61" s="21">
        <f t="shared" si="145"/>
        <v>0</v>
      </c>
      <c r="AP61" s="25"/>
      <c r="AQ61" s="20"/>
      <c r="AR61" s="20"/>
      <c r="AS61" s="20"/>
      <c r="AT61" s="20"/>
      <c r="AU61" s="21">
        <f t="shared" si="146"/>
        <v>0</v>
      </c>
      <c r="AV61" s="25"/>
      <c r="AW61" s="20"/>
      <c r="AX61" s="20"/>
      <c r="AY61" s="20"/>
      <c r="AZ61" s="20"/>
      <c r="BA61" s="21">
        <f t="shared" si="147"/>
        <v>0</v>
      </c>
      <c r="BB61" s="25"/>
      <c r="BC61" s="24"/>
      <c r="BD61" s="25">
        <v>348400</v>
      </c>
      <c r="BE61" s="25"/>
      <c r="BF61" s="20"/>
      <c r="BG61" s="20"/>
      <c r="BH61" s="20"/>
      <c r="BI61" s="20"/>
      <c r="BJ61" s="21">
        <f t="shared" si="148"/>
        <v>348400</v>
      </c>
      <c r="BK61" s="4">
        <f t="shared" si="149"/>
        <v>0</v>
      </c>
      <c r="BL61" s="4">
        <f t="shared" si="149"/>
        <v>155000</v>
      </c>
      <c r="BM61" s="4">
        <f t="shared" si="149"/>
        <v>348400</v>
      </c>
      <c r="BN61" s="4">
        <f t="shared" si="150"/>
        <v>705500</v>
      </c>
      <c r="BO61" s="94">
        <f t="shared" si="150"/>
        <v>462000</v>
      </c>
      <c r="BP61" s="94">
        <f t="shared" si="150"/>
        <v>821000</v>
      </c>
      <c r="BQ61" s="94">
        <f t="shared" si="150"/>
        <v>831260</v>
      </c>
      <c r="BR61" s="94">
        <f t="shared" si="151"/>
        <v>550000</v>
      </c>
      <c r="BS61" s="9">
        <f t="shared" si="152"/>
        <v>3873160</v>
      </c>
    </row>
    <row r="62" spans="1:71" ht="47.25">
      <c r="A62" s="187"/>
      <c r="B62" s="8">
        <v>8</v>
      </c>
      <c r="C62" s="1" t="s">
        <v>145</v>
      </c>
      <c r="D62" s="12" t="s">
        <v>146</v>
      </c>
      <c r="E62" s="4" t="s">
        <v>19</v>
      </c>
      <c r="F62" s="4"/>
      <c r="G62" s="4"/>
      <c r="H62" s="4">
        <v>155000</v>
      </c>
      <c r="I62" s="4"/>
      <c r="J62" s="4"/>
      <c r="K62" s="4"/>
      <c r="L62" s="4"/>
      <c r="M62" s="4"/>
      <c r="N62" s="9">
        <f t="shared" si="143"/>
        <v>155000</v>
      </c>
      <c r="O62" s="4"/>
      <c r="P62" s="4"/>
      <c r="Q62" s="4"/>
      <c r="R62" s="4"/>
      <c r="S62" s="4"/>
      <c r="T62" s="4"/>
      <c r="U62" s="4"/>
      <c r="V62" s="4"/>
      <c r="W62" s="9">
        <f t="shared" si="25"/>
        <v>0</v>
      </c>
      <c r="X62" s="20"/>
      <c r="Y62" s="20"/>
      <c r="Z62" s="4">
        <v>290000</v>
      </c>
      <c r="AA62" s="23"/>
      <c r="AB62" s="23"/>
      <c r="AC62" s="23"/>
      <c r="AD62" s="23"/>
      <c r="AE62" s="23"/>
      <c r="AF62" s="9">
        <f t="shared" si="144"/>
        <v>290000</v>
      </c>
      <c r="AG62" s="20"/>
      <c r="AH62" s="25">
        <v>386400</v>
      </c>
      <c r="AI62" s="25">
        <v>67900</v>
      </c>
      <c r="AJ62" s="25"/>
      <c r="AK62" s="20"/>
      <c r="AL62" s="20"/>
      <c r="AM62" s="20"/>
      <c r="AN62" s="20"/>
      <c r="AO62" s="21">
        <f t="shared" si="145"/>
        <v>454300</v>
      </c>
      <c r="AP62" s="25"/>
      <c r="AQ62" s="20"/>
      <c r="AR62" s="20"/>
      <c r="AS62" s="20"/>
      <c r="AT62" s="20"/>
      <c r="AU62" s="21">
        <f t="shared" si="146"/>
        <v>0</v>
      </c>
      <c r="AV62" s="25"/>
      <c r="AW62" s="20"/>
      <c r="AX62" s="20"/>
      <c r="AY62" s="20"/>
      <c r="AZ62" s="20"/>
      <c r="BA62" s="21">
        <f t="shared" si="147"/>
        <v>0</v>
      </c>
      <c r="BB62" s="25"/>
      <c r="BC62" s="25"/>
      <c r="BD62" s="25"/>
      <c r="BE62" s="25"/>
      <c r="BF62" s="20"/>
      <c r="BG62" s="20"/>
      <c r="BH62" s="20"/>
      <c r="BI62" s="20"/>
      <c r="BJ62" s="21">
        <f t="shared" si="148"/>
        <v>0</v>
      </c>
      <c r="BK62" s="4">
        <f t="shared" si="149"/>
        <v>0</v>
      </c>
      <c r="BL62" s="4">
        <f t="shared" si="149"/>
        <v>386400</v>
      </c>
      <c r="BM62" s="4">
        <f t="shared" si="149"/>
        <v>512900</v>
      </c>
      <c r="BN62" s="4">
        <f t="shared" si="150"/>
        <v>0</v>
      </c>
      <c r="BO62" s="94">
        <f t="shared" si="150"/>
        <v>0</v>
      </c>
      <c r="BP62" s="94">
        <f t="shared" si="150"/>
        <v>0</v>
      </c>
      <c r="BQ62" s="94">
        <f t="shared" si="150"/>
        <v>0</v>
      </c>
      <c r="BR62" s="94">
        <f t="shared" si="151"/>
        <v>0</v>
      </c>
      <c r="BS62" s="9">
        <f t="shared" si="152"/>
        <v>899300</v>
      </c>
    </row>
    <row r="63" spans="1:71" s="38" customFormat="1">
      <c r="A63" s="34"/>
      <c r="B63" s="34"/>
      <c r="C63" s="35" t="s">
        <v>147</v>
      </c>
      <c r="D63" s="37"/>
      <c r="E63" s="37"/>
      <c r="F63" s="37">
        <f>SUM(F55:F62)</f>
        <v>155000</v>
      </c>
      <c r="G63" s="37">
        <f t="shared" ref="G63:BS63" si="153">SUM(G55:G62)</f>
        <v>355000</v>
      </c>
      <c r="H63" s="37">
        <f t="shared" si="153"/>
        <v>1059500</v>
      </c>
      <c r="I63" s="37">
        <f t="shared" si="153"/>
        <v>705500</v>
      </c>
      <c r="J63" s="37">
        <f t="shared" si="153"/>
        <v>462000</v>
      </c>
      <c r="K63" s="37">
        <f t="shared" si="153"/>
        <v>821000</v>
      </c>
      <c r="L63" s="37">
        <f t="shared" si="153"/>
        <v>831260</v>
      </c>
      <c r="M63" s="37">
        <f t="shared" ref="M63" si="154">SUM(M55:M62)</f>
        <v>550000</v>
      </c>
      <c r="N63" s="37">
        <f t="shared" si="153"/>
        <v>4939260</v>
      </c>
      <c r="O63" s="37">
        <f t="shared" si="153"/>
        <v>290000</v>
      </c>
      <c r="P63" s="37">
        <f t="shared" si="153"/>
        <v>700000</v>
      </c>
      <c r="Q63" s="37">
        <f t="shared" si="153"/>
        <v>1890000</v>
      </c>
      <c r="R63" s="37">
        <f t="shared" si="153"/>
        <v>0</v>
      </c>
      <c r="S63" s="37">
        <f t="shared" si="153"/>
        <v>0</v>
      </c>
      <c r="T63" s="37">
        <f t="shared" si="153"/>
        <v>0</v>
      </c>
      <c r="U63" s="37">
        <f t="shared" si="153"/>
        <v>0</v>
      </c>
      <c r="V63" s="37">
        <f t="shared" ref="V63" si="155">SUM(V55:V62)</f>
        <v>0</v>
      </c>
      <c r="W63" s="37">
        <f t="shared" si="153"/>
        <v>2880000</v>
      </c>
      <c r="X63" s="37">
        <f t="shared" si="153"/>
        <v>290000</v>
      </c>
      <c r="Y63" s="37">
        <f t="shared" si="153"/>
        <v>336000</v>
      </c>
      <c r="Z63" s="37">
        <f t="shared" si="153"/>
        <v>2600000</v>
      </c>
      <c r="AA63" s="37">
        <f t="shared" si="153"/>
        <v>0</v>
      </c>
      <c r="AB63" s="37">
        <f t="shared" si="153"/>
        <v>0</v>
      </c>
      <c r="AC63" s="37">
        <f t="shared" si="153"/>
        <v>0</v>
      </c>
      <c r="AD63" s="37">
        <f t="shared" si="153"/>
        <v>0</v>
      </c>
      <c r="AE63" s="37">
        <f t="shared" ref="AE63" si="156">SUM(AE55:AE62)</f>
        <v>0</v>
      </c>
      <c r="AF63" s="37">
        <f t="shared" si="153"/>
        <v>3226000</v>
      </c>
      <c r="AG63" s="37">
        <f t="shared" si="153"/>
        <v>195000</v>
      </c>
      <c r="AH63" s="37">
        <f t="shared" si="153"/>
        <v>4084950</v>
      </c>
      <c r="AI63" s="37">
        <f t="shared" si="153"/>
        <v>1617200</v>
      </c>
      <c r="AJ63" s="37">
        <f t="shared" si="153"/>
        <v>1876000</v>
      </c>
      <c r="AK63" s="37">
        <f t="shared" si="153"/>
        <v>1680000</v>
      </c>
      <c r="AL63" s="37">
        <f t="shared" si="153"/>
        <v>2328520</v>
      </c>
      <c r="AM63" s="37">
        <f t="shared" si="153"/>
        <v>3429400</v>
      </c>
      <c r="AN63" s="37">
        <f t="shared" ref="AN63" si="157">SUM(AN55:AN62)</f>
        <v>2740250</v>
      </c>
      <c r="AO63" s="37">
        <f t="shared" si="153"/>
        <v>17951320</v>
      </c>
      <c r="AP63" s="37">
        <f t="shared" si="153"/>
        <v>0</v>
      </c>
      <c r="AQ63" s="37">
        <f t="shared" si="153"/>
        <v>0</v>
      </c>
      <c r="AR63" s="37">
        <f t="shared" si="153"/>
        <v>0</v>
      </c>
      <c r="AS63" s="37">
        <f t="shared" si="153"/>
        <v>0</v>
      </c>
      <c r="AT63" s="37">
        <f t="shared" ref="AT63" si="158">SUM(AT55:AT62)</f>
        <v>0</v>
      </c>
      <c r="AU63" s="37">
        <f t="shared" si="153"/>
        <v>0</v>
      </c>
      <c r="AV63" s="37">
        <f t="shared" si="153"/>
        <v>0</v>
      </c>
      <c r="AW63" s="37">
        <f t="shared" si="153"/>
        <v>0</v>
      </c>
      <c r="AX63" s="37">
        <f t="shared" si="153"/>
        <v>0</v>
      </c>
      <c r="AY63" s="37">
        <f t="shared" si="153"/>
        <v>0</v>
      </c>
      <c r="AZ63" s="37">
        <f t="shared" ref="AZ63" si="159">SUM(AZ55:AZ62)</f>
        <v>0</v>
      </c>
      <c r="BA63" s="37">
        <f t="shared" si="153"/>
        <v>0</v>
      </c>
      <c r="BB63" s="37">
        <f t="shared" si="153"/>
        <v>0</v>
      </c>
      <c r="BC63" s="37">
        <f t="shared" si="153"/>
        <v>500000</v>
      </c>
      <c r="BD63" s="37">
        <f t="shared" si="153"/>
        <v>1018400</v>
      </c>
      <c r="BE63" s="37">
        <f t="shared" si="153"/>
        <v>0</v>
      </c>
      <c r="BF63" s="37">
        <f t="shared" si="153"/>
        <v>0</v>
      </c>
      <c r="BG63" s="37">
        <f t="shared" si="153"/>
        <v>0</v>
      </c>
      <c r="BH63" s="37">
        <f t="shared" si="153"/>
        <v>0</v>
      </c>
      <c r="BI63" s="37">
        <f t="shared" ref="BI63" si="160">SUM(BI55:BI62)</f>
        <v>0</v>
      </c>
      <c r="BJ63" s="37">
        <f t="shared" si="153"/>
        <v>1518400</v>
      </c>
      <c r="BK63" s="37">
        <f t="shared" si="153"/>
        <v>930000</v>
      </c>
      <c r="BL63" s="37">
        <f t="shared" si="153"/>
        <v>5975950</v>
      </c>
      <c r="BM63" s="37">
        <f t="shared" si="153"/>
        <v>8185100</v>
      </c>
      <c r="BN63" s="37">
        <f t="shared" si="153"/>
        <v>2581500</v>
      </c>
      <c r="BO63" s="37">
        <f t="shared" si="153"/>
        <v>2142000</v>
      </c>
      <c r="BP63" s="144">
        <f>SUM(BP55:BP62)</f>
        <v>3149520</v>
      </c>
      <c r="BQ63" s="37">
        <f t="shared" ref="BQ63:BR63" si="161">SUM(BQ55:BQ62)</f>
        <v>4260660</v>
      </c>
      <c r="BR63" s="37">
        <f t="shared" si="161"/>
        <v>3290250</v>
      </c>
      <c r="BS63" s="37">
        <f t="shared" si="153"/>
        <v>30514980</v>
      </c>
    </row>
    <row r="64" spans="1:71">
      <c r="A64" s="185" t="s">
        <v>148</v>
      </c>
      <c r="B64" s="8">
        <v>1</v>
      </c>
      <c r="C64" s="1" t="s">
        <v>149</v>
      </c>
      <c r="D64" s="4" t="s">
        <v>150</v>
      </c>
      <c r="E64" s="4" t="s">
        <v>148</v>
      </c>
      <c r="F64" s="4"/>
      <c r="G64" s="4">
        <v>155000</v>
      </c>
      <c r="H64" s="4"/>
      <c r="I64" s="4"/>
      <c r="J64" s="4">
        <v>-155000</v>
      </c>
      <c r="K64" s="4"/>
      <c r="L64" s="4"/>
      <c r="M64" s="4"/>
      <c r="N64" s="9">
        <f t="shared" ref="N64:N67" si="162">SUM(F64:M64)</f>
        <v>0</v>
      </c>
      <c r="O64" s="4"/>
      <c r="P64" s="4"/>
      <c r="Q64" s="4"/>
      <c r="R64" s="4"/>
      <c r="S64" s="4"/>
      <c r="T64" s="4"/>
      <c r="U64" s="4"/>
      <c r="V64" s="4"/>
      <c r="W64" s="9">
        <f t="shared" si="25"/>
        <v>0</v>
      </c>
      <c r="X64" s="20"/>
      <c r="Y64" s="20"/>
      <c r="Z64" s="20"/>
      <c r="AA64" s="20"/>
      <c r="AB64" s="20"/>
      <c r="AC64" s="20"/>
      <c r="AD64" s="20"/>
      <c r="AE64" s="20"/>
      <c r="AF64" s="9">
        <f t="shared" ref="AF64:AF67" si="163">SUM(X64:AE64)</f>
        <v>0</v>
      </c>
      <c r="AG64" s="20"/>
      <c r="AH64" s="20">
        <v>195000</v>
      </c>
      <c r="AI64" s="20"/>
      <c r="AJ64" s="20"/>
      <c r="AK64" s="20">
        <v>-195000</v>
      </c>
      <c r="AL64" s="20"/>
      <c r="AM64" s="20"/>
      <c r="AN64" s="20"/>
      <c r="AO64" s="21">
        <f t="shared" ref="AO64:AO70" si="164">SUM(AG64:AN64)</f>
        <v>0</v>
      </c>
      <c r="AP64" s="25">
        <v>0</v>
      </c>
      <c r="AQ64" s="20"/>
      <c r="AR64" s="20"/>
      <c r="AS64" s="20"/>
      <c r="AT64" s="20"/>
      <c r="AU64" s="21">
        <f t="shared" ref="AU64:AU67" si="165">SUM(AP64:AT64)</f>
        <v>0</v>
      </c>
      <c r="AV64" s="25"/>
      <c r="AW64" s="20"/>
      <c r="AX64" s="20"/>
      <c r="AY64" s="20"/>
      <c r="AZ64" s="20"/>
      <c r="BA64" s="21">
        <f t="shared" ref="BA64:BA67" si="166">SUM(AV64:AZ64)</f>
        <v>0</v>
      </c>
      <c r="BB64" s="25"/>
      <c r="BC64" s="25"/>
      <c r="BD64" s="25"/>
      <c r="BE64" s="25"/>
      <c r="BF64" s="20"/>
      <c r="BG64" s="20"/>
      <c r="BH64" s="20"/>
      <c r="BI64" s="20"/>
      <c r="BJ64" s="21">
        <f t="shared" ref="BJ64:BJ67" si="167">SUM(BB64:BI64)</f>
        <v>0</v>
      </c>
      <c r="BK64" s="4">
        <f t="shared" ref="BK64:BM67" si="168">F64+O64+X64+AG64+BB64</f>
        <v>0</v>
      </c>
      <c r="BL64" s="4">
        <f t="shared" si="168"/>
        <v>350000</v>
      </c>
      <c r="BM64" s="4">
        <f t="shared" si="168"/>
        <v>0</v>
      </c>
      <c r="BN64" s="4">
        <f t="shared" ref="BN64:BQ67" si="169">I64+R64+AA64+AJ64+AP64+AV64+BE64</f>
        <v>0</v>
      </c>
      <c r="BO64" s="94">
        <f t="shared" si="169"/>
        <v>-350000</v>
      </c>
      <c r="BP64" s="94">
        <f t="shared" si="169"/>
        <v>0</v>
      </c>
      <c r="BQ64" s="94">
        <f t="shared" si="169"/>
        <v>0</v>
      </c>
      <c r="BR64" s="94">
        <f t="shared" ref="BR64:BR67" si="170">M64+V64+AE64+AN64+AT64+AZ64+BI64</f>
        <v>0</v>
      </c>
      <c r="BS64" s="9">
        <f t="shared" ref="BS64:BS67" si="171">SUM(BK64:BR64)</f>
        <v>0</v>
      </c>
    </row>
    <row r="65" spans="1:71">
      <c r="A65" s="186"/>
      <c r="B65" s="8">
        <v>2</v>
      </c>
      <c r="C65" s="1" t="s">
        <v>151</v>
      </c>
      <c r="D65" s="4" t="s">
        <v>152</v>
      </c>
      <c r="E65" s="4" t="s">
        <v>148</v>
      </c>
      <c r="F65" s="4">
        <v>155000</v>
      </c>
      <c r="G65" s="4">
        <v>153000</v>
      </c>
      <c r="H65" s="4">
        <v>187500</v>
      </c>
      <c r="I65" s="4">
        <v>8000</v>
      </c>
      <c r="J65" s="4"/>
      <c r="K65" s="4"/>
      <c r="L65" s="4"/>
      <c r="M65" s="4"/>
      <c r="N65" s="9">
        <f t="shared" si="162"/>
        <v>503500</v>
      </c>
      <c r="O65" s="4"/>
      <c r="P65" s="4"/>
      <c r="Q65" s="4"/>
      <c r="R65" s="4"/>
      <c r="S65" s="4"/>
      <c r="T65" s="4"/>
      <c r="U65" s="4"/>
      <c r="V65" s="4"/>
      <c r="W65" s="9">
        <f t="shared" si="25"/>
        <v>0</v>
      </c>
      <c r="X65" s="20"/>
      <c r="Y65" s="20"/>
      <c r="Z65" s="20"/>
      <c r="AA65" s="20"/>
      <c r="AB65" s="20"/>
      <c r="AC65" s="20"/>
      <c r="AD65" s="20"/>
      <c r="AE65" s="20"/>
      <c r="AF65" s="9">
        <f t="shared" si="163"/>
        <v>0</v>
      </c>
      <c r="AG65" s="20">
        <v>195000</v>
      </c>
      <c r="AH65" s="25">
        <v>295650</v>
      </c>
      <c r="AI65" s="25">
        <v>223100</v>
      </c>
      <c r="AJ65" s="24">
        <v>170000</v>
      </c>
      <c r="AK65" s="20"/>
      <c r="AL65" s="20"/>
      <c r="AM65" s="20"/>
      <c r="AN65" s="20"/>
      <c r="AO65" s="21">
        <f t="shared" si="164"/>
        <v>883750</v>
      </c>
      <c r="AP65" s="25">
        <v>380000</v>
      </c>
      <c r="AQ65" s="20">
        <f>34000+102000+105000+105000+70000</f>
        <v>416000</v>
      </c>
      <c r="AR65" s="20">
        <f>481600+112400+56200</f>
        <v>650200</v>
      </c>
      <c r="AS65" s="20">
        <v>681200</v>
      </c>
      <c r="AT65" s="20">
        <v>650100</v>
      </c>
      <c r="AU65" s="21">
        <f t="shared" si="165"/>
        <v>2777500</v>
      </c>
      <c r="AV65" s="25"/>
      <c r="AW65" s="20"/>
      <c r="AX65" s="20"/>
      <c r="AY65" s="20"/>
      <c r="AZ65" s="20"/>
      <c r="BA65" s="21">
        <f t="shared" si="166"/>
        <v>0</v>
      </c>
      <c r="BB65" s="25"/>
      <c r="BC65" s="24">
        <v>100000</v>
      </c>
      <c r="BD65" s="25">
        <v>230000</v>
      </c>
      <c r="BE65" s="25"/>
      <c r="BF65" s="20"/>
      <c r="BG65" s="20"/>
      <c r="BH65" s="20"/>
      <c r="BI65" s="20"/>
      <c r="BJ65" s="21">
        <f t="shared" si="167"/>
        <v>330000</v>
      </c>
      <c r="BK65" s="4">
        <f t="shared" si="168"/>
        <v>350000</v>
      </c>
      <c r="BL65" s="4">
        <f t="shared" si="168"/>
        <v>548650</v>
      </c>
      <c r="BM65" s="4">
        <f t="shared" si="168"/>
        <v>640600</v>
      </c>
      <c r="BN65" s="4">
        <f t="shared" si="169"/>
        <v>558000</v>
      </c>
      <c r="BO65" s="94">
        <f t="shared" si="169"/>
        <v>416000</v>
      </c>
      <c r="BP65" s="94">
        <f t="shared" si="169"/>
        <v>650200</v>
      </c>
      <c r="BQ65" s="94">
        <f t="shared" si="169"/>
        <v>681200</v>
      </c>
      <c r="BR65" s="94">
        <f t="shared" si="170"/>
        <v>650100</v>
      </c>
      <c r="BS65" s="9">
        <f t="shared" si="171"/>
        <v>4494750</v>
      </c>
    </row>
    <row r="66" spans="1:71">
      <c r="A66" s="186"/>
      <c r="B66" s="8">
        <v>3</v>
      </c>
      <c r="C66" s="1" t="s">
        <v>154</v>
      </c>
      <c r="D66" s="4" t="s">
        <v>155</v>
      </c>
      <c r="E66" s="4" t="s">
        <v>148</v>
      </c>
      <c r="F66" s="4">
        <v>155000</v>
      </c>
      <c r="G66" s="4"/>
      <c r="H66" s="4">
        <v>22000</v>
      </c>
      <c r="I66" s="4">
        <f>128000+10000+14000</f>
        <v>152000</v>
      </c>
      <c r="J66" s="4"/>
      <c r="K66" s="4"/>
      <c r="L66" s="4"/>
      <c r="M66" s="4"/>
      <c r="N66" s="9">
        <f t="shared" si="162"/>
        <v>329000</v>
      </c>
      <c r="O66" s="4"/>
      <c r="P66" s="4"/>
      <c r="Q66" s="4"/>
      <c r="R66" s="4"/>
      <c r="S66" s="4"/>
      <c r="T66" s="4"/>
      <c r="U66" s="4"/>
      <c r="V66" s="4"/>
      <c r="W66" s="9">
        <f t="shared" si="25"/>
        <v>0</v>
      </c>
      <c r="X66" s="20"/>
      <c r="Y66" s="20"/>
      <c r="Z66" s="20"/>
      <c r="AA66" s="20"/>
      <c r="AB66" s="20"/>
      <c r="AC66" s="20"/>
      <c r="AD66" s="20"/>
      <c r="AE66" s="20"/>
      <c r="AF66" s="9">
        <f t="shared" si="163"/>
        <v>0</v>
      </c>
      <c r="AG66" s="20">
        <v>195000</v>
      </c>
      <c r="AH66" s="25">
        <v>111550</v>
      </c>
      <c r="AI66" s="25">
        <v>586850</v>
      </c>
      <c r="AJ66" s="25">
        <v>180000</v>
      </c>
      <c r="AK66" s="20"/>
      <c r="AL66" s="20"/>
      <c r="AM66" s="20"/>
      <c r="AN66" s="20"/>
      <c r="AO66" s="21">
        <f t="shared" si="164"/>
        <v>1073400</v>
      </c>
      <c r="AP66" s="24">
        <v>577500</v>
      </c>
      <c r="AQ66" s="20">
        <f>189000+185500+196000+199500+133000</f>
        <v>903000</v>
      </c>
      <c r="AR66" s="20">
        <f>837900+197600+98800</f>
        <v>1134300</v>
      </c>
      <c r="AS66" s="20">
        <v>1185600</v>
      </c>
      <c r="AT66" s="20">
        <v>1086800</v>
      </c>
      <c r="AU66" s="21">
        <f t="shared" si="165"/>
        <v>4887200</v>
      </c>
      <c r="AV66" s="25"/>
      <c r="AW66" s="20"/>
      <c r="AX66" s="20"/>
      <c r="AY66" s="20"/>
      <c r="AZ66" s="20"/>
      <c r="BA66" s="21">
        <f t="shared" si="166"/>
        <v>0</v>
      </c>
      <c r="BB66" s="25"/>
      <c r="BC66" s="25"/>
      <c r="BD66" s="25"/>
      <c r="BE66" s="25"/>
      <c r="BF66" s="20"/>
      <c r="BG66" s="20"/>
      <c r="BH66" s="20"/>
      <c r="BI66" s="20"/>
      <c r="BJ66" s="21">
        <f t="shared" si="167"/>
        <v>0</v>
      </c>
      <c r="BK66" s="4">
        <f t="shared" si="168"/>
        <v>350000</v>
      </c>
      <c r="BL66" s="4">
        <f t="shared" si="168"/>
        <v>111550</v>
      </c>
      <c r="BM66" s="4">
        <f t="shared" si="168"/>
        <v>608850</v>
      </c>
      <c r="BN66" s="4">
        <f t="shared" si="169"/>
        <v>909500</v>
      </c>
      <c r="BO66" s="94">
        <f t="shared" si="169"/>
        <v>903000</v>
      </c>
      <c r="BP66" s="94">
        <f t="shared" si="169"/>
        <v>1134300</v>
      </c>
      <c r="BQ66" s="94">
        <f t="shared" si="169"/>
        <v>1185600</v>
      </c>
      <c r="BR66" s="94">
        <f t="shared" si="170"/>
        <v>1086800</v>
      </c>
      <c r="BS66" s="9">
        <f t="shared" si="171"/>
        <v>6289600</v>
      </c>
    </row>
    <row r="67" spans="1:71" ht="31.5">
      <c r="A67" s="187"/>
      <c r="B67" s="8">
        <v>4</v>
      </c>
      <c r="C67" s="1" t="s">
        <v>156</v>
      </c>
      <c r="D67" s="5" t="s">
        <v>411</v>
      </c>
      <c r="E67" s="4" t="s">
        <v>148</v>
      </c>
      <c r="F67" s="4"/>
      <c r="G67" s="4"/>
      <c r="H67" s="4"/>
      <c r="I67" s="4"/>
      <c r="J67" s="4"/>
      <c r="K67" s="4"/>
      <c r="L67" s="4"/>
      <c r="M67" s="4"/>
      <c r="N67" s="9">
        <f t="shared" si="162"/>
        <v>0</v>
      </c>
      <c r="O67" s="4"/>
      <c r="P67" s="4"/>
      <c r="Q67" s="4"/>
      <c r="R67" s="4"/>
      <c r="S67" s="4"/>
      <c r="T67" s="4"/>
      <c r="U67" s="4"/>
      <c r="V67" s="4"/>
      <c r="W67" s="9">
        <f t="shared" si="25"/>
        <v>0</v>
      </c>
      <c r="X67" s="20"/>
      <c r="Y67" s="20"/>
      <c r="Z67" s="20"/>
      <c r="AA67" s="20"/>
      <c r="AB67" s="20"/>
      <c r="AC67" s="20"/>
      <c r="AD67" s="20"/>
      <c r="AE67" s="20"/>
      <c r="AF67" s="9">
        <f t="shared" si="163"/>
        <v>0</v>
      </c>
      <c r="AG67" s="20"/>
      <c r="AH67" s="24">
        <v>195000</v>
      </c>
      <c r="AI67" s="20">
        <v>-195000</v>
      </c>
      <c r="AJ67" s="20"/>
      <c r="AK67" s="20"/>
      <c r="AL67" s="20"/>
      <c r="AM67" s="20"/>
      <c r="AN67" s="20"/>
      <c r="AO67" s="21">
        <f t="shared" si="164"/>
        <v>0</v>
      </c>
      <c r="AP67" s="25">
        <v>0</v>
      </c>
      <c r="AQ67" s="20"/>
      <c r="AR67" s="20"/>
      <c r="AS67" s="20"/>
      <c r="AT67" s="20"/>
      <c r="AU67" s="21">
        <f t="shared" si="165"/>
        <v>0</v>
      </c>
      <c r="AV67" s="25"/>
      <c r="AW67" s="20"/>
      <c r="AX67" s="20"/>
      <c r="AY67" s="20"/>
      <c r="AZ67" s="20"/>
      <c r="BA67" s="21">
        <f t="shared" si="166"/>
        <v>0</v>
      </c>
      <c r="BB67" s="25"/>
      <c r="BC67" s="25"/>
      <c r="BD67" s="25"/>
      <c r="BE67" s="25"/>
      <c r="BF67" s="20"/>
      <c r="BG67" s="20"/>
      <c r="BH67" s="20"/>
      <c r="BI67" s="20"/>
      <c r="BJ67" s="21">
        <f t="shared" si="167"/>
        <v>0</v>
      </c>
      <c r="BK67" s="4">
        <f t="shared" si="168"/>
        <v>0</v>
      </c>
      <c r="BL67" s="4">
        <f t="shared" si="168"/>
        <v>195000</v>
      </c>
      <c r="BM67" s="4">
        <f t="shared" si="168"/>
        <v>-195000</v>
      </c>
      <c r="BN67" s="4">
        <f t="shared" si="169"/>
        <v>0</v>
      </c>
      <c r="BO67" s="94">
        <f t="shared" si="169"/>
        <v>0</v>
      </c>
      <c r="BP67" s="94">
        <f t="shared" si="169"/>
        <v>0</v>
      </c>
      <c r="BQ67" s="94">
        <f t="shared" si="169"/>
        <v>0</v>
      </c>
      <c r="BR67" s="94">
        <f t="shared" si="170"/>
        <v>0</v>
      </c>
      <c r="BS67" s="9">
        <f t="shared" si="171"/>
        <v>0</v>
      </c>
    </row>
    <row r="68" spans="1:71" s="38" customFormat="1">
      <c r="A68" s="34"/>
      <c r="B68" s="34"/>
      <c r="C68" s="35" t="s">
        <v>157</v>
      </c>
      <c r="D68" s="37"/>
      <c r="E68" s="37"/>
      <c r="F68" s="37">
        <f>SUM(F64:F67)</f>
        <v>310000</v>
      </c>
      <c r="G68" s="37">
        <f t="shared" ref="G68:BS68" si="172">SUM(G64:G67)</f>
        <v>308000</v>
      </c>
      <c r="H68" s="37">
        <f t="shared" si="172"/>
        <v>209500</v>
      </c>
      <c r="I68" s="37">
        <f t="shared" si="172"/>
        <v>160000</v>
      </c>
      <c r="J68" s="37">
        <f t="shared" si="172"/>
        <v>-155000</v>
      </c>
      <c r="K68" s="37">
        <f t="shared" si="172"/>
        <v>0</v>
      </c>
      <c r="L68" s="37">
        <f t="shared" si="172"/>
        <v>0</v>
      </c>
      <c r="M68" s="37">
        <f t="shared" ref="M68" si="173">SUM(M64:M67)</f>
        <v>0</v>
      </c>
      <c r="N68" s="37">
        <f t="shared" si="172"/>
        <v>832500</v>
      </c>
      <c r="O68" s="37">
        <f t="shared" si="172"/>
        <v>0</v>
      </c>
      <c r="P68" s="37">
        <f t="shared" si="172"/>
        <v>0</v>
      </c>
      <c r="Q68" s="37">
        <f t="shared" si="172"/>
        <v>0</v>
      </c>
      <c r="R68" s="37">
        <f t="shared" si="172"/>
        <v>0</v>
      </c>
      <c r="S68" s="37">
        <f t="shared" si="172"/>
        <v>0</v>
      </c>
      <c r="T68" s="37">
        <f t="shared" si="172"/>
        <v>0</v>
      </c>
      <c r="U68" s="37">
        <f t="shared" si="172"/>
        <v>0</v>
      </c>
      <c r="V68" s="37">
        <f t="shared" ref="V68" si="174">SUM(V64:V67)</f>
        <v>0</v>
      </c>
      <c r="W68" s="37">
        <f t="shared" si="172"/>
        <v>0</v>
      </c>
      <c r="X68" s="37">
        <f t="shared" si="172"/>
        <v>0</v>
      </c>
      <c r="Y68" s="37">
        <f t="shared" si="172"/>
        <v>0</v>
      </c>
      <c r="Z68" s="37">
        <f t="shared" si="172"/>
        <v>0</v>
      </c>
      <c r="AA68" s="37">
        <f t="shared" si="172"/>
        <v>0</v>
      </c>
      <c r="AB68" s="37">
        <f t="shared" si="172"/>
        <v>0</v>
      </c>
      <c r="AC68" s="37">
        <f t="shared" si="172"/>
        <v>0</v>
      </c>
      <c r="AD68" s="37">
        <f t="shared" si="172"/>
        <v>0</v>
      </c>
      <c r="AE68" s="37">
        <f t="shared" ref="AE68" si="175">SUM(AE64:AE67)</f>
        <v>0</v>
      </c>
      <c r="AF68" s="37">
        <f t="shared" si="172"/>
        <v>0</v>
      </c>
      <c r="AG68" s="37">
        <f t="shared" si="172"/>
        <v>390000</v>
      </c>
      <c r="AH68" s="37">
        <f t="shared" si="172"/>
        <v>797200</v>
      </c>
      <c r="AI68" s="37">
        <f t="shared" si="172"/>
        <v>614950</v>
      </c>
      <c r="AJ68" s="37">
        <f t="shared" si="172"/>
        <v>350000</v>
      </c>
      <c r="AK68" s="37">
        <f t="shared" si="172"/>
        <v>-195000</v>
      </c>
      <c r="AL68" s="37">
        <f t="shared" si="172"/>
        <v>0</v>
      </c>
      <c r="AM68" s="37">
        <f t="shared" si="172"/>
        <v>0</v>
      </c>
      <c r="AN68" s="37">
        <f t="shared" ref="AN68" si="176">SUM(AN64:AN67)</f>
        <v>0</v>
      </c>
      <c r="AO68" s="37">
        <f t="shared" si="172"/>
        <v>1957150</v>
      </c>
      <c r="AP68" s="37">
        <f t="shared" si="172"/>
        <v>957500</v>
      </c>
      <c r="AQ68" s="37">
        <f t="shared" si="172"/>
        <v>1319000</v>
      </c>
      <c r="AR68" s="37">
        <f t="shared" si="172"/>
        <v>1784500</v>
      </c>
      <c r="AS68" s="37">
        <f t="shared" si="172"/>
        <v>1866800</v>
      </c>
      <c r="AT68" s="37">
        <f t="shared" ref="AT68" si="177">SUM(AT64:AT67)</f>
        <v>1736900</v>
      </c>
      <c r="AU68" s="37">
        <f t="shared" si="172"/>
        <v>7664700</v>
      </c>
      <c r="AV68" s="37">
        <f t="shared" si="172"/>
        <v>0</v>
      </c>
      <c r="AW68" s="37">
        <f t="shared" si="172"/>
        <v>0</v>
      </c>
      <c r="AX68" s="37">
        <f t="shared" si="172"/>
        <v>0</v>
      </c>
      <c r="AY68" s="37">
        <f t="shared" si="172"/>
        <v>0</v>
      </c>
      <c r="AZ68" s="37">
        <f t="shared" ref="AZ68" si="178">SUM(AZ64:AZ67)</f>
        <v>0</v>
      </c>
      <c r="BA68" s="37">
        <f t="shared" si="172"/>
        <v>0</v>
      </c>
      <c r="BB68" s="37">
        <f t="shared" si="172"/>
        <v>0</v>
      </c>
      <c r="BC68" s="37">
        <f t="shared" si="172"/>
        <v>100000</v>
      </c>
      <c r="BD68" s="37">
        <f t="shared" si="172"/>
        <v>230000</v>
      </c>
      <c r="BE68" s="37">
        <f t="shared" si="172"/>
        <v>0</v>
      </c>
      <c r="BF68" s="37">
        <f t="shared" si="172"/>
        <v>0</v>
      </c>
      <c r="BG68" s="37">
        <f t="shared" si="172"/>
        <v>0</v>
      </c>
      <c r="BH68" s="37">
        <f t="shared" si="172"/>
        <v>0</v>
      </c>
      <c r="BI68" s="37">
        <f t="shared" ref="BI68" si="179">SUM(BI64:BI67)</f>
        <v>0</v>
      </c>
      <c r="BJ68" s="37">
        <f t="shared" si="172"/>
        <v>330000</v>
      </c>
      <c r="BK68" s="37">
        <f t="shared" si="172"/>
        <v>700000</v>
      </c>
      <c r="BL68" s="37">
        <f t="shared" si="172"/>
        <v>1205200</v>
      </c>
      <c r="BM68" s="37">
        <f t="shared" si="172"/>
        <v>1054450</v>
      </c>
      <c r="BN68" s="37">
        <f t="shared" si="172"/>
        <v>1467500</v>
      </c>
      <c r="BO68" s="37">
        <f t="shared" si="172"/>
        <v>969000</v>
      </c>
      <c r="BP68" s="144">
        <f>SUM(BP64:BP67)</f>
        <v>1784500</v>
      </c>
      <c r="BQ68" s="37">
        <f t="shared" ref="BQ68:BR68" si="180">SUM(BQ64:BQ67)</f>
        <v>1866800</v>
      </c>
      <c r="BR68" s="37">
        <f t="shared" si="180"/>
        <v>1736900</v>
      </c>
      <c r="BS68" s="37">
        <f t="shared" si="172"/>
        <v>10784350</v>
      </c>
    </row>
    <row r="69" spans="1:71">
      <c r="A69" s="185" t="s">
        <v>493</v>
      </c>
      <c r="B69" s="8">
        <v>1</v>
      </c>
      <c r="C69" s="1" t="s">
        <v>494</v>
      </c>
      <c r="D69" s="5" t="s">
        <v>510</v>
      </c>
      <c r="E69" s="4" t="s">
        <v>493</v>
      </c>
      <c r="F69" s="4"/>
      <c r="G69" s="4"/>
      <c r="H69" s="5"/>
      <c r="I69" s="4"/>
      <c r="J69" s="4"/>
      <c r="K69" s="4"/>
      <c r="L69" s="4"/>
      <c r="M69" s="4"/>
      <c r="N69" s="9">
        <f>SUM(F69:M69)</f>
        <v>0</v>
      </c>
      <c r="O69" s="4"/>
      <c r="P69" s="4"/>
      <c r="Q69" s="4"/>
      <c r="R69" s="4"/>
      <c r="S69" s="4"/>
      <c r="T69" s="4"/>
      <c r="U69" s="4"/>
      <c r="V69" s="4"/>
      <c r="W69" s="9">
        <f t="shared" si="25"/>
        <v>0</v>
      </c>
      <c r="X69" s="20"/>
      <c r="Y69" s="22"/>
      <c r="Z69" s="20"/>
      <c r="AA69" s="20"/>
      <c r="AB69" s="20"/>
      <c r="AC69" s="20"/>
      <c r="AD69" s="20"/>
      <c r="AE69" s="20"/>
      <c r="AF69" s="9">
        <f>SUM(X69:AE69)</f>
        <v>0</v>
      </c>
      <c r="AG69" s="20"/>
      <c r="AH69" s="24"/>
      <c r="AI69" s="20"/>
      <c r="AJ69" s="20"/>
      <c r="AK69" s="20"/>
      <c r="AL69" s="20"/>
      <c r="AM69" s="20">
        <v>571500</v>
      </c>
      <c r="AN69" s="20">
        <v>1600500</v>
      </c>
      <c r="AO69" s="21">
        <f t="shared" si="164"/>
        <v>2172000</v>
      </c>
      <c r="AP69" s="25"/>
      <c r="AQ69" s="20"/>
      <c r="AR69" s="20"/>
      <c r="AS69" s="20"/>
      <c r="AT69" s="20"/>
      <c r="AU69" s="21">
        <f>SUM(AP69:AT69)</f>
        <v>0</v>
      </c>
      <c r="AV69" s="25"/>
      <c r="AW69" s="20"/>
      <c r="AX69" s="20"/>
      <c r="AY69" s="20"/>
      <c r="AZ69" s="20"/>
      <c r="BA69" s="21">
        <f>SUM(AV69:AZ69)</f>
        <v>0</v>
      </c>
      <c r="BB69" s="25"/>
      <c r="BC69" s="25"/>
      <c r="BD69" s="25"/>
      <c r="BE69" s="25"/>
      <c r="BF69" s="20"/>
      <c r="BG69" s="20"/>
      <c r="BH69" s="20"/>
      <c r="BI69" s="20"/>
      <c r="BJ69" s="21">
        <f>SUM(BB69:BI69)</f>
        <v>0</v>
      </c>
      <c r="BK69" s="4">
        <f t="shared" ref="BK69:BM70" si="181">F69+O69+X69+AG69+BB69</f>
        <v>0</v>
      </c>
      <c r="BL69" s="4">
        <f t="shared" si="181"/>
        <v>0</v>
      </c>
      <c r="BM69" s="4">
        <f t="shared" si="181"/>
        <v>0</v>
      </c>
      <c r="BN69" s="4">
        <f t="shared" ref="BN69:BR70" si="182">I69+R69+AA69+AJ69+AP69+AV69+BE69</f>
        <v>0</v>
      </c>
      <c r="BO69" s="94">
        <f t="shared" si="182"/>
        <v>0</v>
      </c>
      <c r="BP69" s="94">
        <f t="shared" si="182"/>
        <v>0</v>
      </c>
      <c r="BQ69" s="94">
        <f t="shared" si="182"/>
        <v>571500</v>
      </c>
      <c r="BR69" s="94">
        <f t="shared" si="182"/>
        <v>1600500</v>
      </c>
      <c r="BS69" s="9">
        <f>SUM(BK69:BR69)</f>
        <v>2172000</v>
      </c>
    </row>
    <row r="70" spans="1:71">
      <c r="A70" s="187"/>
      <c r="B70" s="8">
        <v>2</v>
      </c>
      <c r="C70" s="1" t="s">
        <v>509</v>
      </c>
      <c r="D70" s="5" t="s">
        <v>511</v>
      </c>
      <c r="E70" s="4" t="s">
        <v>493</v>
      </c>
      <c r="F70" s="4"/>
      <c r="G70" s="4"/>
      <c r="H70" s="5"/>
      <c r="I70" s="4"/>
      <c r="J70" s="4"/>
      <c r="K70" s="4"/>
      <c r="L70" s="4"/>
      <c r="M70" s="4"/>
      <c r="N70" s="9">
        <f>SUM(F70:M70)</f>
        <v>0</v>
      </c>
      <c r="O70" s="4"/>
      <c r="P70" s="4"/>
      <c r="Q70" s="4"/>
      <c r="R70" s="4"/>
      <c r="S70" s="4"/>
      <c r="T70" s="4"/>
      <c r="U70" s="4"/>
      <c r="V70" s="4"/>
      <c r="W70" s="9">
        <f t="shared" ref="W70" si="183">SUM(O70:V70)</f>
        <v>0</v>
      </c>
      <c r="X70" s="20"/>
      <c r="Y70" s="22"/>
      <c r="Z70" s="20"/>
      <c r="AA70" s="20"/>
      <c r="AB70" s="20"/>
      <c r="AC70" s="20"/>
      <c r="AD70" s="20"/>
      <c r="AE70" s="20"/>
      <c r="AF70" s="9">
        <f>SUM(X70:AE70)</f>
        <v>0</v>
      </c>
      <c r="AG70" s="20"/>
      <c r="AH70" s="24"/>
      <c r="AI70" s="20"/>
      <c r="AJ70" s="20"/>
      <c r="AK70" s="20"/>
      <c r="AL70" s="20"/>
      <c r="AM70" s="20"/>
      <c r="AN70" s="20">
        <v>627300</v>
      </c>
      <c r="AO70" s="21">
        <f t="shared" si="164"/>
        <v>627300</v>
      </c>
      <c r="AP70" s="25"/>
      <c r="AQ70" s="20"/>
      <c r="AR70" s="20"/>
      <c r="AS70" s="20"/>
      <c r="AT70" s="20"/>
      <c r="AU70" s="21">
        <f>SUM(AP70:AT70)</f>
        <v>0</v>
      </c>
      <c r="AV70" s="25"/>
      <c r="AW70" s="20"/>
      <c r="AX70" s="20"/>
      <c r="AY70" s="20"/>
      <c r="AZ70" s="20"/>
      <c r="BA70" s="21">
        <f>SUM(AV70:AZ70)</f>
        <v>0</v>
      </c>
      <c r="BB70" s="25"/>
      <c r="BC70" s="25"/>
      <c r="BD70" s="25"/>
      <c r="BE70" s="25"/>
      <c r="BF70" s="20"/>
      <c r="BG70" s="20"/>
      <c r="BH70" s="20"/>
      <c r="BI70" s="20"/>
      <c r="BJ70" s="21">
        <f>SUM(BB70:BI70)</f>
        <v>0</v>
      </c>
      <c r="BK70" s="4">
        <f t="shared" si="181"/>
        <v>0</v>
      </c>
      <c r="BL70" s="4">
        <f t="shared" si="181"/>
        <v>0</v>
      </c>
      <c r="BM70" s="4">
        <f t="shared" si="181"/>
        <v>0</v>
      </c>
      <c r="BN70" s="4">
        <f t="shared" si="182"/>
        <v>0</v>
      </c>
      <c r="BO70" s="94">
        <f t="shared" si="182"/>
        <v>0</v>
      </c>
      <c r="BP70" s="94">
        <f t="shared" si="182"/>
        <v>0</v>
      </c>
      <c r="BQ70" s="94">
        <f t="shared" si="182"/>
        <v>0</v>
      </c>
      <c r="BR70" s="94">
        <f t="shared" si="182"/>
        <v>627300</v>
      </c>
      <c r="BS70" s="9">
        <f>SUM(BK70:BR70)</f>
        <v>627300</v>
      </c>
    </row>
    <row r="71" spans="1:71" s="38" customFormat="1">
      <c r="A71" s="34"/>
      <c r="B71" s="34"/>
      <c r="C71" s="35" t="s">
        <v>495</v>
      </c>
      <c r="D71" s="37"/>
      <c r="E71" s="37"/>
      <c r="F71" s="37">
        <f t="shared" ref="F71:L71" si="184">SUM(F69)</f>
        <v>0</v>
      </c>
      <c r="G71" s="37">
        <f t="shared" si="184"/>
        <v>0</v>
      </c>
      <c r="H71" s="37">
        <f t="shared" si="184"/>
        <v>0</v>
      </c>
      <c r="I71" s="37">
        <f t="shared" si="184"/>
        <v>0</v>
      </c>
      <c r="J71" s="37">
        <f t="shared" si="184"/>
        <v>0</v>
      </c>
      <c r="K71" s="37">
        <f t="shared" si="184"/>
        <v>0</v>
      </c>
      <c r="L71" s="37">
        <f t="shared" si="184"/>
        <v>0</v>
      </c>
      <c r="M71" s="37">
        <f t="shared" ref="M71" si="185">SUM(M69)</f>
        <v>0</v>
      </c>
      <c r="N71" s="37">
        <f t="shared" ref="N71:U71" si="186">SUM(N69)</f>
        <v>0</v>
      </c>
      <c r="O71" s="37">
        <f t="shared" si="186"/>
        <v>0</v>
      </c>
      <c r="P71" s="37">
        <f t="shared" si="186"/>
        <v>0</v>
      </c>
      <c r="Q71" s="37">
        <f t="shared" si="186"/>
        <v>0</v>
      </c>
      <c r="R71" s="37">
        <f t="shared" si="186"/>
        <v>0</v>
      </c>
      <c r="S71" s="37">
        <f t="shared" si="186"/>
        <v>0</v>
      </c>
      <c r="T71" s="37">
        <f t="shared" si="186"/>
        <v>0</v>
      </c>
      <c r="U71" s="37">
        <f t="shared" si="186"/>
        <v>0</v>
      </c>
      <c r="V71" s="37">
        <f t="shared" ref="V71" si="187">SUM(V69)</f>
        <v>0</v>
      </c>
      <c r="W71" s="37">
        <f t="shared" ref="W71:AD71" si="188">SUM(W69)</f>
        <v>0</v>
      </c>
      <c r="X71" s="37">
        <f t="shared" si="188"/>
        <v>0</v>
      </c>
      <c r="Y71" s="37">
        <f t="shared" si="188"/>
        <v>0</v>
      </c>
      <c r="Z71" s="37">
        <f t="shared" si="188"/>
        <v>0</v>
      </c>
      <c r="AA71" s="37">
        <f t="shared" si="188"/>
        <v>0</v>
      </c>
      <c r="AB71" s="37">
        <f t="shared" si="188"/>
        <v>0</v>
      </c>
      <c r="AC71" s="37">
        <f t="shared" si="188"/>
        <v>0</v>
      </c>
      <c r="AD71" s="37">
        <f t="shared" si="188"/>
        <v>0</v>
      </c>
      <c r="AE71" s="37">
        <f t="shared" ref="AE71" si="189">SUM(AE69)</f>
        <v>0</v>
      </c>
      <c r="AF71" s="37">
        <f t="shared" ref="AF71:AM71" si="190">SUM(AF69)</f>
        <v>0</v>
      </c>
      <c r="AG71" s="37">
        <f t="shared" si="190"/>
        <v>0</v>
      </c>
      <c r="AH71" s="37">
        <f t="shared" si="190"/>
        <v>0</v>
      </c>
      <c r="AI71" s="37">
        <f t="shared" si="190"/>
        <v>0</v>
      </c>
      <c r="AJ71" s="37">
        <f t="shared" si="190"/>
        <v>0</v>
      </c>
      <c r="AK71" s="37">
        <f t="shared" si="190"/>
        <v>0</v>
      </c>
      <c r="AL71" s="37">
        <f t="shared" si="190"/>
        <v>0</v>
      </c>
      <c r="AM71" s="37">
        <f t="shared" si="190"/>
        <v>571500</v>
      </c>
      <c r="AN71" s="37">
        <f>SUM(AN69:AN70)</f>
        <v>2227800</v>
      </c>
      <c r="AO71" s="37">
        <f>SUM(AO69)</f>
        <v>2172000</v>
      </c>
      <c r="AP71" s="37">
        <f>SUM(AP69)</f>
        <v>0</v>
      </c>
      <c r="AQ71" s="37">
        <f>SUM(AQ69)</f>
        <v>0</v>
      </c>
      <c r="AR71" s="37">
        <f>SUM(AR69)</f>
        <v>0</v>
      </c>
      <c r="AS71" s="37">
        <f>SUM(AS69)</f>
        <v>0</v>
      </c>
      <c r="AT71" s="37">
        <f t="shared" ref="AT71" si="191">SUM(AT69)</f>
        <v>0</v>
      </c>
      <c r="AU71" s="37">
        <f>SUM(AU69)</f>
        <v>0</v>
      </c>
      <c r="AV71" s="37">
        <f>SUM(AV69)</f>
        <v>0</v>
      </c>
      <c r="AW71" s="37">
        <f>SUM(AW69)</f>
        <v>0</v>
      </c>
      <c r="AX71" s="37">
        <f>SUM(AX69)</f>
        <v>0</v>
      </c>
      <c r="AY71" s="37">
        <f>SUM(AY69)</f>
        <v>0</v>
      </c>
      <c r="AZ71" s="37">
        <f t="shared" ref="AZ71" si="192">SUM(AZ69)</f>
        <v>0</v>
      </c>
      <c r="BA71" s="37">
        <f t="shared" ref="BA71:BH71" si="193">SUM(BA69)</f>
        <v>0</v>
      </c>
      <c r="BB71" s="37">
        <f t="shared" si="193"/>
        <v>0</v>
      </c>
      <c r="BC71" s="37">
        <f t="shared" si="193"/>
        <v>0</v>
      </c>
      <c r="BD71" s="37">
        <f t="shared" si="193"/>
        <v>0</v>
      </c>
      <c r="BE71" s="37">
        <f t="shared" si="193"/>
        <v>0</v>
      </c>
      <c r="BF71" s="37">
        <f t="shared" si="193"/>
        <v>0</v>
      </c>
      <c r="BG71" s="37">
        <f t="shared" si="193"/>
        <v>0</v>
      </c>
      <c r="BH71" s="37">
        <f t="shared" si="193"/>
        <v>0</v>
      </c>
      <c r="BI71" s="37">
        <f t="shared" ref="BI71" si="194">SUM(BI69)</f>
        <v>0</v>
      </c>
      <c r="BJ71" s="37">
        <f t="shared" ref="BJ71:BQ71" si="195">SUM(BJ69)</f>
        <v>0</v>
      </c>
      <c r="BK71" s="37">
        <f t="shared" si="195"/>
        <v>0</v>
      </c>
      <c r="BL71" s="37">
        <f t="shared" si="195"/>
        <v>0</v>
      </c>
      <c r="BM71" s="37">
        <f t="shared" si="195"/>
        <v>0</v>
      </c>
      <c r="BN71" s="37">
        <f t="shared" si="195"/>
        <v>0</v>
      </c>
      <c r="BO71" s="37">
        <f t="shared" si="195"/>
        <v>0</v>
      </c>
      <c r="BP71" s="37">
        <f t="shared" si="195"/>
        <v>0</v>
      </c>
      <c r="BQ71" s="37">
        <f t="shared" si="195"/>
        <v>571500</v>
      </c>
      <c r="BR71" s="144">
        <f>SUM(BR69:BR70)</f>
        <v>2227800</v>
      </c>
      <c r="BS71" s="37">
        <f>SUM(BS69)</f>
        <v>2172000</v>
      </c>
    </row>
    <row r="72" spans="1:71">
      <c r="A72" s="151" t="s">
        <v>28</v>
      </c>
      <c r="B72" s="8">
        <v>1</v>
      </c>
      <c r="C72" s="1" t="s">
        <v>3</v>
      </c>
      <c r="D72" s="5" t="s">
        <v>412</v>
      </c>
      <c r="E72" s="4" t="s">
        <v>28</v>
      </c>
      <c r="F72" s="4"/>
      <c r="G72" s="4"/>
      <c r="H72" s="5"/>
      <c r="I72" s="4"/>
      <c r="J72" s="4"/>
      <c r="K72" s="4"/>
      <c r="L72" s="4"/>
      <c r="M72" s="4"/>
      <c r="N72" s="9">
        <f>SUM(F72:M72)</f>
        <v>0</v>
      </c>
      <c r="O72" s="4"/>
      <c r="P72" s="4"/>
      <c r="Q72" s="4"/>
      <c r="R72" s="4"/>
      <c r="S72" s="4"/>
      <c r="T72" s="4"/>
      <c r="U72" s="4"/>
      <c r="V72" s="4"/>
      <c r="W72" s="9">
        <f t="shared" si="25"/>
        <v>0</v>
      </c>
      <c r="X72" s="20"/>
      <c r="Y72" s="22">
        <v>290000</v>
      </c>
      <c r="Z72" s="20"/>
      <c r="AA72" s="20"/>
      <c r="AB72" s="20"/>
      <c r="AC72" s="20"/>
      <c r="AD72" s="20">
        <f>630000+210000</f>
        <v>840000</v>
      </c>
      <c r="AE72" s="4">
        <v>630000</v>
      </c>
      <c r="AF72" s="9">
        <f>SUM(X72:AE72)</f>
        <v>1760000</v>
      </c>
      <c r="AG72" s="20"/>
      <c r="AH72" s="24">
        <v>195000</v>
      </c>
      <c r="AI72" s="20"/>
      <c r="AJ72" s="20"/>
      <c r="AK72" s="20"/>
      <c r="AL72" s="20"/>
      <c r="AM72" s="20"/>
      <c r="AN72" s="20"/>
      <c r="AO72" s="21">
        <f>SUM(AG72:AN72)</f>
        <v>195000</v>
      </c>
      <c r="AP72" s="25"/>
      <c r="AQ72" s="20"/>
      <c r="AR72" s="20"/>
      <c r="AS72" s="20"/>
      <c r="AT72" s="20"/>
      <c r="AU72" s="21">
        <f>SUM(AP72:AT72)</f>
        <v>0</v>
      </c>
      <c r="AV72" s="25"/>
      <c r="AW72" s="20"/>
      <c r="AX72" s="20"/>
      <c r="AY72" s="20"/>
      <c r="AZ72" s="20"/>
      <c r="BA72" s="21">
        <f>SUM(AV72:AZ72)</f>
        <v>0</v>
      </c>
      <c r="BB72" s="25"/>
      <c r="BC72" s="25"/>
      <c r="BD72" s="25"/>
      <c r="BE72" s="25"/>
      <c r="BF72" s="20"/>
      <c r="BG72" s="20"/>
      <c r="BH72" s="20"/>
      <c r="BI72" s="20"/>
      <c r="BJ72" s="21">
        <f>SUM(BB72:BI72)</f>
        <v>0</v>
      </c>
      <c r="BK72" s="4">
        <f>F72+O72+X72+AG72+BB72</f>
        <v>0</v>
      </c>
      <c r="BL72" s="4">
        <f>G72+P72+Y72+AH72+BC72</f>
        <v>485000</v>
      </c>
      <c r="BM72" s="4">
        <f>H72+Q72+Z72+AI72+BD72</f>
        <v>0</v>
      </c>
      <c r="BN72" s="4">
        <f>I72+R72+AA72+AJ72+AP72+AV72+BE72</f>
        <v>0</v>
      </c>
      <c r="BO72" s="94">
        <f>J72+S72+AB72+AK72+AQ72+AW72+BF72</f>
        <v>0</v>
      </c>
      <c r="BP72" s="94">
        <f>K72+T72+AC72+AL72+AR72+AX72+BG72</f>
        <v>0</v>
      </c>
      <c r="BQ72" s="94">
        <f>L72+U72+AD72+AM72+AS72+AY72+BH72</f>
        <v>840000</v>
      </c>
      <c r="BR72" s="94">
        <f>M72+V72+AE72+AN72+AT72+AZ72+BI72</f>
        <v>630000</v>
      </c>
      <c r="BS72" s="9">
        <f>SUM(BK72:BR72)</f>
        <v>1955000</v>
      </c>
    </row>
    <row r="73" spans="1:71" s="38" customFormat="1">
      <c r="A73" s="34"/>
      <c r="B73" s="34"/>
      <c r="C73" s="35" t="s">
        <v>158</v>
      </c>
      <c r="D73" s="37"/>
      <c r="E73" s="37"/>
      <c r="F73" s="37">
        <f>SUM(F72)</f>
        <v>0</v>
      </c>
      <c r="G73" s="37">
        <f t="shared" ref="G73:BS73" si="196">SUM(G72)</f>
        <v>0</v>
      </c>
      <c r="H73" s="37">
        <f t="shared" si="196"/>
        <v>0</v>
      </c>
      <c r="I73" s="37">
        <f t="shared" si="196"/>
        <v>0</v>
      </c>
      <c r="J73" s="37">
        <f t="shared" si="196"/>
        <v>0</v>
      </c>
      <c r="K73" s="37">
        <f t="shared" si="196"/>
        <v>0</v>
      </c>
      <c r="L73" s="37">
        <f t="shared" ref="L73:BQ73" si="197">SUM(L72)</f>
        <v>0</v>
      </c>
      <c r="M73" s="37">
        <f t="shared" ref="M73" si="198">SUM(M72)</f>
        <v>0</v>
      </c>
      <c r="N73" s="37">
        <f t="shared" si="196"/>
        <v>0</v>
      </c>
      <c r="O73" s="37">
        <f t="shared" si="196"/>
        <v>0</v>
      </c>
      <c r="P73" s="37">
        <f t="shared" si="196"/>
        <v>0</v>
      </c>
      <c r="Q73" s="37">
        <f t="shared" si="196"/>
        <v>0</v>
      </c>
      <c r="R73" s="37">
        <f t="shared" si="196"/>
        <v>0</v>
      </c>
      <c r="S73" s="37">
        <f t="shared" si="196"/>
        <v>0</v>
      </c>
      <c r="T73" s="37">
        <f t="shared" si="196"/>
        <v>0</v>
      </c>
      <c r="U73" s="37">
        <f t="shared" si="197"/>
        <v>0</v>
      </c>
      <c r="V73" s="37">
        <f t="shared" ref="V73" si="199">SUM(V72)</f>
        <v>0</v>
      </c>
      <c r="W73" s="37">
        <f t="shared" si="196"/>
        <v>0</v>
      </c>
      <c r="X73" s="37">
        <f t="shared" si="196"/>
        <v>0</v>
      </c>
      <c r="Y73" s="37">
        <f t="shared" si="196"/>
        <v>290000</v>
      </c>
      <c r="Z73" s="37">
        <f t="shared" si="196"/>
        <v>0</v>
      </c>
      <c r="AA73" s="37">
        <f t="shared" si="196"/>
        <v>0</v>
      </c>
      <c r="AB73" s="37">
        <f t="shared" si="196"/>
        <v>0</v>
      </c>
      <c r="AC73" s="37">
        <f t="shared" si="196"/>
        <v>0</v>
      </c>
      <c r="AD73" s="37">
        <f t="shared" si="197"/>
        <v>840000</v>
      </c>
      <c r="AE73" s="37">
        <f t="shared" ref="AE73" si="200">SUM(AE72)</f>
        <v>630000</v>
      </c>
      <c r="AF73" s="37">
        <f t="shared" si="196"/>
        <v>1760000</v>
      </c>
      <c r="AG73" s="37">
        <f t="shared" si="196"/>
        <v>0</v>
      </c>
      <c r="AH73" s="37">
        <f t="shared" si="196"/>
        <v>195000</v>
      </c>
      <c r="AI73" s="37">
        <f t="shared" si="196"/>
        <v>0</v>
      </c>
      <c r="AJ73" s="37">
        <f t="shared" si="196"/>
        <v>0</v>
      </c>
      <c r="AK73" s="37">
        <f t="shared" si="196"/>
        <v>0</v>
      </c>
      <c r="AL73" s="37">
        <f t="shared" si="196"/>
        <v>0</v>
      </c>
      <c r="AM73" s="37">
        <f t="shared" si="197"/>
        <v>0</v>
      </c>
      <c r="AN73" s="37">
        <f t="shared" ref="AN73" si="201">SUM(AN72)</f>
        <v>0</v>
      </c>
      <c r="AO73" s="37">
        <f t="shared" si="196"/>
        <v>195000</v>
      </c>
      <c r="AP73" s="37">
        <f t="shared" si="196"/>
        <v>0</v>
      </c>
      <c r="AQ73" s="37">
        <f t="shared" si="196"/>
        <v>0</v>
      </c>
      <c r="AR73" s="37">
        <f t="shared" si="196"/>
        <v>0</v>
      </c>
      <c r="AS73" s="37">
        <f t="shared" si="197"/>
        <v>0</v>
      </c>
      <c r="AT73" s="37">
        <f t="shared" ref="AT73" si="202">SUM(AT72)</f>
        <v>0</v>
      </c>
      <c r="AU73" s="37">
        <f t="shared" si="196"/>
        <v>0</v>
      </c>
      <c r="AV73" s="37">
        <f t="shared" si="196"/>
        <v>0</v>
      </c>
      <c r="AW73" s="37">
        <f t="shared" si="196"/>
        <v>0</v>
      </c>
      <c r="AX73" s="37">
        <f t="shared" si="196"/>
        <v>0</v>
      </c>
      <c r="AY73" s="37">
        <f t="shared" si="197"/>
        <v>0</v>
      </c>
      <c r="AZ73" s="37">
        <f t="shared" ref="AZ73" si="203">SUM(AZ72)</f>
        <v>0</v>
      </c>
      <c r="BA73" s="37">
        <f t="shared" si="196"/>
        <v>0</v>
      </c>
      <c r="BB73" s="37">
        <f t="shared" si="196"/>
        <v>0</v>
      </c>
      <c r="BC73" s="37">
        <f t="shared" si="196"/>
        <v>0</v>
      </c>
      <c r="BD73" s="37">
        <f t="shared" si="196"/>
        <v>0</v>
      </c>
      <c r="BE73" s="37">
        <f t="shared" si="196"/>
        <v>0</v>
      </c>
      <c r="BF73" s="37">
        <f t="shared" si="196"/>
        <v>0</v>
      </c>
      <c r="BG73" s="37">
        <f t="shared" si="196"/>
        <v>0</v>
      </c>
      <c r="BH73" s="37">
        <f t="shared" si="197"/>
        <v>0</v>
      </c>
      <c r="BI73" s="37">
        <f t="shared" ref="BI73" si="204">SUM(BI72)</f>
        <v>0</v>
      </c>
      <c r="BJ73" s="37">
        <f t="shared" si="196"/>
        <v>0</v>
      </c>
      <c r="BK73" s="37">
        <f t="shared" si="196"/>
        <v>0</v>
      </c>
      <c r="BL73" s="37">
        <f t="shared" si="196"/>
        <v>485000</v>
      </c>
      <c r="BM73" s="37">
        <f t="shared" si="196"/>
        <v>0</v>
      </c>
      <c r="BN73" s="37">
        <f t="shared" si="196"/>
        <v>0</v>
      </c>
      <c r="BO73" s="37">
        <f t="shared" si="196"/>
        <v>0</v>
      </c>
      <c r="BP73" s="37">
        <f t="shared" si="196"/>
        <v>0</v>
      </c>
      <c r="BQ73" s="37">
        <f t="shared" si="197"/>
        <v>840000</v>
      </c>
      <c r="BR73" s="37">
        <f t="shared" ref="BR73" si="205">SUM(BR72)</f>
        <v>630000</v>
      </c>
      <c r="BS73" s="37">
        <f t="shared" si="196"/>
        <v>1955000</v>
      </c>
    </row>
    <row r="74" spans="1:71" ht="31.5">
      <c r="A74" s="185" t="s">
        <v>159</v>
      </c>
      <c r="B74" s="8">
        <v>1</v>
      </c>
      <c r="C74" s="1" t="s">
        <v>160</v>
      </c>
      <c r="D74" s="4" t="s">
        <v>161</v>
      </c>
      <c r="E74" s="4" t="s">
        <v>159</v>
      </c>
      <c r="F74" s="4"/>
      <c r="G74" s="4"/>
      <c r="H74" s="4">
        <v>155000</v>
      </c>
      <c r="I74" s="4"/>
      <c r="J74" s="4"/>
      <c r="K74" s="4"/>
      <c r="L74" s="4"/>
      <c r="M74" s="4">
        <v>660000</v>
      </c>
      <c r="N74" s="9">
        <f t="shared" ref="N74:N83" si="206">SUM(F74:M74)</f>
        <v>815000</v>
      </c>
      <c r="O74" s="4"/>
      <c r="P74" s="4"/>
      <c r="Q74" s="4"/>
      <c r="R74" s="4"/>
      <c r="S74" s="4"/>
      <c r="T74" s="4"/>
      <c r="U74" s="4"/>
      <c r="V74" s="4"/>
      <c r="W74" s="9">
        <f t="shared" si="25"/>
        <v>0</v>
      </c>
      <c r="X74" s="20"/>
      <c r="Y74" s="20"/>
      <c r="Z74" s="20"/>
      <c r="AA74" s="20"/>
      <c r="AB74" s="20"/>
      <c r="AC74" s="20"/>
      <c r="AD74" s="20"/>
      <c r="AE74" s="20"/>
      <c r="AF74" s="9">
        <f t="shared" ref="AF74:AF83" si="207">SUM(X74:AE74)</f>
        <v>0</v>
      </c>
      <c r="AG74" s="20"/>
      <c r="AH74" s="20"/>
      <c r="AI74" s="20"/>
      <c r="AJ74" s="20"/>
      <c r="AK74" s="20"/>
      <c r="AL74" s="20"/>
      <c r="AM74" s="20"/>
      <c r="AN74" s="20"/>
      <c r="AO74" s="21">
        <f t="shared" ref="AO74:AO83" si="208">SUM(AG74:AN74)</f>
        <v>0</v>
      </c>
      <c r="AP74" s="25"/>
      <c r="AQ74" s="20"/>
      <c r="AR74" s="20"/>
      <c r="AS74" s="20"/>
      <c r="AT74" s="20"/>
      <c r="AU74" s="21">
        <f t="shared" ref="AU74:AU83" si="209">SUM(AP74:AT74)</f>
        <v>0</v>
      </c>
      <c r="AV74" s="25"/>
      <c r="AW74" s="20"/>
      <c r="AX74" s="20"/>
      <c r="AY74" s="20"/>
      <c r="AZ74" s="20"/>
      <c r="BA74" s="21">
        <f t="shared" ref="BA74:BA83" si="210">SUM(AV74:AZ74)</f>
        <v>0</v>
      </c>
      <c r="BB74" s="25"/>
      <c r="BC74" s="25"/>
      <c r="BD74" s="25"/>
      <c r="BE74" s="25"/>
      <c r="BF74" s="20"/>
      <c r="BG74" s="20"/>
      <c r="BH74" s="20"/>
      <c r="BI74" s="20"/>
      <c r="BJ74" s="21">
        <f t="shared" ref="BJ74:BJ83" si="211">SUM(BB74:BI74)</f>
        <v>0</v>
      </c>
      <c r="BK74" s="4">
        <f t="shared" ref="BK74:BK83" si="212">F74+O74+X74+AG74+BB74</f>
        <v>0</v>
      </c>
      <c r="BL74" s="4">
        <f t="shared" ref="BL74:BL83" si="213">G74+P74+Y74+AH74+BC74</f>
        <v>0</v>
      </c>
      <c r="BM74" s="4">
        <f t="shared" ref="BM74:BM83" si="214">H74+Q74+Z74+AI74+BD74</f>
        <v>155000</v>
      </c>
      <c r="BN74" s="4">
        <f t="shared" ref="BN74:BN83" si="215">I74+R74+AA74+AJ74+AP74+AV74+BE74</f>
        <v>0</v>
      </c>
      <c r="BO74" s="94">
        <f t="shared" ref="BO74:BO83" si="216">J74+S74+AB74+AK74+AQ74+AW74+BF74</f>
        <v>0</v>
      </c>
      <c r="BP74" s="94">
        <f t="shared" ref="BP74:BP83" si="217">K74+T74+AC74+AL74+AR74+AX74+BG74</f>
        <v>0</v>
      </c>
      <c r="BQ74" s="94">
        <f t="shared" ref="BQ74:BQ83" si="218">L74+U74+AD74+AM74+AS74+AY74+BH74</f>
        <v>0</v>
      </c>
      <c r="BR74" s="94">
        <f t="shared" ref="BR74:BR83" si="219">M74+V74+AE74+AN74+AT74+AZ74+BI74</f>
        <v>660000</v>
      </c>
      <c r="BS74" s="9">
        <f t="shared" ref="BS74:BS83" si="220">SUM(BK74:BR74)</f>
        <v>815000</v>
      </c>
    </row>
    <row r="75" spans="1:71">
      <c r="A75" s="186"/>
      <c r="B75" s="8">
        <v>2</v>
      </c>
      <c r="C75" s="1" t="s">
        <v>162</v>
      </c>
      <c r="D75" s="4" t="s">
        <v>163</v>
      </c>
      <c r="E75" s="4" t="s">
        <v>159</v>
      </c>
      <c r="F75" s="4"/>
      <c r="G75" s="4">
        <v>430000</v>
      </c>
      <c r="H75" s="4">
        <f>60500+60500+286000+100000</f>
        <v>507000</v>
      </c>
      <c r="I75" s="4">
        <v>136500</v>
      </c>
      <c r="J75" s="4"/>
      <c r="K75" s="4"/>
      <c r="L75" s="4"/>
      <c r="M75" s="4"/>
      <c r="N75" s="9">
        <f t="shared" si="206"/>
        <v>1073500</v>
      </c>
      <c r="O75" s="4"/>
      <c r="P75" s="4"/>
      <c r="Q75" s="4"/>
      <c r="R75" s="4"/>
      <c r="S75" s="4"/>
      <c r="T75" s="4"/>
      <c r="U75" s="4"/>
      <c r="V75" s="4"/>
      <c r="W75" s="9">
        <f t="shared" si="25"/>
        <v>0</v>
      </c>
      <c r="X75" s="20"/>
      <c r="Y75" s="20"/>
      <c r="Z75" s="20"/>
      <c r="AA75" s="20"/>
      <c r="AB75" s="20"/>
      <c r="AC75" s="20"/>
      <c r="AD75" s="20"/>
      <c r="AE75" s="20"/>
      <c r="AF75" s="9">
        <f t="shared" si="207"/>
        <v>0</v>
      </c>
      <c r="AG75" s="20"/>
      <c r="AH75" s="20"/>
      <c r="AI75" s="20"/>
      <c r="AJ75" s="20"/>
      <c r="AK75" s="20"/>
      <c r="AL75" s="20"/>
      <c r="AM75" s="20"/>
      <c r="AN75" s="20"/>
      <c r="AO75" s="21">
        <f t="shared" si="208"/>
        <v>0</v>
      </c>
      <c r="AP75" s="25"/>
      <c r="AQ75" s="20"/>
      <c r="AR75" s="20"/>
      <c r="AS75" s="20"/>
      <c r="AT75" s="20"/>
      <c r="AU75" s="21">
        <f t="shared" si="209"/>
        <v>0</v>
      </c>
      <c r="AV75" s="25"/>
      <c r="AW75" s="20"/>
      <c r="AX75" s="20"/>
      <c r="AY75" s="20"/>
      <c r="AZ75" s="20"/>
      <c r="BA75" s="21">
        <f t="shared" si="210"/>
        <v>0</v>
      </c>
      <c r="BB75" s="25"/>
      <c r="BC75" s="25"/>
      <c r="BD75" s="25"/>
      <c r="BE75" s="25"/>
      <c r="BF75" s="20"/>
      <c r="BG75" s="20"/>
      <c r="BH75" s="20"/>
      <c r="BI75" s="20"/>
      <c r="BJ75" s="21">
        <f t="shared" si="211"/>
        <v>0</v>
      </c>
      <c r="BK75" s="4">
        <f t="shared" si="212"/>
        <v>0</v>
      </c>
      <c r="BL75" s="4">
        <f t="shared" si="213"/>
        <v>430000</v>
      </c>
      <c r="BM75" s="4">
        <f t="shared" si="214"/>
        <v>507000</v>
      </c>
      <c r="BN75" s="4">
        <f t="shared" si="215"/>
        <v>136500</v>
      </c>
      <c r="BO75" s="94">
        <f t="shared" si="216"/>
        <v>0</v>
      </c>
      <c r="BP75" s="94">
        <f t="shared" si="217"/>
        <v>0</v>
      </c>
      <c r="BQ75" s="94">
        <f t="shared" si="218"/>
        <v>0</v>
      </c>
      <c r="BR75" s="94">
        <f t="shared" si="219"/>
        <v>0</v>
      </c>
      <c r="BS75" s="9">
        <f t="shared" si="220"/>
        <v>1073500</v>
      </c>
    </row>
    <row r="76" spans="1:71" ht="47.25">
      <c r="A76" s="186"/>
      <c r="B76" s="8">
        <v>3</v>
      </c>
      <c r="C76" s="156" t="s">
        <v>506</v>
      </c>
      <c r="D76" s="156" t="s">
        <v>507</v>
      </c>
      <c r="E76" s="156" t="s">
        <v>159</v>
      </c>
      <c r="F76" s="4"/>
      <c r="G76" s="4"/>
      <c r="H76" s="4"/>
      <c r="I76" s="4"/>
      <c r="J76" s="4"/>
      <c r="K76" s="4"/>
      <c r="L76" s="4"/>
      <c r="M76" s="4"/>
      <c r="N76" s="9">
        <f t="shared" si="206"/>
        <v>0</v>
      </c>
      <c r="O76" s="4"/>
      <c r="P76" s="4"/>
      <c r="Q76" s="4"/>
      <c r="R76" s="4"/>
      <c r="S76" s="4"/>
      <c r="T76" s="4"/>
      <c r="U76" s="4"/>
      <c r="V76" s="4">
        <f>180000+240000+120000+180000</f>
        <v>720000</v>
      </c>
      <c r="W76" s="9">
        <f t="shared" si="25"/>
        <v>720000</v>
      </c>
      <c r="X76" s="20"/>
      <c r="Y76" s="20"/>
      <c r="Z76" s="20"/>
      <c r="AA76" s="20"/>
      <c r="AB76" s="20"/>
      <c r="AC76" s="20"/>
      <c r="AD76" s="20"/>
      <c r="AE76" s="20"/>
      <c r="AF76" s="9">
        <f t="shared" si="207"/>
        <v>0</v>
      </c>
      <c r="AG76" s="20"/>
      <c r="AH76" s="20"/>
      <c r="AI76" s="20"/>
      <c r="AJ76" s="20"/>
      <c r="AK76" s="20"/>
      <c r="AL76" s="20"/>
      <c r="AM76" s="20"/>
      <c r="AN76" s="20"/>
      <c r="AO76" s="21">
        <f t="shared" si="208"/>
        <v>0</v>
      </c>
      <c r="AP76" s="25"/>
      <c r="AQ76" s="20"/>
      <c r="AR76" s="20"/>
      <c r="AS76" s="20"/>
      <c r="AT76" s="20"/>
      <c r="AU76" s="21">
        <f t="shared" si="209"/>
        <v>0</v>
      </c>
      <c r="AV76" s="25"/>
      <c r="AW76" s="20"/>
      <c r="AX76" s="20"/>
      <c r="AY76" s="20"/>
      <c r="AZ76" s="20"/>
      <c r="BA76" s="21">
        <f t="shared" si="210"/>
        <v>0</v>
      </c>
      <c r="BB76" s="25"/>
      <c r="BC76" s="25"/>
      <c r="BD76" s="25"/>
      <c r="BE76" s="25"/>
      <c r="BF76" s="20"/>
      <c r="BG76" s="20"/>
      <c r="BH76" s="20"/>
      <c r="BI76" s="20"/>
      <c r="BJ76" s="21">
        <f t="shared" si="211"/>
        <v>0</v>
      </c>
      <c r="BK76" s="4"/>
      <c r="BL76" s="4"/>
      <c r="BM76" s="4"/>
      <c r="BN76" s="4"/>
      <c r="BO76" s="94"/>
      <c r="BP76" s="94"/>
      <c r="BQ76" s="94"/>
      <c r="BR76" s="94">
        <f t="shared" si="219"/>
        <v>720000</v>
      </c>
      <c r="BS76" s="9">
        <f t="shared" si="220"/>
        <v>720000</v>
      </c>
    </row>
    <row r="77" spans="1:71">
      <c r="A77" s="186"/>
      <c r="B77" s="8">
        <v>4</v>
      </c>
      <c r="C77" s="1" t="s">
        <v>164</v>
      </c>
      <c r="D77" s="4" t="s">
        <v>165</v>
      </c>
      <c r="E77" s="4" t="s">
        <v>159</v>
      </c>
      <c r="F77" s="4"/>
      <c r="G77" s="4">
        <v>942500</v>
      </c>
      <c r="H77" s="4">
        <v>87500</v>
      </c>
      <c r="I77" s="4"/>
      <c r="J77" s="4"/>
      <c r="K77" s="4"/>
      <c r="L77" s="4"/>
      <c r="M77" s="4"/>
      <c r="N77" s="9">
        <f t="shared" si="206"/>
        <v>1030000</v>
      </c>
      <c r="O77" s="4"/>
      <c r="P77" s="4"/>
      <c r="Q77" s="4"/>
      <c r="R77" s="4"/>
      <c r="S77" s="4"/>
      <c r="T77" s="4"/>
      <c r="U77" s="4"/>
      <c r="V77" s="4"/>
      <c r="W77" s="9">
        <f t="shared" si="25"/>
        <v>0</v>
      </c>
      <c r="X77" s="20"/>
      <c r="Y77" s="22">
        <v>794000</v>
      </c>
      <c r="Z77" s="20"/>
      <c r="AA77" s="20"/>
      <c r="AB77" s="20"/>
      <c r="AC77" s="20"/>
      <c r="AD77" s="20"/>
      <c r="AE77" s="20"/>
      <c r="AF77" s="9">
        <f t="shared" si="207"/>
        <v>794000</v>
      </c>
      <c r="AG77" s="20"/>
      <c r="AH77" s="20"/>
      <c r="AI77" s="25"/>
      <c r="AJ77" s="25"/>
      <c r="AK77" s="20"/>
      <c r="AL77" s="20"/>
      <c r="AM77" s="20"/>
      <c r="AN77" s="20"/>
      <c r="AO77" s="21">
        <f t="shared" si="208"/>
        <v>0</v>
      </c>
      <c r="AP77" s="25"/>
      <c r="AQ77" s="20"/>
      <c r="AR77" s="20"/>
      <c r="AS77" s="20"/>
      <c r="AT77" s="20"/>
      <c r="AU77" s="21">
        <f t="shared" si="209"/>
        <v>0</v>
      </c>
      <c r="AV77" s="25"/>
      <c r="AW77" s="20"/>
      <c r="AX77" s="20"/>
      <c r="AY77" s="20"/>
      <c r="AZ77" s="20"/>
      <c r="BA77" s="21">
        <f t="shared" si="210"/>
        <v>0</v>
      </c>
      <c r="BB77" s="25"/>
      <c r="BC77" s="25"/>
      <c r="BD77" s="25"/>
      <c r="BE77" s="25"/>
      <c r="BF77" s="20"/>
      <c r="BG77" s="20"/>
      <c r="BH77" s="20"/>
      <c r="BI77" s="20"/>
      <c r="BJ77" s="21">
        <f t="shared" si="211"/>
        <v>0</v>
      </c>
      <c r="BK77" s="4">
        <f t="shared" si="212"/>
        <v>0</v>
      </c>
      <c r="BL77" s="4">
        <f t="shared" si="213"/>
        <v>1736500</v>
      </c>
      <c r="BM77" s="4">
        <f t="shared" si="214"/>
        <v>87500</v>
      </c>
      <c r="BN77" s="4">
        <f t="shared" si="215"/>
        <v>0</v>
      </c>
      <c r="BO77" s="94">
        <f t="shared" si="216"/>
        <v>0</v>
      </c>
      <c r="BP77" s="94">
        <f t="shared" si="217"/>
        <v>0</v>
      </c>
      <c r="BQ77" s="94">
        <f t="shared" si="218"/>
        <v>0</v>
      </c>
      <c r="BR77" s="94">
        <f t="shared" si="219"/>
        <v>0</v>
      </c>
      <c r="BS77" s="9">
        <f t="shared" si="220"/>
        <v>1824000</v>
      </c>
    </row>
    <row r="78" spans="1:71">
      <c r="A78" s="186"/>
      <c r="B78" s="8">
        <v>5</v>
      </c>
      <c r="C78" s="1" t="s">
        <v>166</v>
      </c>
      <c r="D78" s="4" t="s">
        <v>167</v>
      </c>
      <c r="E78" s="4" t="s">
        <v>159</v>
      </c>
      <c r="F78" s="4"/>
      <c r="G78" s="4"/>
      <c r="H78" s="4">
        <f>155000+104500+93500+110000+20000</f>
        <v>483000</v>
      </c>
      <c r="I78" s="4">
        <v>884000</v>
      </c>
      <c r="J78" s="4">
        <f>70000+210000+210000+210000+140000</f>
        <v>840000</v>
      </c>
      <c r="K78" s="4">
        <f>1000000+220000+110000</f>
        <v>1330000</v>
      </c>
      <c r="L78" s="4">
        <v>1320000</v>
      </c>
      <c r="M78" s="4">
        <v>1210000</v>
      </c>
      <c r="N78" s="9">
        <f t="shared" si="206"/>
        <v>6067000</v>
      </c>
      <c r="O78" s="4"/>
      <c r="P78" s="4"/>
      <c r="Q78" s="4"/>
      <c r="R78" s="4"/>
      <c r="S78" s="4"/>
      <c r="T78" s="4"/>
      <c r="U78" s="4"/>
      <c r="V78" s="4"/>
      <c r="W78" s="9">
        <f t="shared" si="25"/>
        <v>0</v>
      </c>
      <c r="X78" s="20"/>
      <c r="Y78" s="20"/>
      <c r="Z78" s="20"/>
      <c r="AA78" s="20"/>
      <c r="AB78" s="20"/>
      <c r="AC78" s="20"/>
      <c r="AD78" s="20"/>
      <c r="AE78" s="20"/>
      <c r="AF78" s="9">
        <f t="shared" si="207"/>
        <v>0</v>
      </c>
      <c r="AG78" s="20"/>
      <c r="AH78" s="20"/>
      <c r="AI78" s="20"/>
      <c r="AJ78" s="20"/>
      <c r="AK78" s="20"/>
      <c r="AL78" s="20"/>
      <c r="AM78" s="20"/>
      <c r="AN78" s="20"/>
      <c r="AO78" s="21">
        <f t="shared" si="208"/>
        <v>0</v>
      </c>
      <c r="AP78" s="25"/>
      <c r="AQ78" s="20"/>
      <c r="AR78" s="20"/>
      <c r="AS78" s="20"/>
      <c r="AT78" s="20"/>
      <c r="AU78" s="21">
        <f t="shared" si="209"/>
        <v>0</v>
      </c>
      <c r="AV78" s="25"/>
      <c r="AW78" s="20"/>
      <c r="AX78" s="20"/>
      <c r="AY78" s="20"/>
      <c r="AZ78" s="20"/>
      <c r="BA78" s="21">
        <f t="shared" si="210"/>
        <v>0</v>
      </c>
      <c r="BB78" s="25"/>
      <c r="BC78" s="25"/>
      <c r="BD78" s="25"/>
      <c r="BE78" s="25"/>
      <c r="BF78" s="20"/>
      <c r="BG78" s="20"/>
      <c r="BH78" s="20"/>
      <c r="BI78" s="20"/>
      <c r="BJ78" s="21">
        <f t="shared" si="211"/>
        <v>0</v>
      </c>
      <c r="BK78" s="4">
        <f t="shared" si="212"/>
        <v>0</v>
      </c>
      <c r="BL78" s="4">
        <f t="shared" si="213"/>
        <v>0</v>
      </c>
      <c r="BM78" s="4">
        <f t="shared" si="214"/>
        <v>483000</v>
      </c>
      <c r="BN78" s="4">
        <f t="shared" si="215"/>
        <v>884000</v>
      </c>
      <c r="BO78" s="94">
        <f t="shared" si="216"/>
        <v>840000</v>
      </c>
      <c r="BP78" s="94">
        <f t="shared" si="217"/>
        <v>1330000</v>
      </c>
      <c r="BQ78" s="94">
        <f t="shared" si="218"/>
        <v>1320000</v>
      </c>
      <c r="BR78" s="94">
        <f t="shared" si="219"/>
        <v>1210000</v>
      </c>
      <c r="BS78" s="9">
        <f t="shared" si="220"/>
        <v>6067000</v>
      </c>
    </row>
    <row r="79" spans="1:71">
      <c r="A79" s="186"/>
      <c r="B79" s="8">
        <v>6</v>
      </c>
      <c r="C79" s="1" t="s">
        <v>168</v>
      </c>
      <c r="D79" s="4" t="s">
        <v>169</v>
      </c>
      <c r="E79" s="4" t="s">
        <v>159</v>
      </c>
      <c r="F79" s="4"/>
      <c r="G79" s="4">
        <v>155000</v>
      </c>
      <c r="H79" s="4">
        <v>469000</v>
      </c>
      <c r="I79" s="4">
        <v>632000</v>
      </c>
      <c r="J79" s="4">
        <f>38500+126000+129500+112000+70000</f>
        <v>476000</v>
      </c>
      <c r="K79" s="4">
        <v>35000</v>
      </c>
      <c r="L79" s="4"/>
      <c r="M79" s="4">
        <v>1043000</v>
      </c>
      <c r="N79" s="9">
        <f t="shared" si="206"/>
        <v>2810000</v>
      </c>
      <c r="O79" s="4"/>
      <c r="P79" s="4"/>
      <c r="Q79" s="4"/>
      <c r="R79" s="4"/>
      <c r="S79" s="4"/>
      <c r="T79" s="4"/>
      <c r="U79" s="4"/>
      <c r="V79" s="4"/>
      <c r="W79" s="9">
        <f t="shared" si="25"/>
        <v>0</v>
      </c>
      <c r="X79" s="20"/>
      <c r="Y79" s="20"/>
      <c r="Z79" s="20"/>
      <c r="AA79" s="20"/>
      <c r="AB79" s="20"/>
      <c r="AC79" s="20"/>
      <c r="AD79" s="20"/>
      <c r="AE79" s="20"/>
      <c r="AF79" s="9">
        <f t="shared" si="207"/>
        <v>0</v>
      </c>
      <c r="AG79" s="20"/>
      <c r="AH79" s="20"/>
      <c r="AI79" s="20"/>
      <c r="AJ79" s="20"/>
      <c r="AK79" s="20"/>
      <c r="AL79" s="20"/>
      <c r="AM79" s="20"/>
      <c r="AN79" s="20"/>
      <c r="AO79" s="21">
        <f t="shared" si="208"/>
        <v>0</v>
      </c>
      <c r="AP79" s="25"/>
      <c r="AQ79" s="20"/>
      <c r="AR79" s="20"/>
      <c r="AS79" s="20"/>
      <c r="AT79" s="20"/>
      <c r="AU79" s="21">
        <f t="shared" si="209"/>
        <v>0</v>
      </c>
      <c r="AV79" s="25"/>
      <c r="AW79" s="20"/>
      <c r="AX79" s="20"/>
      <c r="AY79" s="20"/>
      <c r="AZ79" s="20"/>
      <c r="BA79" s="21">
        <f t="shared" si="210"/>
        <v>0</v>
      </c>
      <c r="BB79" s="25"/>
      <c r="BC79" s="25"/>
      <c r="BD79" s="25"/>
      <c r="BE79" s="25"/>
      <c r="BF79" s="20"/>
      <c r="BG79" s="20"/>
      <c r="BH79" s="20"/>
      <c r="BI79" s="20"/>
      <c r="BJ79" s="21">
        <f t="shared" si="211"/>
        <v>0</v>
      </c>
      <c r="BK79" s="4">
        <f t="shared" si="212"/>
        <v>0</v>
      </c>
      <c r="BL79" s="4">
        <f t="shared" si="213"/>
        <v>155000</v>
      </c>
      <c r="BM79" s="4">
        <f t="shared" si="214"/>
        <v>469000</v>
      </c>
      <c r="BN79" s="4">
        <f t="shared" si="215"/>
        <v>632000</v>
      </c>
      <c r="BO79" s="94">
        <f t="shared" si="216"/>
        <v>476000</v>
      </c>
      <c r="BP79" s="94">
        <f t="shared" si="217"/>
        <v>35000</v>
      </c>
      <c r="BQ79" s="94">
        <f t="shared" si="218"/>
        <v>0</v>
      </c>
      <c r="BR79" s="94">
        <f t="shared" si="219"/>
        <v>1043000</v>
      </c>
      <c r="BS79" s="9">
        <f t="shared" si="220"/>
        <v>2810000</v>
      </c>
    </row>
    <row r="80" spans="1:71">
      <c r="A80" s="186"/>
      <c r="B80" s="8">
        <v>7</v>
      </c>
      <c r="C80" s="1" t="s">
        <v>170</v>
      </c>
      <c r="D80" s="4" t="s">
        <v>171</v>
      </c>
      <c r="E80" s="4" t="s">
        <v>159</v>
      </c>
      <c r="F80" s="4"/>
      <c r="G80" s="4"/>
      <c r="H80" s="4"/>
      <c r="I80" s="4"/>
      <c r="J80" s="4"/>
      <c r="K80" s="4"/>
      <c r="L80" s="4"/>
      <c r="M80" s="4"/>
      <c r="N80" s="9">
        <f t="shared" si="206"/>
        <v>0</v>
      </c>
      <c r="O80" s="4"/>
      <c r="P80" s="4"/>
      <c r="Q80" s="4"/>
      <c r="R80" s="4"/>
      <c r="S80" s="4"/>
      <c r="T80" s="4"/>
      <c r="U80" s="4"/>
      <c r="V80" s="4"/>
      <c r="W80" s="9">
        <f t="shared" si="25"/>
        <v>0</v>
      </c>
      <c r="X80" s="20"/>
      <c r="Y80" s="20"/>
      <c r="Z80" s="20"/>
      <c r="AA80" s="20"/>
      <c r="AB80" s="20"/>
      <c r="AC80" s="20"/>
      <c r="AD80" s="20"/>
      <c r="AE80" s="20"/>
      <c r="AF80" s="9">
        <f t="shared" si="207"/>
        <v>0</v>
      </c>
      <c r="AG80" s="20"/>
      <c r="AH80" s="25">
        <v>232800</v>
      </c>
      <c r="AI80" s="25">
        <v>424050</v>
      </c>
      <c r="AJ80" s="25">
        <v>229000</v>
      </c>
      <c r="AK80" s="20">
        <f>59500+31500+168000+126000+42000</f>
        <v>427000</v>
      </c>
      <c r="AL80" s="20">
        <f>411600+138600+46200</f>
        <v>596400</v>
      </c>
      <c r="AM80" s="20">
        <v>596750</v>
      </c>
      <c r="AN80" s="20">
        <v>531200</v>
      </c>
      <c r="AO80" s="21">
        <f t="shared" si="208"/>
        <v>3037200</v>
      </c>
      <c r="AP80" s="25"/>
      <c r="AQ80" s="20"/>
      <c r="AR80" s="20"/>
      <c r="AS80" s="20"/>
      <c r="AT80" s="20"/>
      <c r="AU80" s="21">
        <f t="shared" si="209"/>
        <v>0</v>
      </c>
      <c r="AV80" s="25"/>
      <c r="AW80" s="20"/>
      <c r="AX80" s="20"/>
      <c r="AY80" s="20"/>
      <c r="AZ80" s="20"/>
      <c r="BA80" s="21">
        <f t="shared" si="210"/>
        <v>0</v>
      </c>
      <c r="BB80" s="25"/>
      <c r="BC80" s="25"/>
      <c r="BD80" s="25"/>
      <c r="BE80" s="25"/>
      <c r="BF80" s="20"/>
      <c r="BG80" s="20"/>
      <c r="BH80" s="20"/>
      <c r="BI80" s="20"/>
      <c r="BJ80" s="21">
        <f t="shared" si="211"/>
        <v>0</v>
      </c>
      <c r="BK80" s="4">
        <f t="shared" si="212"/>
        <v>0</v>
      </c>
      <c r="BL80" s="4">
        <f t="shared" si="213"/>
        <v>232800</v>
      </c>
      <c r="BM80" s="4">
        <f t="shared" si="214"/>
        <v>424050</v>
      </c>
      <c r="BN80" s="4">
        <f t="shared" si="215"/>
        <v>229000</v>
      </c>
      <c r="BO80" s="94">
        <f t="shared" si="216"/>
        <v>427000</v>
      </c>
      <c r="BP80" s="94">
        <f t="shared" si="217"/>
        <v>596400</v>
      </c>
      <c r="BQ80" s="94">
        <f t="shared" si="218"/>
        <v>596750</v>
      </c>
      <c r="BR80" s="94">
        <f t="shared" si="219"/>
        <v>531200</v>
      </c>
      <c r="BS80" s="9">
        <f t="shared" si="220"/>
        <v>3037200</v>
      </c>
    </row>
    <row r="81" spans="1:71">
      <c r="A81" s="186"/>
      <c r="B81" s="8">
        <v>8</v>
      </c>
      <c r="C81" s="1" t="s">
        <v>172</v>
      </c>
      <c r="D81" s="4" t="s">
        <v>165</v>
      </c>
      <c r="E81" s="4" t="s">
        <v>159</v>
      </c>
      <c r="F81" s="4"/>
      <c r="G81" s="4"/>
      <c r="H81" s="4">
        <v>155000</v>
      </c>
      <c r="I81" s="4">
        <v>-155000</v>
      </c>
      <c r="J81" s="4"/>
      <c r="K81" s="4"/>
      <c r="L81" s="4"/>
      <c r="M81" s="4"/>
      <c r="N81" s="9">
        <f t="shared" si="206"/>
        <v>0</v>
      </c>
      <c r="O81" s="4"/>
      <c r="P81" s="4"/>
      <c r="Q81" s="4"/>
      <c r="R81" s="4"/>
      <c r="S81" s="4"/>
      <c r="T81" s="4"/>
      <c r="U81" s="4"/>
      <c r="V81" s="4"/>
      <c r="W81" s="9">
        <f t="shared" si="25"/>
        <v>0</v>
      </c>
      <c r="X81" s="20"/>
      <c r="Y81" s="20"/>
      <c r="Z81" s="20"/>
      <c r="AA81" s="20"/>
      <c r="AB81" s="20"/>
      <c r="AC81" s="20"/>
      <c r="AD81" s="20"/>
      <c r="AE81" s="20"/>
      <c r="AF81" s="9">
        <f t="shared" si="207"/>
        <v>0</v>
      </c>
      <c r="AG81" s="20"/>
      <c r="AH81" s="20"/>
      <c r="AI81" s="20"/>
      <c r="AJ81" s="20"/>
      <c r="AK81" s="20"/>
      <c r="AL81" s="20"/>
      <c r="AM81" s="20"/>
      <c r="AN81" s="20"/>
      <c r="AO81" s="21">
        <f t="shared" si="208"/>
        <v>0</v>
      </c>
      <c r="AP81" s="25"/>
      <c r="AQ81" s="20"/>
      <c r="AR81" s="20"/>
      <c r="AS81" s="20"/>
      <c r="AT81" s="20"/>
      <c r="AU81" s="21">
        <f t="shared" si="209"/>
        <v>0</v>
      </c>
      <c r="AV81" s="25"/>
      <c r="AW81" s="20"/>
      <c r="AX81" s="20"/>
      <c r="AY81" s="20"/>
      <c r="AZ81" s="20"/>
      <c r="BA81" s="21">
        <f t="shared" si="210"/>
        <v>0</v>
      </c>
      <c r="BB81" s="25"/>
      <c r="BC81" s="25"/>
      <c r="BD81" s="25"/>
      <c r="BE81" s="25"/>
      <c r="BF81" s="20"/>
      <c r="BG81" s="20"/>
      <c r="BH81" s="20"/>
      <c r="BI81" s="20"/>
      <c r="BJ81" s="21">
        <f t="shared" si="211"/>
        <v>0</v>
      </c>
      <c r="BK81" s="4">
        <f t="shared" si="212"/>
        <v>0</v>
      </c>
      <c r="BL81" s="4">
        <f t="shared" si="213"/>
        <v>0</v>
      </c>
      <c r="BM81" s="4">
        <f t="shared" si="214"/>
        <v>155000</v>
      </c>
      <c r="BN81" s="4">
        <f t="shared" si="215"/>
        <v>-155000</v>
      </c>
      <c r="BO81" s="94">
        <f t="shared" si="216"/>
        <v>0</v>
      </c>
      <c r="BP81" s="94">
        <f t="shared" si="217"/>
        <v>0</v>
      </c>
      <c r="BQ81" s="94">
        <f t="shared" si="218"/>
        <v>0</v>
      </c>
      <c r="BR81" s="94">
        <f t="shared" si="219"/>
        <v>0</v>
      </c>
      <c r="BS81" s="9">
        <f t="shared" si="220"/>
        <v>0</v>
      </c>
    </row>
    <row r="82" spans="1:71" ht="31.5">
      <c r="A82" s="186"/>
      <c r="B82" s="8">
        <v>9</v>
      </c>
      <c r="C82" s="1" t="s">
        <v>173</v>
      </c>
      <c r="D82" s="4" t="s">
        <v>174</v>
      </c>
      <c r="E82" s="4" t="s">
        <v>159</v>
      </c>
      <c r="F82" s="4"/>
      <c r="G82" s="4"/>
      <c r="H82" s="4">
        <v>155000</v>
      </c>
      <c r="I82" s="4"/>
      <c r="J82" s="4"/>
      <c r="K82" s="4"/>
      <c r="L82" s="4"/>
      <c r="M82" s="4"/>
      <c r="N82" s="9">
        <f t="shared" si="206"/>
        <v>155000</v>
      </c>
      <c r="O82" s="4"/>
      <c r="P82" s="4"/>
      <c r="Q82" s="4"/>
      <c r="R82" s="4"/>
      <c r="S82" s="4"/>
      <c r="T82" s="4"/>
      <c r="U82" s="4"/>
      <c r="V82" s="4"/>
      <c r="W82" s="9">
        <f t="shared" si="25"/>
        <v>0</v>
      </c>
      <c r="X82" s="20"/>
      <c r="Y82" s="20"/>
      <c r="Z82" s="20"/>
      <c r="AA82" s="20"/>
      <c r="AB82" s="20"/>
      <c r="AC82" s="20"/>
      <c r="AD82" s="20"/>
      <c r="AE82" s="20"/>
      <c r="AF82" s="9">
        <f t="shared" si="207"/>
        <v>0</v>
      </c>
      <c r="AG82" s="20"/>
      <c r="AH82" s="20"/>
      <c r="AI82" s="20"/>
      <c r="AJ82" s="20"/>
      <c r="AK82" s="20"/>
      <c r="AL82" s="20"/>
      <c r="AM82" s="20"/>
      <c r="AN82" s="20"/>
      <c r="AO82" s="21">
        <f t="shared" si="208"/>
        <v>0</v>
      </c>
      <c r="AP82" s="25"/>
      <c r="AQ82" s="20"/>
      <c r="AR82" s="20"/>
      <c r="AS82" s="20"/>
      <c r="AT82" s="20"/>
      <c r="AU82" s="21">
        <f t="shared" si="209"/>
        <v>0</v>
      </c>
      <c r="AV82" s="25"/>
      <c r="AW82" s="20"/>
      <c r="AX82" s="20"/>
      <c r="AY82" s="20"/>
      <c r="AZ82" s="20"/>
      <c r="BA82" s="21">
        <f t="shared" si="210"/>
        <v>0</v>
      </c>
      <c r="BB82" s="25"/>
      <c r="BC82" s="25"/>
      <c r="BD82" s="25"/>
      <c r="BE82" s="25"/>
      <c r="BF82" s="20"/>
      <c r="BG82" s="20"/>
      <c r="BH82" s="20"/>
      <c r="BI82" s="20"/>
      <c r="BJ82" s="21">
        <f t="shared" si="211"/>
        <v>0</v>
      </c>
      <c r="BK82" s="4">
        <f t="shared" si="212"/>
        <v>0</v>
      </c>
      <c r="BL82" s="4">
        <f t="shared" si="213"/>
        <v>0</v>
      </c>
      <c r="BM82" s="4">
        <f t="shared" si="214"/>
        <v>155000</v>
      </c>
      <c r="BN82" s="4">
        <f t="shared" si="215"/>
        <v>0</v>
      </c>
      <c r="BO82" s="94">
        <f t="shared" si="216"/>
        <v>0</v>
      </c>
      <c r="BP82" s="94">
        <f t="shared" si="217"/>
        <v>0</v>
      </c>
      <c r="BQ82" s="94">
        <f t="shared" si="218"/>
        <v>0</v>
      </c>
      <c r="BR82" s="94">
        <f t="shared" si="219"/>
        <v>0</v>
      </c>
      <c r="BS82" s="9">
        <f t="shared" si="220"/>
        <v>155000</v>
      </c>
    </row>
    <row r="83" spans="1:71">
      <c r="A83" s="187"/>
      <c r="B83" s="8">
        <v>10</v>
      </c>
      <c r="C83" s="1" t="s">
        <v>175</v>
      </c>
      <c r="D83" s="4" t="s">
        <v>163</v>
      </c>
      <c r="E83" s="4" t="s">
        <v>159</v>
      </c>
      <c r="F83" s="4"/>
      <c r="G83" s="4"/>
      <c r="H83" s="4">
        <v>155000</v>
      </c>
      <c r="I83" s="4">
        <v>776500</v>
      </c>
      <c r="J83" s="4">
        <f>200000+273000+210000+140000</f>
        <v>823000</v>
      </c>
      <c r="K83" s="4">
        <v>160000</v>
      </c>
      <c r="L83" s="4"/>
      <c r="M83" s="4"/>
      <c r="N83" s="9">
        <f t="shared" si="206"/>
        <v>1914500</v>
      </c>
      <c r="O83" s="4"/>
      <c r="P83" s="4"/>
      <c r="Q83" s="4"/>
      <c r="R83" s="4"/>
      <c r="S83" s="4"/>
      <c r="T83" s="4"/>
      <c r="U83" s="4"/>
      <c r="V83" s="4"/>
      <c r="W83" s="9">
        <f t="shared" ref="W83" si="221">SUM(O83:V83)</f>
        <v>0</v>
      </c>
      <c r="X83" s="20"/>
      <c r="Y83" s="20"/>
      <c r="Z83" s="20"/>
      <c r="AA83" s="20"/>
      <c r="AB83" s="20"/>
      <c r="AC83" s="20"/>
      <c r="AD83" s="20"/>
      <c r="AE83" s="20"/>
      <c r="AF83" s="9">
        <f t="shared" si="207"/>
        <v>0</v>
      </c>
      <c r="AG83" s="20"/>
      <c r="AH83" s="20"/>
      <c r="AI83" s="20"/>
      <c r="AJ83" s="20"/>
      <c r="AK83" s="20"/>
      <c r="AL83" s="20"/>
      <c r="AM83" s="20"/>
      <c r="AN83" s="20"/>
      <c r="AO83" s="21">
        <f t="shared" si="208"/>
        <v>0</v>
      </c>
      <c r="AP83" s="25"/>
      <c r="AQ83" s="20"/>
      <c r="AR83" s="20"/>
      <c r="AS83" s="20"/>
      <c r="AT83" s="20"/>
      <c r="AU83" s="21">
        <f t="shared" si="209"/>
        <v>0</v>
      </c>
      <c r="AV83" s="25"/>
      <c r="AW83" s="20"/>
      <c r="AX83" s="20"/>
      <c r="AY83" s="20"/>
      <c r="AZ83" s="20"/>
      <c r="BA83" s="21">
        <f t="shared" si="210"/>
        <v>0</v>
      </c>
      <c r="BB83" s="25"/>
      <c r="BC83" s="25"/>
      <c r="BD83" s="25"/>
      <c r="BE83" s="25"/>
      <c r="BF83" s="20"/>
      <c r="BG83" s="20"/>
      <c r="BH83" s="20"/>
      <c r="BI83" s="20"/>
      <c r="BJ83" s="21">
        <f t="shared" si="211"/>
        <v>0</v>
      </c>
      <c r="BK83" s="4">
        <f t="shared" si="212"/>
        <v>0</v>
      </c>
      <c r="BL83" s="4">
        <f t="shared" si="213"/>
        <v>0</v>
      </c>
      <c r="BM83" s="4">
        <f t="shared" si="214"/>
        <v>155000</v>
      </c>
      <c r="BN83" s="4">
        <f t="shared" si="215"/>
        <v>776500</v>
      </c>
      <c r="BO83" s="94">
        <f t="shared" si="216"/>
        <v>823000</v>
      </c>
      <c r="BP83" s="94">
        <f t="shared" si="217"/>
        <v>160000</v>
      </c>
      <c r="BQ83" s="94">
        <f t="shared" si="218"/>
        <v>0</v>
      </c>
      <c r="BR83" s="94">
        <f t="shared" si="219"/>
        <v>0</v>
      </c>
      <c r="BS83" s="9">
        <f t="shared" si="220"/>
        <v>1914500</v>
      </c>
    </row>
    <row r="84" spans="1:71" s="38" customFormat="1">
      <c r="A84" s="34"/>
      <c r="B84" s="34"/>
      <c r="C84" s="35" t="s">
        <v>176</v>
      </c>
      <c r="D84" s="37"/>
      <c r="E84" s="37"/>
      <c r="F84" s="37">
        <f>SUM(F74:F83)</f>
        <v>0</v>
      </c>
      <c r="G84" s="37">
        <f t="shared" ref="G84:BS84" si="222">SUM(G74:G83)</f>
        <v>1527500</v>
      </c>
      <c r="H84" s="37">
        <f t="shared" si="222"/>
        <v>2166500</v>
      </c>
      <c r="I84" s="37">
        <f t="shared" si="222"/>
        <v>2274000</v>
      </c>
      <c r="J84" s="37">
        <f t="shared" si="222"/>
        <v>2139000</v>
      </c>
      <c r="K84" s="37">
        <f t="shared" si="222"/>
        <v>1525000</v>
      </c>
      <c r="L84" s="37">
        <f t="shared" si="222"/>
        <v>1320000</v>
      </c>
      <c r="M84" s="37">
        <f t="shared" ref="M84" si="223">SUM(M74:M83)</f>
        <v>2913000</v>
      </c>
      <c r="N84" s="37">
        <f t="shared" si="222"/>
        <v>13865000</v>
      </c>
      <c r="O84" s="37">
        <f t="shared" si="222"/>
        <v>0</v>
      </c>
      <c r="P84" s="37">
        <f t="shared" si="222"/>
        <v>0</v>
      </c>
      <c r="Q84" s="37">
        <f t="shared" si="222"/>
        <v>0</v>
      </c>
      <c r="R84" s="37">
        <f t="shared" si="222"/>
        <v>0</v>
      </c>
      <c r="S84" s="37">
        <f t="shared" si="222"/>
        <v>0</v>
      </c>
      <c r="T84" s="37">
        <f t="shared" si="222"/>
        <v>0</v>
      </c>
      <c r="U84" s="37">
        <f t="shared" si="222"/>
        <v>0</v>
      </c>
      <c r="V84" s="37">
        <f t="shared" ref="V84" si="224">SUM(V74:V83)</f>
        <v>720000</v>
      </c>
      <c r="W84" s="37">
        <f t="shared" si="222"/>
        <v>720000</v>
      </c>
      <c r="X84" s="37">
        <f t="shared" si="222"/>
        <v>0</v>
      </c>
      <c r="Y84" s="37">
        <f t="shared" si="222"/>
        <v>794000</v>
      </c>
      <c r="Z84" s="37">
        <f t="shared" si="222"/>
        <v>0</v>
      </c>
      <c r="AA84" s="37">
        <f t="shared" si="222"/>
        <v>0</v>
      </c>
      <c r="AB84" s="37">
        <f t="shared" si="222"/>
        <v>0</v>
      </c>
      <c r="AC84" s="37">
        <f t="shared" si="222"/>
        <v>0</v>
      </c>
      <c r="AD84" s="37">
        <f t="shared" si="222"/>
        <v>0</v>
      </c>
      <c r="AE84" s="37">
        <f t="shared" ref="AE84" si="225">SUM(AE74:AE83)</f>
        <v>0</v>
      </c>
      <c r="AF84" s="37">
        <f t="shared" si="222"/>
        <v>794000</v>
      </c>
      <c r="AG84" s="37">
        <f t="shared" si="222"/>
        <v>0</v>
      </c>
      <c r="AH84" s="37">
        <f t="shared" si="222"/>
        <v>232800</v>
      </c>
      <c r="AI84" s="37">
        <f t="shared" si="222"/>
        <v>424050</v>
      </c>
      <c r="AJ84" s="37">
        <f t="shared" si="222"/>
        <v>229000</v>
      </c>
      <c r="AK84" s="37">
        <f t="shared" si="222"/>
        <v>427000</v>
      </c>
      <c r="AL84" s="37">
        <f t="shared" si="222"/>
        <v>596400</v>
      </c>
      <c r="AM84" s="37">
        <f t="shared" si="222"/>
        <v>596750</v>
      </c>
      <c r="AN84" s="37">
        <f t="shared" ref="AN84" si="226">SUM(AN74:AN83)</f>
        <v>531200</v>
      </c>
      <c r="AO84" s="37">
        <f t="shared" si="222"/>
        <v>3037200</v>
      </c>
      <c r="AP84" s="37">
        <f t="shared" si="222"/>
        <v>0</v>
      </c>
      <c r="AQ84" s="37">
        <f t="shared" si="222"/>
        <v>0</v>
      </c>
      <c r="AR84" s="37">
        <f t="shared" si="222"/>
        <v>0</v>
      </c>
      <c r="AS84" s="37">
        <f t="shared" si="222"/>
        <v>0</v>
      </c>
      <c r="AT84" s="37">
        <f t="shared" ref="AT84" si="227">SUM(AT74:AT83)</f>
        <v>0</v>
      </c>
      <c r="AU84" s="37">
        <f t="shared" si="222"/>
        <v>0</v>
      </c>
      <c r="AV84" s="37">
        <f t="shared" si="222"/>
        <v>0</v>
      </c>
      <c r="AW84" s="37">
        <f t="shared" si="222"/>
        <v>0</v>
      </c>
      <c r="AX84" s="37">
        <f t="shared" si="222"/>
        <v>0</v>
      </c>
      <c r="AY84" s="37">
        <f t="shared" si="222"/>
        <v>0</v>
      </c>
      <c r="AZ84" s="37">
        <f t="shared" ref="AZ84" si="228">SUM(AZ74:AZ83)</f>
        <v>0</v>
      </c>
      <c r="BA84" s="37">
        <f t="shared" si="222"/>
        <v>0</v>
      </c>
      <c r="BB84" s="37">
        <f t="shared" si="222"/>
        <v>0</v>
      </c>
      <c r="BC84" s="37">
        <f t="shared" si="222"/>
        <v>0</v>
      </c>
      <c r="BD84" s="37">
        <f t="shared" si="222"/>
        <v>0</v>
      </c>
      <c r="BE84" s="37">
        <f t="shared" si="222"/>
        <v>0</v>
      </c>
      <c r="BF84" s="37">
        <f t="shared" si="222"/>
        <v>0</v>
      </c>
      <c r="BG84" s="37">
        <f t="shared" si="222"/>
        <v>0</v>
      </c>
      <c r="BH84" s="37">
        <f t="shared" si="222"/>
        <v>0</v>
      </c>
      <c r="BI84" s="37">
        <f t="shared" ref="BI84" si="229">SUM(BI74:BI83)</f>
        <v>0</v>
      </c>
      <c r="BJ84" s="37">
        <f t="shared" si="222"/>
        <v>0</v>
      </c>
      <c r="BK84" s="37">
        <f t="shared" si="222"/>
        <v>0</v>
      </c>
      <c r="BL84" s="37">
        <f t="shared" si="222"/>
        <v>2554300</v>
      </c>
      <c r="BM84" s="37">
        <f t="shared" si="222"/>
        <v>2590550</v>
      </c>
      <c r="BN84" s="37">
        <f t="shared" si="222"/>
        <v>2503000</v>
      </c>
      <c r="BO84" s="37">
        <f t="shared" si="222"/>
        <v>2566000</v>
      </c>
      <c r="BP84" s="144">
        <f>SUM(BP74:BP83)</f>
        <v>2121400</v>
      </c>
      <c r="BQ84" s="37">
        <f t="shared" ref="BQ84:BR84" si="230">SUM(BQ74:BQ83)</f>
        <v>1916750</v>
      </c>
      <c r="BR84" s="37">
        <f t="shared" si="230"/>
        <v>4164200</v>
      </c>
      <c r="BS84" s="37">
        <f t="shared" si="222"/>
        <v>18416200</v>
      </c>
    </row>
    <row r="85" spans="1:71" ht="31.5">
      <c r="A85" s="151" t="s">
        <v>34</v>
      </c>
      <c r="B85" s="8">
        <v>1</v>
      </c>
      <c r="C85" s="1" t="s">
        <v>60</v>
      </c>
      <c r="D85" s="4" t="s">
        <v>33</v>
      </c>
      <c r="E85" s="4" t="s">
        <v>34</v>
      </c>
      <c r="F85" s="4"/>
      <c r="G85" s="4">
        <v>155000</v>
      </c>
      <c r="H85" s="4">
        <f>180000-155000</f>
        <v>25000</v>
      </c>
      <c r="I85" s="4">
        <v>160000</v>
      </c>
      <c r="J85" s="4">
        <f>590000+49000+378000</f>
        <v>1017000</v>
      </c>
      <c r="K85" s="4">
        <f>803000+185000+92500</f>
        <v>1080500</v>
      </c>
      <c r="L85" s="4">
        <v>1092000</v>
      </c>
      <c r="M85" s="4">
        <v>840100</v>
      </c>
      <c r="N85" s="9">
        <f>SUM(F85:M85)</f>
        <v>4369600</v>
      </c>
      <c r="O85" s="4"/>
      <c r="P85" s="4"/>
      <c r="Q85" s="4"/>
      <c r="R85" s="4"/>
      <c r="S85" s="4"/>
      <c r="T85" s="4"/>
      <c r="U85" s="4"/>
      <c r="V85" s="4"/>
      <c r="W85" s="9">
        <f t="shared" ref="W85" si="231">SUM(O85:V85)</f>
        <v>0</v>
      </c>
      <c r="X85" s="20"/>
      <c r="Y85" s="20"/>
      <c r="Z85" s="20"/>
      <c r="AA85" s="20"/>
      <c r="AB85" s="20"/>
      <c r="AC85" s="20"/>
      <c r="AD85" s="20"/>
      <c r="AE85" s="20"/>
      <c r="AF85" s="9">
        <f>SUM(X85:AE85)</f>
        <v>0</v>
      </c>
      <c r="AG85" s="20"/>
      <c r="AH85" s="20"/>
      <c r="AI85" s="20"/>
      <c r="AJ85" s="20"/>
      <c r="AK85" s="20"/>
      <c r="AL85" s="20"/>
      <c r="AM85" s="20"/>
      <c r="AN85" s="20"/>
      <c r="AO85" s="21">
        <f>SUM(AG85:AN85)</f>
        <v>0</v>
      </c>
      <c r="AP85" s="25"/>
      <c r="AQ85" s="20"/>
      <c r="AR85" s="20"/>
      <c r="AS85" s="20"/>
      <c r="AT85" s="20"/>
      <c r="AU85" s="21">
        <f>SUM(AP85:AT85)</f>
        <v>0</v>
      </c>
      <c r="AV85" s="25"/>
      <c r="AW85" s="20"/>
      <c r="AX85" s="20"/>
      <c r="AY85" s="20"/>
      <c r="AZ85" s="20"/>
      <c r="BA85" s="21">
        <f>SUM(AV85:AZ85)</f>
        <v>0</v>
      </c>
      <c r="BB85" s="25"/>
      <c r="BC85" s="25"/>
      <c r="BD85" s="25"/>
      <c r="BE85" s="25"/>
      <c r="BF85" s="20"/>
      <c r="BG85" s="20"/>
      <c r="BH85" s="20"/>
      <c r="BI85" s="20"/>
      <c r="BJ85" s="21">
        <f>SUM(BB85:BI85)</f>
        <v>0</v>
      </c>
      <c r="BK85" s="4">
        <f>F85+O85+X85+AG85+BB85</f>
        <v>0</v>
      </c>
      <c r="BL85" s="4">
        <f>G85+P85+Y85+AH85+BC85</f>
        <v>155000</v>
      </c>
      <c r="BM85" s="4">
        <f>H85+Q85+Z85+AI85+BD85</f>
        <v>25000</v>
      </c>
      <c r="BN85" s="4">
        <f>I85+R85+AA85+AJ85+AP85+AV85+BE85</f>
        <v>160000</v>
      </c>
      <c r="BO85" s="94">
        <f>J85+S85+AB85+AK85+AQ85+AW85+BF85</f>
        <v>1017000</v>
      </c>
      <c r="BP85" s="94">
        <f>K85+T85+AC85+AL85+AR85+AX85+BG85</f>
        <v>1080500</v>
      </c>
      <c r="BQ85" s="94">
        <f>L85+U85+AD85+AM85+AS85+AY85+BH85</f>
        <v>1092000</v>
      </c>
      <c r="BR85" s="94">
        <f>M85+V85+AE85+AN85+AT85+AZ85+BI85</f>
        <v>840100</v>
      </c>
      <c r="BS85" s="9">
        <f>SUM(BK85:BR85)</f>
        <v>4369600</v>
      </c>
    </row>
    <row r="86" spans="1:71" s="38" customFormat="1">
      <c r="A86" s="34"/>
      <c r="B86" s="34"/>
      <c r="C86" s="35" t="s">
        <v>177</v>
      </c>
      <c r="D86" s="37"/>
      <c r="E86" s="37"/>
      <c r="F86" s="37">
        <f>SUM(F85)</f>
        <v>0</v>
      </c>
      <c r="G86" s="37">
        <f t="shared" ref="G86:BS86" si="232">SUM(G85)</f>
        <v>155000</v>
      </c>
      <c r="H86" s="37">
        <f t="shared" si="232"/>
        <v>25000</v>
      </c>
      <c r="I86" s="37">
        <f t="shared" si="232"/>
        <v>160000</v>
      </c>
      <c r="J86" s="37">
        <f t="shared" si="232"/>
        <v>1017000</v>
      </c>
      <c r="K86" s="37">
        <f t="shared" si="232"/>
        <v>1080500</v>
      </c>
      <c r="L86" s="37">
        <f t="shared" si="232"/>
        <v>1092000</v>
      </c>
      <c r="M86" s="37">
        <f t="shared" ref="M86" si="233">SUM(M85)</f>
        <v>840100</v>
      </c>
      <c r="N86" s="37">
        <f t="shared" si="232"/>
        <v>4369600</v>
      </c>
      <c r="O86" s="37">
        <f t="shared" si="232"/>
        <v>0</v>
      </c>
      <c r="P86" s="37">
        <f t="shared" si="232"/>
        <v>0</v>
      </c>
      <c r="Q86" s="37">
        <f t="shared" si="232"/>
        <v>0</v>
      </c>
      <c r="R86" s="37">
        <f t="shared" si="232"/>
        <v>0</v>
      </c>
      <c r="S86" s="37">
        <f t="shared" si="232"/>
        <v>0</v>
      </c>
      <c r="T86" s="37">
        <f t="shared" si="232"/>
        <v>0</v>
      </c>
      <c r="U86" s="37">
        <f t="shared" si="232"/>
        <v>0</v>
      </c>
      <c r="V86" s="37">
        <f t="shared" ref="V86" si="234">SUM(V85)</f>
        <v>0</v>
      </c>
      <c r="W86" s="37">
        <f t="shared" si="232"/>
        <v>0</v>
      </c>
      <c r="X86" s="37">
        <f t="shared" si="232"/>
        <v>0</v>
      </c>
      <c r="Y86" s="37">
        <f t="shared" si="232"/>
        <v>0</v>
      </c>
      <c r="Z86" s="37">
        <f t="shared" si="232"/>
        <v>0</v>
      </c>
      <c r="AA86" s="37">
        <f t="shared" si="232"/>
        <v>0</v>
      </c>
      <c r="AB86" s="37">
        <f t="shared" si="232"/>
        <v>0</v>
      </c>
      <c r="AC86" s="37">
        <f t="shared" si="232"/>
        <v>0</v>
      </c>
      <c r="AD86" s="37">
        <f t="shared" si="232"/>
        <v>0</v>
      </c>
      <c r="AE86" s="37">
        <f t="shared" ref="AE86" si="235">SUM(AE85)</f>
        <v>0</v>
      </c>
      <c r="AF86" s="37">
        <f t="shared" si="232"/>
        <v>0</v>
      </c>
      <c r="AG86" s="37">
        <f t="shared" si="232"/>
        <v>0</v>
      </c>
      <c r="AH86" s="37">
        <f t="shared" si="232"/>
        <v>0</v>
      </c>
      <c r="AI86" s="37">
        <f t="shared" si="232"/>
        <v>0</v>
      </c>
      <c r="AJ86" s="37">
        <f t="shared" si="232"/>
        <v>0</v>
      </c>
      <c r="AK86" s="37">
        <f t="shared" si="232"/>
        <v>0</v>
      </c>
      <c r="AL86" s="37">
        <f t="shared" si="232"/>
        <v>0</v>
      </c>
      <c r="AM86" s="37">
        <f t="shared" si="232"/>
        <v>0</v>
      </c>
      <c r="AN86" s="37">
        <f t="shared" ref="AN86" si="236">SUM(AN85)</f>
        <v>0</v>
      </c>
      <c r="AO86" s="37">
        <f t="shared" si="232"/>
        <v>0</v>
      </c>
      <c r="AP86" s="37">
        <f t="shared" si="232"/>
        <v>0</v>
      </c>
      <c r="AQ86" s="37">
        <f t="shared" si="232"/>
        <v>0</v>
      </c>
      <c r="AR86" s="37">
        <f t="shared" si="232"/>
        <v>0</v>
      </c>
      <c r="AS86" s="37">
        <f t="shared" si="232"/>
        <v>0</v>
      </c>
      <c r="AT86" s="37">
        <f t="shared" ref="AT86" si="237">SUM(AT85)</f>
        <v>0</v>
      </c>
      <c r="AU86" s="37">
        <f t="shared" si="232"/>
        <v>0</v>
      </c>
      <c r="AV86" s="37">
        <f t="shared" si="232"/>
        <v>0</v>
      </c>
      <c r="AW86" s="37">
        <f t="shared" si="232"/>
        <v>0</v>
      </c>
      <c r="AX86" s="37">
        <f t="shared" si="232"/>
        <v>0</v>
      </c>
      <c r="AY86" s="37">
        <f t="shared" si="232"/>
        <v>0</v>
      </c>
      <c r="AZ86" s="37">
        <f t="shared" ref="AZ86" si="238">SUM(AZ85)</f>
        <v>0</v>
      </c>
      <c r="BA86" s="37">
        <f t="shared" si="232"/>
        <v>0</v>
      </c>
      <c r="BB86" s="37">
        <f t="shared" si="232"/>
        <v>0</v>
      </c>
      <c r="BC86" s="37">
        <f t="shared" si="232"/>
        <v>0</v>
      </c>
      <c r="BD86" s="37">
        <f t="shared" si="232"/>
        <v>0</v>
      </c>
      <c r="BE86" s="37">
        <f t="shared" si="232"/>
        <v>0</v>
      </c>
      <c r="BF86" s="37">
        <f t="shared" si="232"/>
        <v>0</v>
      </c>
      <c r="BG86" s="37">
        <f t="shared" si="232"/>
        <v>0</v>
      </c>
      <c r="BH86" s="37">
        <f t="shared" si="232"/>
        <v>0</v>
      </c>
      <c r="BI86" s="37">
        <f t="shared" ref="BI86" si="239">SUM(BI85)</f>
        <v>0</v>
      </c>
      <c r="BJ86" s="37">
        <f t="shared" si="232"/>
        <v>0</v>
      </c>
      <c r="BK86" s="37">
        <f t="shared" si="232"/>
        <v>0</v>
      </c>
      <c r="BL86" s="37">
        <f t="shared" si="232"/>
        <v>155000</v>
      </c>
      <c r="BM86" s="37">
        <f t="shared" si="232"/>
        <v>25000</v>
      </c>
      <c r="BN86" s="37">
        <f t="shared" si="232"/>
        <v>160000</v>
      </c>
      <c r="BO86" s="37">
        <f t="shared" si="232"/>
        <v>1017000</v>
      </c>
      <c r="BP86" s="144">
        <f>SUM(BP85)</f>
        <v>1080500</v>
      </c>
      <c r="BQ86" s="37">
        <f t="shared" ref="BQ86:BR86" si="240">SUM(BQ85)</f>
        <v>1092000</v>
      </c>
      <c r="BR86" s="37">
        <f t="shared" si="240"/>
        <v>840100</v>
      </c>
      <c r="BS86" s="37">
        <f t="shared" si="232"/>
        <v>4369600</v>
      </c>
    </row>
    <row r="87" spans="1:71">
      <c r="A87" s="185" t="s">
        <v>17</v>
      </c>
      <c r="B87" s="8">
        <v>1</v>
      </c>
      <c r="C87" s="1" t="s">
        <v>178</v>
      </c>
      <c r="D87" s="4" t="s">
        <v>179</v>
      </c>
      <c r="E87" s="4" t="s">
        <v>17</v>
      </c>
      <c r="F87" s="4">
        <v>155000</v>
      </c>
      <c r="G87" s="4">
        <v>1164000</v>
      </c>
      <c r="H87" s="4">
        <f>110000+110000+330000+110000+80000</f>
        <v>740000</v>
      </c>
      <c r="I87" s="4">
        <f>20000+60000</f>
        <v>80000</v>
      </c>
      <c r="J87" s="4"/>
      <c r="K87" s="4"/>
      <c r="L87" s="4"/>
      <c r="M87" s="4"/>
      <c r="N87" s="9">
        <f t="shared" ref="N87:N117" si="241">SUM(F87:M87)</f>
        <v>2139000</v>
      </c>
      <c r="O87" s="77">
        <v>290000</v>
      </c>
      <c r="P87" s="77">
        <v>2150000</v>
      </c>
      <c r="Q87" s="77">
        <v>1650000</v>
      </c>
      <c r="R87" s="77">
        <v>200000</v>
      </c>
      <c r="S87" s="4"/>
      <c r="T87" s="4"/>
      <c r="U87" s="4"/>
      <c r="V87" s="4"/>
      <c r="W87" s="9">
        <f t="shared" ref="W87:W117" si="242">SUM(O87:V87)</f>
        <v>4290000</v>
      </c>
      <c r="X87" s="20"/>
      <c r="Y87" s="20"/>
      <c r="Z87" s="4">
        <v>590000</v>
      </c>
      <c r="AA87" s="23"/>
      <c r="AB87" s="23"/>
      <c r="AC87" s="23"/>
      <c r="AD87" s="23"/>
      <c r="AE87" s="23"/>
      <c r="AF87" s="9">
        <f t="shared" ref="AF87:AF117" si="243">SUM(X87:AE87)</f>
        <v>590000</v>
      </c>
      <c r="AG87" s="20">
        <v>195000</v>
      </c>
      <c r="AH87" s="25">
        <v>1676350</v>
      </c>
      <c r="AI87" s="25">
        <f>792000+30000</f>
        <v>822000</v>
      </c>
      <c r="AJ87" s="24">
        <v>30000</v>
      </c>
      <c r="AK87" s="20"/>
      <c r="AL87" s="20"/>
      <c r="AM87" s="20"/>
      <c r="AN87" s="20"/>
      <c r="AO87" s="21">
        <f t="shared" ref="AO87:AO117" si="244">SUM(AG87:AN87)</f>
        <v>2723350</v>
      </c>
      <c r="AP87" s="25">
        <v>0</v>
      </c>
      <c r="AQ87" s="20"/>
      <c r="AR87" s="20"/>
      <c r="AS87" s="20"/>
      <c r="AT87" s="20"/>
      <c r="AU87" s="21">
        <f t="shared" ref="AU87:AU117" si="245">SUM(AP87:AT87)</f>
        <v>0</v>
      </c>
      <c r="AV87" s="24">
        <v>900000</v>
      </c>
      <c r="AW87" s="20">
        <f>300000+300000+300000+300000+200000</f>
        <v>1400000</v>
      </c>
      <c r="AX87" s="20">
        <f>1902000+765000</f>
        <v>2667000</v>
      </c>
      <c r="AY87" s="20">
        <f>255000+765000+510000+255000+255000+510000+255000</f>
        <v>2805000</v>
      </c>
      <c r="AZ87" s="20">
        <f>765000+255000+255000+255000+255000+510000+510000+255000</f>
        <v>3060000</v>
      </c>
      <c r="BA87" s="21">
        <f t="shared" ref="BA87:BA117" si="246">SUM(AV87:AZ87)</f>
        <v>10832000</v>
      </c>
      <c r="BB87" s="25"/>
      <c r="BC87" s="24">
        <f>100000+248400</f>
        <v>348400</v>
      </c>
      <c r="BD87" s="25"/>
      <c r="BE87" s="25"/>
      <c r="BF87" s="20"/>
      <c r="BG87" s="20"/>
      <c r="BH87" s="20"/>
      <c r="BI87" s="20"/>
      <c r="BJ87" s="21">
        <f t="shared" ref="BJ87:BJ117" si="247">SUM(BB87:BI87)</f>
        <v>348400</v>
      </c>
      <c r="BK87" s="4">
        <f t="shared" ref="BK87:BK117" si="248">F87+O87+X87+AG87+BB87</f>
        <v>640000</v>
      </c>
      <c r="BL87" s="4">
        <f t="shared" ref="BL87:BL117" si="249">G87+P87+Y87+AH87+BC87</f>
        <v>5338750</v>
      </c>
      <c r="BM87" s="4">
        <f t="shared" ref="BM87:BM117" si="250">H87+Q87+Z87+AI87+BD87</f>
        <v>3802000</v>
      </c>
      <c r="BN87" s="4">
        <f t="shared" ref="BN87:BN117" si="251">I87+R87+AA87+AJ87+AP87+AV87+BE87</f>
        <v>1210000</v>
      </c>
      <c r="BO87" s="94">
        <f t="shared" ref="BO87:BO117" si="252">J87+S87+AB87+AK87+AQ87+AW87+BF87</f>
        <v>1400000</v>
      </c>
      <c r="BP87" s="94">
        <f t="shared" ref="BP87:BP117" si="253">K87+T87+AC87+AL87+AR87+AX87+BG87</f>
        <v>2667000</v>
      </c>
      <c r="BQ87" s="94">
        <f t="shared" ref="BQ87:BQ117" si="254">L87+U87+AD87+AM87+AS87+AY87+BH87</f>
        <v>2805000</v>
      </c>
      <c r="BR87" s="94">
        <f t="shared" ref="BR87:BR117" si="255">M87+V87+AE87+AN87+AT87+AZ87+BI87</f>
        <v>3060000</v>
      </c>
      <c r="BS87" s="9">
        <f t="shared" ref="BS87:BS117" si="256">SUM(BK87:BR87)</f>
        <v>20922750</v>
      </c>
    </row>
    <row r="88" spans="1:71">
      <c r="A88" s="186"/>
      <c r="B88" s="8">
        <v>2</v>
      </c>
      <c r="C88" s="1" t="s">
        <v>180</v>
      </c>
      <c r="D88" s="4" t="s">
        <v>181</v>
      </c>
      <c r="E88" s="4" t="s">
        <v>17</v>
      </c>
      <c r="F88" s="4"/>
      <c r="G88" s="4"/>
      <c r="H88" s="4">
        <v>155000</v>
      </c>
      <c r="I88" s="4">
        <f>156000+16000</f>
        <v>172000</v>
      </c>
      <c r="J88" s="4"/>
      <c r="K88" s="4"/>
      <c r="L88" s="4"/>
      <c r="M88" s="4"/>
      <c r="N88" s="9">
        <f t="shared" si="241"/>
        <v>327000</v>
      </c>
      <c r="O88" s="77"/>
      <c r="P88" s="77"/>
      <c r="Q88" s="77">
        <v>390000</v>
      </c>
      <c r="R88" s="77"/>
      <c r="S88" s="4"/>
      <c r="T88" s="4"/>
      <c r="U88" s="4"/>
      <c r="V88" s="4"/>
      <c r="W88" s="9">
        <f t="shared" si="242"/>
        <v>390000</v>
      </c>
      <c r="X88" s="20"/>
      <c r="Y88" s="20"/>
      <c r="Z88" s="4"/>
      <c r="AA88" s="20"/>
      <c r="AB88" s="20"/>
      <c r="AC88" s="20"/>
      <c r="AD88" s="20"/>
      <c r="AE88" s="20"/>
      <c r="AF88" s="9">
        <f t="shared" si="243"/>
        <v>0</v>
      </c>
      <c r="AG88" s="20"/>
      <c r="AH88" s="25">
        <v>195000</v>
      </c>
      <c r="AI88" s="25">
        <f>165550+208000</f>
        <v>373550</v>
      </c>
      <c r="AJ88" s="24">
        <v>30000</v>
      </c>
      <c r="AK88" s="20"/>
      <c r="AL88" s="20"/>
      <c r="AM88" s="20"/>
      <c r="AN88" s="20"/>
      <c r="AO88" s="21">
        <f t="shared" si="244"/>
        <v>598550</v>
      </c>
      <c r="AP88" s="25">
        <v>945000</v>
      </c>
      <c r="AQ88" s="20">
        <f>315000+315000+315000</f>
        <v>945000</v>
      </c>
      <c r="AR88" s="20"/>
      <c r="AS88" s="20"/>
      <c r="AT88" s="20"/>
      <c r="AU88" s="21">
        <f t="shared" si="245"/>
        <v>1890000</v>
      </c>
      <c r="AV88" s="25"/>
      <c r="AW88" s="20"/>
      <c r="AX88" s="20"/>
      <c r="AY88" s="20"/>
      <c r="AZ88" s="20"/>
      <c r="BA88" s="21">
        <f t="shared" si="246"/>
        <v>0</v>
      </c>
      <c r="BB88" s="25"/>
      <c r="BC88" s="25"/>
      <c r="BD88" s="25"/>
      <c r="BE88" s="25"/>
      <c r="BF88" s="20"/>
      <c r="BG88" s="20"/>
      <c r="BH88" s="20"/>
      <c r="BI88" s="20"/>
      <c r="BJ88" s="21">
        <f t="shared" si="247"/>
        <v>0</v>
      </c>
      <c r="BK88" s="4">
        <f t="shared" si="248"/>
        <v>0</v>
      </c>
      <c r="BL88" s="4">
        <f t="shared" si="249"/>
        <v>195000</v>
      </c>
      <c r="BM88" s="4">
        <f t="shared" si="250"/>
        <v>918550</v>
      </c>
      <c r="BN88" s="4">
        <f t="shared" si="251"/>
        <v>1147000</v>
      </c>
      <c r="BO88" s="94">
        <f t="shared" si="252"/>
        <v>945000</v>
      </c>
      <c r="BP88" s="94">
        <f t="shared" si="253"/>
        <v>0</v>
      </c>
      <c r="BQ88" s="94">
        <f t="shared" si="254"/>
        <v>0</v>
      </c>
      <c r="BR88" s="94">
        <f t="shared" si="255"/>
        <v>0</v>
      </c>
      <c r="BS88" s="9">
        <f t="shared" si="256"/>
        <v>3205550</v>
      </c>
    </row>
    <row r="89" spans="1:71">
      <c r="A89" s="186"/>
      <c r="B89" s="8">
        <v>3</v>
      </c>
      <c r="C89" s="1" t="s">
        <v>182</v>
      </c>
      <c r="D89" s="4" t="s">
        <v>183</v>
      </c>
      <c r="E89" s="4" t="s">
        <v>17</v>
      </c>
      <c r="F89" s="4"/>
      <c r="G89" s="4"/>
      <c r="H89" s="4"/>
      <c r="I89" s="4"/>
      <c r="J89" s="4"/>
      <c r="K89" s="4"/>
      <c r="L89" s="4"/>
      <c r="M89" s="4"/>
      <c r="N89" s="9">
        <f t="shared" si="241"/>
        <v>0</v>
      </c>
      <c r="O89" s="77"/>
      <c r="P89" s="77"/>
      <c r="Q89" s="77">
        <v>290000</v>
      </c>
      <c r="R89" s="77">
        <v>-290000</v>
      </c>
      <c r="S89" s="4"/>
      <c r="T89" s="4"/>
      <c r="U89" s="4"/>
      <c r="V89" s="4"/>
      <c r="W89" s="9">
        <f t="shared" si="242"/>
        <v>0</v>
      </c>
      <c r="X89" s="20"/>
      <c r="Y89" s="20"/>
      <c r="Z89" s="4"/>
      <c r="AA89" s="20"/>
      <c r="AB89" s="20"/>
      <c r="AC89" s="20"/>
      <c r="AD89" s="20"/>
      <c r="AE89" s="20"/>
      <c r="AF89" s="9">
        <f t="shared" si="243"/>
        <v>0</v>
      </c>
      <c r="AG89" s="20"/>
      <c r="AH89" s="25"/>
      <c r="AI89" s="25">
        <v>225000</v>
      </c>
      <c r="AJ89" s="24">
        <v>963000</v>
      </c>
      <c r="AK89" s="20">
        <f>70000+630000+140000</f>
        <v>840000</v>
      </c>
      <c r="AL89" s="20">
        <f>1122400+289000+144500</f>
        <v>1555900</v>
      </c>
      <c r="AM89" s="20">
        <v>1455000</v>
      </c>
      <c r="AN89" s="20">
        <v>1600500</v>
      </c>
      <c r="AO89" s="21">
        <f t="shared" si="244"/>
        <v>6639400</v>
      </c>
      <c r="AP89" s="25">
        <v>0</v>
      </c>
      <c r="AQ89" s="20"/>
      <c r="AR89" s="20"/>
      <c r="AS89" s="20"/>
      <c r="AT89" s="20"/>
      <c r="AU89" s="21">
        <f t="shared" si="245"/>
        <v>0</v>
      </c>
      <c r="AV89" s="25"/>
      <c r="AW89" s="20"/>
      <c r="AX89" s="20"/>
      <c r="AY89" s="20"/>
      <c r="AZ89" s="20"/>
      <c r="BA89" s="21">
        <f t="shared" si="246"/>
        <v>0</v>
      </c>
      <c r="BB89" s="25"/>
      <c r="BC89" s="25"/>
      <c r="BD89" s="25"/>
      <c r="BE89" s="25"/>
      <c r="BF89" s="20"/>
      <c r="BG89" s="20"/>
      <c r="BH89" s="20"/>
      <c r="BI89" s="20"/>
      <c r="BJ89" s="21">
        <f t="shared" si="247"/>
        <v>0</v>
      </c>
      <c r="BK89" s="4">
        <f t="shared" si="248"/>
        <v>0</v>
      </c>
      <c r="BL89" s="4">
        <f t="shared" si="249"/>
        <v>0</v>
      </c>
      <c r="BM89" s="4">
        <f t="shared" si="250"/>
        <v>515000</v>
      </c>
      <c r="BN89" s="4">
        <f t="shared" si="251"/>
        <v>673000</v>
      </c>
      <c r="BO89" s="94">
        <f t="shared" si="252"/>
        <v>840000</v>
      </c>
      <c r="BP89" s="94">
        <f t="shared" si="253"/>
        <v>1555900</v>
      </c>
      <c r="BQ89" s="94">
        <f t="shared" si="254"/>
        <v>1455000</v>
      </c>
      <c r="BR89" s="94">
        <f t="shared" si="255"/>
        <v>1600500</v>
      </c>
      <c r="BS89" s="9">
        <f t="shared" si="256"/>
        <v>6639400</v>
      </c>
    </row>
    <row r="90" spans="1:71">
      <c r="A90" s="186"/>
      <c r="B90" s="8">
        <v>4</v>
      </c>
      <c r="C90" s="1" t="s">
        <v>184</v>
      </c>
      <c r="D90" s="4" t="s">
        <v>185</v>
      </c>
      <c r="E90" s="4" t="s">
        <v>17</v>
      </c>
      <c r="F90" s="4"/>
      <c r="G90" s="4">
        <v>323000</v>
      </c>
      <c r="H90" s="4">
        <f>93500+55000+253000+71500+55000+20000+60000</f>
        <v>608000</v>
      </c>
      <c r="I90" s="4">
        <v>649000</v>
      </c>
      <c r="J90" s="4">
        <f>59500+147000+154000+157500</f>
        <v>518000</v>
      </c>
      <c r="K90" s="4">
        <f>808000+162000+81000</f>
        <v>1051000</v>
      </c>
      <c r="L90" s="4">
        <v>838000</v>
      </c>
      <c r="M90" s="4">
        <v>684500</v>
      </c>
      <c r="N90" s="9">
        <f t="shared" si="241"/>
        <v>4671500</v>
      </c>
      <c r="O90" s="4"/>
      <c r="P90" s="4"/>
      <c r="Q90" s="4"/>
      <c r="R90" s="4"/>
      <c r="S90" s="4"/>
      <c r="T90" s="4"/>
      <c r="U90" s="4"/>
      <c r="V90" s="4"/>
      <c r="W90" s="9">
        <f t="shared" si="242"/>
        <v>0</v>
      </c>
      <c r="X90" s="20"/>
      <c r="Y90" s="20"/>
      <c r="Z90" s="4"/>
      <c r="AA90" s="20"/>
      <c r="AB90" s="20"/>
      <c r="AC90" s="20"/>
      <c r="AD90" s="20"/>
      <c r="AE90" s="20"/>
      <c r="AF90" s="9">
        <f t="shared" si="243"/>
        <v>0</v>
      </c>
      <c r="AG90" s="20"/>
      <c r="AH90" s="20"/>
      <c r="AI90" s="20"/>
      <c r="AJ90" s="20"/>
      <c r="AK90" s="20"/>
      <c r="AL90" s="20"/>
      <c r="AM90" s="20"/>
      <c r="AN90" s="20"/>
      <c r="AO90" s="21">
        <f t="shared" si="244"/>
        <v>0</v>
      </c>
      <c r="AP90" s="25">
        <v>0</v>
      </c>
      <c r="AQ90" s="20"/>
      <c r="AR90" s="20"/>
      <c r="AS90" s="20"/>
      <c r="AT90" s="20"/>
      <c r="AU90" s="21">
        <f t="shared" si="245"/>
        <v>0</v>
      </c>
      <c r="AV90" s="25"/>
      <c r="AW90" s="20"/>
      <c r="AX90" s="20"/>
      <c r="AY90" s="20"/>
      <c r="AZ90" s="20"/>
      <c r="BA90" s="21">
        <f t="shared" si="246"/>
        <v>0</v>
      </c>
      <c r="BB90" s="25"/>
      <c r="BC90" s="25"/>
      <c r="BD90" s="25"/>
      <c r="BE90" s="25"/>
      <c r="BF90" s="20"/>
      <c r="BG90" s="20"/>
      <c r="BH90" s="20"/>
      <c r="BI90" s="20"/>
      <c r="BJ90" s="21">
        <f t="shared" si="247"/>
        <v>0</v>
      </c>
      <c r="BK90" s="4">
        <f t="shared" si="248"/>
        <v>0</v>
      </c>
      <c r="BL90" s="4">
        <f t="shared" si="249"/>
        <v>323000</v>
      </c>
      <c r="BM90" s="4">
        <f t="shared" si="250"/>
        <v>608000</v>
      </c>
      <c r="BN90" s="4">
        <f t="shared" si="251"/>
        <v>649000</v>
      </c>
      <c r="BO90" s="94">
        <f t="shared" si="252"/>
        <v>518000</v>
      </c>
      <c r="BP90" s="94">
        <f t="shared" si="253"/>
        <v>1051000</v>
      </c>
      <c r="BQ90" s="94">
        <f t="shared" si="254"/>
        <v>838000</v>
      </c>
      <c r="BR90" s="94">
        <f t="shared" si="255"/>
        <v>684500</v>
      </c>
      <c r="BS90" s="9">
        <f t="shared" si="256"/>
        <v>4671500</v>
      </c>
    </row>
    <row r="91" spans="1:71">
      <c r="A91" s="186"/>
      <c r="B91" s="8">
        <v>5</v>
      </c>
      <c r="C91" s="42" t="s">
        <v>186</v>
      </c>
      <c r="D91" s="43" t="s">
        <v>187</v>
      </c>
      <c r="E91" s="4" t="s">
        <v>17</v>
      </c>
      <c r="F91" s="4"/>
      <c r="G91" s="4"/>
      <c r="H91" s="4"/>
      <c r="I91" s="4"/>
      <c r="J91" s="4"/>
      <c r="K91" s="4"/>
      <c r="L91" s="4"/>
      <c r="M91" s="4"/>
      <c r="N91" s="9">
        <f t="shared" si="241"/>
        <v>0</v>
      </c>
      <c r="O91" s="4"/>
      <c r="P91" s="4"/>
      <c r="Q91" s="4"/>
      <c r="R91" s="4"/>
      <c r="S91" s="4"/>
      <c r="T91" s="4"/>
      <c r="U91" s="4"/>
      <c r="V91" s="4"/>
      <c r="W91" s="9">
        <f t="shared" si="242"/>
        <v>0</v>
      </c>
      <c r="X91" s="20"/>
      <c r="Y91" s="20"/>
      <c r="Z91" s="4">
        <v>290000</v>
      </c>
      <c r="AA91" s="20"/>
      <c r="AB91" s="20"/>
      <c r="AC91" s="20"/>
      <c r="AD91" s="20">
        <v>232000</v>
      </c>
      <c r="AE91" s="20"/>
      <c r="AF91" s="9">
        <f t="shared" si="243"/>
        <v>522000</v>
      </c>
      <c r="AG91" s="20"/>
      <c r="AH91" s="20"/>
      <c r="AI91" s="20"/>
      <c r="AJ91" s="20"/>
      <c r="AK91" s="20"/>
      <c r="AL91" s="20"/>
      <c r="AM91" s="20"/>
      <c r="AN91" s="20"/>
      <c r="AO91" s="21">
        <f t="shared" si="244"/>
        <v>0</v>
      </c>
      <c r="AP91" s="25">
        <v>0</v>
      </c>
      <c r="AQ91" s="20"/>
      <c r="AR91" s="20"/>
      <c r="AS91" s="20"/>
      <c r="AT91" s="20"/>
      <c r="AU91" s="21">
        <f t="shared" si="245"/>
        <v>0</v>
      </c>
      <c r="AV91" s="25"/>
      <c r="AW91" s="20"/>
      <c r="AX91" s="20"/>
      <c r="AY91" s="20"/>
      <c r="AZ91" s="20"/>
      <c r="BA91" s="21">
        <f t="shared" si="246"/>
        <v>0</v>
      </c>
      <c r="BB91" s="25"/>
      <c r="BC91" s="25"/>
      <c r="BD91" s="25"/>
      <c r="BE91" s="25"/>
      <c r="BF91" s="20"/>
      <c r="BG91" s="20"/>
      <c r="BH91" s="20"/>
      <c r="BI91" s="20"/>
      <c r="BJ91" s="21">
        <f t="shared" si="247"/>
        <v>0</v>
      </c>
      <c r="BK91" s="4">
        <f t="shared" si="248"/>
        <v>0</v>
      </c>
      <c r="BL91" s="4">
        <f t="shared" si="249"/>
        <v>0</v>
      </c>
      <c r="BM91" s="4">
        <f t="shared" si="250"/>
        <v>290000</v>
      </c>
      <c r="BN91" s="4">
        <f t="shared" si="251"/>
        <v>0</v>
      </c>
      <c r="BO91" s="94">
        <f t="shared" si="252"/>
        <v>0</v>
      </c>
      <c r="BP91" s="94">
        <f t="shared" si="253"/>
        <v>0</v>
      </c>
      <c r="BQ91" s="94">
        <f t="shared" si="254"/>
        <v>232000</v>
      </c>
      <c r="BR91" s="94">
        <f t="shared" si="255"/>
        <v>0</v>
      </c>
      <c r="BS91" s="9">
        <f t="shared" si="256"/>
        <v>522000</v>
      </c>
    </row>
    <row r="92" spans="1:71">
      <c r="A92" s="186"/>
      <c r="B92" s="8">
        <v>6</v>
      </c>
      <c r="C92" s="1" t="s">
        <v>188</v>
      </c>
      <c r="D92" s="4" t="s">
        <v>413</v>
      </c>
      <c r="E92" s="4" t="s">
        <v>17</v>
      </c>
      <c r="F92" s="4"/>
      <c r="G92" s="4"/>
      <c r="H92" s="4"/>
      <c r="I92" s="4"/>
      <c r="J92" s="4"/>
      <c r="K92" s="4"/>
      <c r="L92" s="4"/>
      <c r="M92" s="4"/>
      <c r="N92" s="9">
        <f t="shared" si="241"/>
        <v>0</v>
      </c>
      <c r="O92" s="76"/>
      <c r="P92" s="76">
        <v>290000</v>
      </c>
      <c r="Q92" s="76">
        <v>1620000</v>
      </c>
      <c r="R92" s="76"/>
      <c r="S92" s="4"/>
      <c r="T92" s="4"/>
      <c r="U92" s="4"/>
      <c r="V92" s="4">
        <v>150000</v>
      </c>
      <c r="W92" s="9">
        <f t="shared" si="242"/>
        <v>2060000</v>
      </c>
      <c r="X92" s="20"/>
      <c r="Y92" s="20"/>
      <c r="Z92" s="20"/>
      <c r="AA92" s="20"/>
      <c r="AB92" s="20"/>
      <c r="AC92" s="20"/>
      <c r="AD92" s="20"/>
      <c r="AE92" s="20"/>
      <c r="AF92" s="9">
        <f t="shared" si="243"/>
        <v>0</v>
      </c>
      <c r="AG92" s="20"/>
      <c r="AH92" s="25">
        <v>616950</v>
      </c>
      <c r="AI92" s="25">
        <v>708100</v>
      </c>
      <c r="AJ92" s="24">
        <v>898000</v>
      </c>
      <c r="AK92" s="20">
        <f>140000+210000+210000+210000+140000</f>
        <v>910000</v>
      </c>
      <c r="AL92" s="20">
        <f>863000+194000+97000</f>
        <v>1154000</v>
      </c>
      <c r="AM92" s="20">
        <v>1262250</v>
      </c>
      <c r="AN92" s="20">
        <v>1595650</v>
      </c>
      <c r="AO92" s="21">
        <f t="shared" si="244"/>
        <v>7144950</v>
      </c>
      <c r="AP92" s="25">
        <v>0</v>
      </c>
      <c r="AQ92" s="20"/>
      <c r="AR92" s="20"/>
      <c r="AS92" s="20"/>
      <c r="AT92" s="20"/>
      <c r="AU92" s="21">
        <f t="shared" si="245"/>
        <v>0</v>
      </c>
      <c r="AV92" s="25"/>
      <c r="AW92" s="20"/>
      <c r="AX92" s="20"/>
      <c r="AY92" s="20"/>
      <c r="AZ92" s="20"/>
      <c r="BA92" s="21">
        <f t="shared" si="246"/>
        <v>0</v>
      </c>
      <c r="BB92" s="25"/>
      <c r="BC92" s="25"/>
      <c r="BD92" s="25"/>
      <c r="BE92" s="25"/>
      <c r="BF92" s="20"/>
      <c r="BG92" s="20"/>
      <c r="BH92" s="20"/>
      <c r="BI92" s="20"/>
      <c r="BJ92" s="21">
        <f t="shared" si="247"/>
        <v>0</v>
      </c>
      <c r="BK92" s="4">
        <f t="shared" si="248"/>
        <v>0</v>
      </c>
      <c r="BL92" s="4">
        <f t="shared" si="249"/>
        <v>906950</v>
      </c>
      <c r="BM92" s="4">
        <f t="shared" si="250"/>
        <v>2328100</v>
      </c>
      <c r="BN92" s="4">
        <f t="shared" si="251"/>
        <v>898000</v>
      </c>
      <c r="BO92" s="94">
        <f t="shared" si="252"/>
        <v>910000</v>
      </c>
      <c r="BP92" s="94">
        <f t="shared" si="253"/>
        <v>1154000</v>
      </c>
      <c r="BQ92" s="94">
        <f t="shared" si="254"/>
        <v>1262250</v>
      </c>
      <c r="BR92" s="94">
        <f t="shared" si="255"/>
        <v>1745650</v>
      </c>
      <c r="BS92" s="9">
        <f t="shared" si="256"/>
        <v>9204950</v>
      </c>
    </row>
    <row r="93" spans="1:71" ht="47.25">
      <c r="A93" s="186"/>
      <c r="B93" s="8">
        <v>7</v>
      </c>
      <c r="C93" s="1" t="s">
        <v>189</v>
      </c>
      <c r="D93" s="4" t="s">
        <v>190</v>
      </c>
      <c r="E93" s="4" t="s">
        <v>17</v>
      </c>
      <c r="F93" s="4"/>
      <c r="G93" s="4">
        <v>287500</v>
      </c>
      <c r="H93" s="4">
        <f>137000+74000+352000</f>
        <v>563000</v>
      </c>
      <c r="I93" s="4"/>
      <c r="J93" s="4"/>
      <c r="K93" s="4"/>
      <c r="L93" s="4"/>
      <c r="M93" s="4"/>
      <c r="N93" s="9">
        <f t="shared" si="241"/>
        <v>850500</v>
      </c>
      <c r="O93" s="76"/>
      <c r="P93" s="76">
        <v>410000</v>
      </c>
      <c r="Q93" s="76">
        <v>940000</v>
      </c>
      <c r="R93" s="76">
        <v>400000</v>
      </c>
      <c r="S93" s="4"/>
      <c r="T93" s="4"/>
      <c r="U93" s="4"/>
      <c r="V93" s="4"/>
      <c r="W93" s="9">
        <f t="shared" si="242"/>
        <v>1750000</v>
      </c>
      <c r="X93" s="20"/>
      <c r="Y93" s="20"/>
      <c r="Z93" s="20"/>
      <c r="AA93" s="20"/>
      <c r="AB93" s="20"/>
      <c r="AC93" s="20"/>
      <c r="AD93" s="20"/>
      <c r="AE93" s="20"/>
      <c r="AF93" s="9">
        <f t="shared" si="243"/>
        <v>0</v>
      </c>
      <c r="AG93" s="20"/>
      <c r="AH93" s="20"/>
      <c r="AI93" s="25">
        <v>350200</v>
      </c>
      <c r="AJ93" s="24">
        <v>1040000</v>
      </c>
      <c r="AK93" s="20">
        <f>70000+210000+210000+210000+140000</f>
        <v>840000</v>
      </c>
      <c r="AL93" s="20">
        <f>860500+194000+97000</f>
        <v>1151500</v>
      </c>
      <c r="AM93" s="20">
        <v>1164000</v>
      </c>
      <c r="AN93" s="20">
        <v>1067000</v>
      </c>
      <c r="AO93" s="21">
        <f t="shared" si="244"/>
        <v>5612700</v>
      </c>
      <c r="AP93" s="25">
        <v>0</v>
      </c>
      <c r="AQ93" s="20"/>
      <c r="AR93" s="20"/>
      <c r="AS93" s="20"/>
      <c r="AT93" s="20"/>
      <c r="AU93" s="21">
        <f t="shared" si="245"/>
        <v>0</v>
      </c>
      <c r="AV93" s="25"/>
      <c r="AW93" s="20"/>
      <c r="AX93" s="20"/>
      <c r="AY93" s="20"/>
      <c r="AZ93" s="20"/>
      <c r="BA93" s="21">
        <f t="shared" si="246"/>
        <v>0</v>
      </c>
      <c r="BB93" s="25"/>
      <c r="BC93" s="25"/>
      <c r="BD93" s="25"/>
      <c r="BE93" s="25"/>
      <c r="BF93" s="20"/>
      <c r="BG93" s="20"/>
      <c r="BH93" s="20"/>
      <c r="BI93" s="20"/>
      <c r="BJ93" s="21">
        <f t="shared" si="247"/>
        <v>0</v>
      </c>
      <c r="BK93" s="4">
        <f t="shared" si="248"/>
        <v>0</v>
      </c>
      <c r="BL93" s="4">
        <f t="shared" si="249"/>
        <v>697500</v>
      </c>
      <c r="BM93" s="4">
        <f t="shared" si="250"/>
        <v>1853200</v>
      </c>
      <c r="BN93" s="4">
        <f t="shared" si="251"/>
        <v>1440000</v>
      </c>
      <c r="BO93" s="94">
        <f t="shared" si="252"/>
        <v>840000</v>
      </c>
      <c r="BP93" s="94">
        <f t="shared" si="253"/>
        <v>1151500</v>
      </c>
      <c r="BQ93" s="94">
        <f t="shared" si="254"/>
        <v>1164000</v>
      </c>
      <c r="BR93" s="94">
        <f t="shared" si="255"/>
        <v>1067000</v>
      </c>
      <c r="BS93" s="9">
        <f t="shared" si="256"/>
        <v>8213200</v>
      </c>
    </row>
    <row r="94" spans="1:71" ht="31.5">
      <c r="A94" s="186"/>
      <c r="B94" s="8">
        <v>8</v>
      </c>
      <c r="C94" s="1" t="s">
        <v>191</v>
      </c>
      <c r="D94" s="4" t="s">
        <v>185</v>
      </c>
      <c r="E94" s="4" t="s">
        <v>17</v>
      </c>
      <c r="F94" s="4">
        <v>155000</v>
      </c>
      <c r="G94" s="4">
        <v>490500</v>
      </c>
      <c r="H94" s="4">
        <f>93500+99000+396000+99000</f>
        <v>687500</v>
      </c>
      <c r="I94" s="4">
        <f>60000+20000+20000</f>
        <v>100000</v>
      </c>
      <c r="J94" s="4"/>
      <c r="K94" s="4"/>
      <c r="L94" s="4"/>
      <c r="M94" s="4"/>
      <c r="N94" s="9">
        <f t="shared" si="241"/>
        <v>1433000</v>
      </c>
      <c r="O94" s="4"/>
      <c r="P94" s="4"/>
      <c r="Q94" s="4"/>
      <c r="R94" s="4"/>
      <c r="S94" s="4"/>
      <c r="T94" s="4"/>
      <c r="U94" s="4"/>
      <c r="V94" s="4"/>
      <c r="W94" s="9">
        <f t="shared" si="242"/>
        <v>0</v>
      </c>
      <c r="X94" s="20"/>
      <c r="Y94" s="20"/>
      <c r="Z94" s="20"/>
      <c r="AA94" s="20"/>
      <c r="AB94" s="20"/>
      <c r="AC94" s="20"/>
      <c r="AD94" s="20"/>
      <c r="AE94" s="20"/>
      <c r="AF94" s="9">
        <f t="shared" si="243"/>
        <v>0</v>
      </c>
      <c r="AG94" s="20">
        <v>195000</v>
      </c>
      <c r="AH94" s="25">
        <v>662850</v>
      </c>
      <c r="AI94" s="25">
        <v>522700</v>
      </c>
      <c r="AJ94" s="24">
        <v>144000</v>
      </c>
      <c r="AK94" s="20"/>
      <c r="AL94" s="20"/>
      <c r="AM94" s="20"/>
      <c r="AN94" s="20"/>
      <c r="AO94" s="21">
        <f t="shared" si="244"/>
        <v>1524550</v>
      </c>
      <c r="AP94" s="25">
        <v>781000</v>
      </c>
      <c r="AQ94" s="20">
        <f>71000+212000+185500+175500+128500</f>
        <v>772500</v>
      </c>
      <c r="AR94" s="20">
        <f>923900+175000+87000</f>
        <v>1185900</v>
      </c>
      <c r="AS94" s="20">
        <v>992120</v>
      </c>
      <c r="AT94" s="20">
        <v>1312800</v>
      </c>
      <c r="AU94" s="21">
        <f t="shared" si="245"/>
        <v>5044320</v>
      </c>
      <c r="AV94" s="25"/>
      <c r="AW94" s="20"/>
      <c r="AX94" s="20"/>
      <c r="AY94" s="20"/>
      <c r="AZ94" s="20"/>
      <c r="BA94" s="21">
        <f t="shared" si="246"/>
        <v>0</v>
      </c>
      <c r="BB94" s="25"/>
      <c r="BC94" s="25"/>
      <c r="BD94" s="25"/>
      <c r="BE94" s="25"/>
      <c r="BF94" s="20"/>
      <c r="BG94" s="20"/>
      <c r="BH94" s="20"/>
      <c r="BI94" s="20"/>
      <c r="BJ94" s="21">
        <f t="shared" si="247"/>
        <v>0</v>
      </c>
      <c r="BK94" s="4">
        <f t="shared" si="248"/>
        <v>350000</v>
      </c>
      <c r="BL94" s="4">
        <f t="shared" si="249"/>
        <v>1153350</v>
      </c>
      <c r="BM94" s="4">
        <f t="shared" si="250"/>
        <v>1210200</v>
      </c>
      <c r="BN94" s="4">
        <f t="shared" si="251"/>
        <v>1025000</v>
      </c>
      <c r="BO94" s="94">
        <f t="shared" si="252"/>
        <v>772500</v>
      </c>
      <c r="BP94" s="94">
        <f t="shared" si="253"/>
        <v>1185900</v>
      </c>
      <c r="BQ94" s="94">
        <f t="shared" si="254"/>
        <v>992120</v>
      </c>
      <c r="BR94" s="94">
        <f t="shared" si="255"/>
        <v>1312800</v>
      </c>
      <c r="BS94" s="9">
        <f t="shared" si="256"/>
        <v>8001870</v>
      </c>
    </row>
    <row r="95" spans="1:71">
      <c r="A95" s="186"/>
      <c r="B95" s="8">
        <v>9</v>
      </c>
      <c r="C95" s="1" t="s">
        <v>192</v>
      </c>
      <c r="D95" s="4" t="s">
        <v>193</v>
      </c>
      <c r="E95" s="4" t="s">
        <v>17</v>
      </c>
      <c r="F95" s="4"/>
      <c r="G95" s="4">
        <v>804000</v>
      </c>
      <c r="H95" s="4">
        <f>99000+99000+297000</f>
        <v>495000</v>
      </c>
      <c r="I95" s="4">
        <f>20000+160000</f>
        <v>180000</v>
      </c>
      <c r="J95" s="4"/>
      <c r="K95" s="4"/>
      <c r="L95" s="4"/>
      <c r="M95" s="4"/>
      <c r="N95" s="9">
        <f t="shared" si="241"/>
        <v>1479000</v>
      </c>
      <c r="O95" s="76"/>
      <c r="P95" s="76">
        <v>1050000</v>
      </c>
      <c r="Q95" s="76">
        <v>760000</v>
      </c>
      <c r="R95" s="76">
        <v>1025000</v>
      </c>
      <c r="S95" s="4">
        <f>225000+225000+225000+225000+150000</f>
        <v>1050000</v>
      </c>
      <c r="T95" s="4">
        <f>1575000+560000</f>
        <v>2135000</v>
      </c>
      <c r="U95" s="4">
        <f>570000+550000+350000+300000+300000+150000</f>
        <v>2220000</v>
      </c>
      <c r="V95" s="4">
        <f>300000+150000+150000+150000+160000+330000+510000</f>
        <v>1750000</v>
      </c>
      <c r="W95" s="9">
        <f t="shared" si="242"/>
        <v>9990000</v>
      </c>
      <c r="X95" s="20"/>
      <c r="Y95" s="20"/>
      <c r="Z95" s="20"/>
      <c r="AA95" s="20"/>
      <c r="AB95" s="20"/>
      <c r="AC95" s="20"/>
      <c r="AD95" s="20"/>
      <c r="AE95" s="20"/>
      <c r="AF95" s="9">
        <f t="shared" si="243"/>
        <v>0</v>
      </c>
      <c r="AG95" s="20"/>
      <c r="AH95" s="25">
        <v>1339600</v>
      </c>
      <c r="AI95" s="25">
        <v>582000</v>
      </c>
      <c r="AJ95" s="24">
        <v>270000</v>
      </c>
      <c r="AK95" s="20"/>
      <c r="AL95" s="20"/>
      <c r="AM95" s="20"/>
      <c r="AN95" s="20"/>
      <c r="AO95" s="21">
        <f t="shared" si="244"/>
        <v>2191600</v>
      </c>
      <c r="AP95" s="25">
        <v>0</v>
      </c>
      <c r="AQ95" s="20"/>
      <c r="AR95" s="20"/>
      <c r="AS95" s="20"/>
      <c r="AT95" s="20"/>
      <c r="AU95" s="21">
        <f t="shared" si="245"/>
        <v>0</v>
      </c>
      <c r="AV95" s="25"/>
      <c r="AW95" s="20"/>
      <c r="AX95" s="20"/>
      <c r="AY95" s="20"/>
      <c r="AZ95" s="20"/>
      <c r="BA95" s="21">
        <f t="shared" si="246"/>
        <v>0</v>
      </c>
      <c r="BB95" s="25"/>
      <c r="BC95" s="25"/>
      <c r="BD95" s="25">
        <v>366800</v>
      </c>
      <c r="BE95" s="25"/>
      <c r="BF95" s="20"/>
      <c r="BG95" s="20"/>
      <c r="BH95" s="20"/>
      <c r="BI95" s="20"/>
      <c r="BJ95" s="21">
        <f t="shared" si="247"/>
        <v>366800</v>
      </c>
      <c r="BK95" s="4">
        <f t="shared" si="248"/>
        <v>0</v>
      </c>
      <c r="BL95" s="4">
        <f t="shared" si="249"/>
        <v>3193600</v>
      </c>
      <c r="BM95" s="4">
        <f t="shared" si="250"/>
        <v>2203800</v>
      </c>
      <c r="BN95" s="4">
        <f t="shared" si="251"/>
        <v>1475000</v>
      </c>
      <c r="BO95" s="94">
        <f t="shared" si="252"/>
        <v>1050000</v>
      </c>
      <c r="BP95" s="94">
        <f t="shared" si="253"/>
        <v>2135000</v>
      </c>
      <c r="BQ95" s="94">
        <f t="shared" si="254"/>
        <v>2220000</v>
      </c>
      <c r="BR95" s="94">
        <f t="shared" si="255"/>
        <v>1750000</v>
      </c>
      <c r="BS95" s="9">
        <f t="shared" si="256"/>
        <v>14027400</v>
      </c>
    </row>
    <row r="96" spans="1:71" ht="31.5">
      <c r="A96" s="186"/>
      <c r="B96" s="8">
        <v>10</v>
      </c>
      <c r="C96" s="1" t="s">
        <v>194</v>
      </c>
      <c r="D96" s="4" t="s">
        <v>187</v>
      </c>
      <c r="E96" s="4" t="s">
        <v>17</v>
      </c>
      <c r="F96" s="4"/>
      <c r="G96" s="4">
        <v>155000</v>
      </c>
      <c r="H96" s="4">
        <v>151000</v>
      </c>
      <c r="I96" s="4"/>
      <c r="J96" s="4"/>
      <c r="K96" s="4"/>
      <c r="L96" s="4"/>
      <c r="M96" s="4"/>
      <c r="N96" s="9">
        <f t="shared" si="241"/>
        <v>306000</v>
      </c>
      <c r="O96" s="4"/>
      <c r="P96" s="4"/>
      <c r="Q96" s="4"/>
      <c r="R96" s="4"/>
      <c r="S96" s="4"/>
      <c r="T96" s="4"/>
      <c r="U96" s="4"/>
      <c r="V96" s="4"/>
      <c r="W96" s="9">
        <f t="shared" si="242"/>
        <v>0</v>
      </c>
      <c r="X96" s="20"/>
      <c r="Y96" s="20"/>
      <c r="Z96" s="20"/>
      <c r="AA96" s="20"/>
      <c r="AB96" s="20"/>
      <c r="AC96" s="20"/>
      <c r="AD96" s="20"/>
      <c r="AE96" s="20"/>
      <c r="AF96" s="9">
        <f t="shared" si="243"/>
        <v>0</v>
      </c>
      <c r="AG96" s="20"/>
      <c r="AH96" s="20"/>
      <c r="AI96" s="20"/>
      <c r="AJ96" s="20"/>
      <c r="AK96" s="20"/>
      <c r="AL96" s="20"/>
      <c r="AM96" s="20"/>
      <c r="AN96" s="20"/>
      <c r="AO96" s="21">
        <f t="shared" si="244"/>
        <v>0</v>
      </c>
      <c r="AP96" s="24">
        <v>0</v>
      </c>
      <c r="AQ96" s="20"/>
      <c r="AR96" s="20"/>
      <c r="AS96" s="20"/>
      <c r="AT96" s="20"/>
      <c r="AU96" s="21">
        <f t="shared" si="245"/>
        <v>0</v>
      </c>
      <c r="AV96" s="24"/>
      <c r="AW96" s="20"/>
      <c r="AX96" s="20"/>
      <c r="AY96" s="20"/>
      <c r="AZ96" s="20"/>
      <c r="BA96" s="21">
        <f t="shared" si="246"/>
        <v>0</v>
      </c>
      <c r="BB96" s="24"/>
      <c r="BC96" s="24"/>
      <c r="BD96" s="24"/>
      <c r="BE96" s="24"/>
      <c r="BF96" s="20"/>
      <c r="BG96" s="20"/>
      <c r="BH96" s="20"/>
      <c r="BI96" s="20"/>
      <c r="BJ96" s="21">
        <f t="shared" si="247"/>
        <v>0</v>
      </c>
      <c r="BK96" s="4">
        <f t="shared" si="248"/>
        <v>0</v>
      </c>
      <c r="BL96" s="4">
        <f t="shared" si="249"/>
        <v>155000</v>
      </c>
      <c r="BM96" s="4">
        <f t="shared" si="250"/>
        <v>151000</v>
      </c>
      <c r="BN96" s="4">
        <f t="shared" si="251"/>
        <v>0</v>
      </c>
      <c r="BO96" s="94">
        <f t="shared" si="252"/>
        <v>0</v>
      </c>
      <c r="BP96" s="94">
        <f t="shared" si="253"/>
        <v>0</v>
      </c>
      <c r="BQ96" s="94">
        <f t="shared" si="254"/>
        <v>0</v>
      </c>
      <c r="BR96" s="94">
        <f t="shared" si="255"/>
        <v>0</v>
      </c>
      <c r="BS96" s="9">
        <f t="shared" si="256"/>
        <v>306000</v>
      </c>
    </row>
    <row r="97" spans="1:71">
      <c r="A97" s="186"/>
      <c r="B97" s="8">
        <v>11</v>
      </c>
      <c r="C97" s="1" t="s">
        <v>195</v>
      </c>
      <c r="D97" s="4" t="s">
        <v>196</v>
      </c>
      <c r="E97" s="4" t="s">
        <v>17</v>
      </c>
      <c r="F97" s="4"/>
      <c r="G97" s="4">
        <v>155000</v>
      </c>
      <c r="H97" s="4">
        <v>154000</v>
      </c>
      <c r="I97" s="4"/>
      <c r="J97" s="4"/>
      <c r="K97" s="4"/>
      <c r="L97" s="4"/>
      <c r="M97" s="4"/>
      <c r="N97" s="9">
        <f t="shared" si="241"/>
        <v>309000</v>
      </c>
      <c r="O97" s="76"/>
      <c r="P97" s="76">
        <v>790000</v>
      </c>
      <c r="Q97" s="76">
        <v>1260000</v>
      </c>
      <c r="R97" s="76">
        <v>975000</v>
      </c>
      <c r="S97" s="4">
        <f>215000+225000+225000+225000+150000</f>
        <v>1040000</v>
      </c>
      <c r="T97" s="4">
        <v>2195000</v>
      </c>
      <c r="U97" s="4">
        <f>600000+600000+600000+200000+200000</f>
        <v>2200000</v>
      </c>
      <c r="V97" s="4">
        <f>400000+200000+200000+200000+200000+400000+600000</f>
        <v>2200000</v>
      </c>
      <c r="W97" s="9">
        <f t="shared" si="242"/>
        <v>10660000</v>
      </c>
      <c r="X97" s="20"/>
      <c r="Y97" s="20"/>
      <c r="Z97" s="20"/>
      <c r="AA97" s="20"/>
      <c r="AB97" s="20"/>
      <c r="AC97" s="20"/>
      <c r="AD97" s="20"/>
      <c r="AE97" s="20"/>
      <c r="AF97" s="9">
        <f t="shared" si="243"/>
        <v>0</v>
      </c>
      <c r="AG97" s="20"/>
      <c r="AH97" s="25">
        <v>447200</v>
      </c>
      <c r="AI97" s="25">
        <v>504400</v>
      </c>
      <c r="AJ97" s="24">
        <v>270000</v>
      </c>
      <c r="AK97" s="20"/>
      <c r="AL97" s="20"/>
      <c r="AM97" s="20"/>
      <c r="AN97" s="20"/>
      <c r="AO97" s="21">
        <f t="shared" si="244"/>
        <v>1221600</v>
      </c>
      <c r="AP97" s="25">
        <v>0</v>
      </c>
      <c r="AQ97" s="20"/>
      <c r="AR97" s="20"/>
      <c r="AS97" s="20"/>
      <c r="AT97" s="20"/>
      <c r="AU97" s="21">
        <f t="shared" si="245"/>
        <v>0</v>
      </c>
      <c r="AV97" s="25"/>
      <c r="AW97" s="20"/>
      <c r="AX97" s="20"/>
      <c r="AY97" s="20"/>
      <c r="AZ97" s="20"/>
      <c r="BA97" s="21">
        <f t="shared" si="246"/>
        <v>0</v>
      </c>
      <c r="BB97" s="25"/>
      <c r="BC97" s="25"/>
      <c r="BD97" s="25"/>
      <c r="BE97" s="25"/>
      <c r="BF97" s="20"/>
      <c r="BG97" s="20"/>
      <c r="BH97" s="20"/>
      <c r="BI97" s="20"/>
      <c r="BJ97" s="21">
        <f t="shared" si="247"/>
        <v>0</v>
      </c>
      <c r="BK97" s="4">
        <f t="shared" si="248"/>
        <v>0</v>
      </c>
      <c r="BL97" s="4">
        <f t="shared" si="249"/>
        <v>1392200</v>
      </c>
      <c r="BM97" s="4">
        <f t="shared" si="250"/>
        <v>1918400</v>
      </c>
      <c r="BN97" s="4">
        <f t="shared" si="251"/>
        <v>1245000</v>
      </c>
      <c r="BO97" s="94">
        <f t="shared" si="252"/>
        <v>1040000</v>
      </c>
      <c r="BP97" s="94">
        <f t="shared" si="253"/>
        <v>2195000</v>
      </c>
      <c r="BQ97" s="94">
        <f t="shared" si="254"/>
        <v>2200000</v>
      </c>
      <c r="BR97" s="94">
        <f t="shared" si="255"/>
        <v>2200000</v>
      </c>
      <c r="BS97" s="9">
        <f t="shared" si="256"/>
        <v>12190600</v>
      </c>
    </row>
    <row r="98" spans="1:71">
      <c r="A98" s="186"/>
      <c r="B98" s="8">
        <v>12</v>
      </c>
      <c r="C98" s="1" t="s">
        <v>197</v>
      </c>
      <c r="D98" s="4" t="s">
        <v>187</v>
      </c>
      <c r="E98" s="4" t="s">
        <v>17</v>
      </c>
      <c r="F98" s="4"/>
      <c r="G98" s="4">
        <v>512500</v>
      </c>
      <c r="H98" s="4">
        <f>104500+110000+110000</f>
        <v>324500</v>
      </c>
      <c r="I98" s="4">
        <v>200000</v>
      </c>
      <c r="J98" s="4"/>
      <c r="K98" s="4"/>
      <c r="L98" s="4"/>
      <c r="M98" s="4"/>
      <c r="N98" s="9">
        <f t="shared" si="241"/>
        <v>1037000</v>
      </c>
      <c r="O98" s="76"/>
      <c r="P98" s="76">
        <v>1300000</v>
      </c>
      <c r="Q98" s="76">
        <v>1480000</v>
      </c>
      <c r="R98" s="76">
        <v>250000</v>
      </c>
      <c r="S98" s="4"/>
      <c r="T98" s="4"/>
      <c r="U98" s="4"/>
      <c r="V98" s="4"/>
      <c r="W98" s="9">
        <f t="shared" si="242"/>
        <v>3030000</v>
      </c>
      <c r="X98" s="20"/>
      <c r="Y98" s="20">
        <v>290000</v>
      </c>
      <c r="Z98" s="20"/>
      <c r="AA98" s="22">
        <v>1072000</v>
      </c>
      <c r="AB98" s="22"/>
      <c r="AC98" s="22"/>
      <c r="AD98" s="22"/>
      <c r="AE98" s="22"/>
      <c r="AF98" s="9">
        <f t="shared" si="243"/>
        <v>1362000</v>
      </c>
      <c r="AG98" s="20"/>
      <c r="AH98" s="25">
        <v>943600</v>
      </c>
      <c r="AI98" s="20">
        <v>780850</v>
      </c>
      <c r="AJ98" s="20">
        <v>150000</v>
      </c>
      <c r="AK98" s="20"/>
      <c r="AL98" s="20"/>
      <c r="AM98" s="20"/>
      <c r="AN98" s="20"/>
      <c r="AO98" s="21">
        <f t="shared" si="244"/>
        <v>1874450</v>
      </c>
      <c r="AP98" s="25">
        <v>0</v>
      </c>
      <c r="AQ98" s="20"/>
      <c r="AR98" s="20"/>
      <c r="AS98" s="20"/>
      <c r="AT98" s="20"/>
      <c r="AU98" s="21">
        <f t="shared" si="245"/>
        <v>0</v>
      </c>
      <c r="AV98" s="24">
        <v>900000</v>
      </c>
      <c r="AW98" s="20">
        <f>300000+300000+300000+300000+200000</f>
        <v>1400000</v>
      </c>
      <c r="AX98" s="20">
        <f>2072000+765000</f>
        <v>2837000</v>
      </c>
      <c r="AY98" s="20">
        <f>255000+503000+755000+510000+765000</f>
        <v>2788000</v>
      </c>
      <c r="AZ98" s="20">
        <f>765000+255000+246500+246500+255000+510000+510000+255000</f>
        <v>3043000</v>
      </c>
      <c r="BA98" s="21">
        <f t="shared" si="246"/>
        <v>10968000</v>
      </c>
      <c r="BB98" s="25"/>
      <c r="BC98" s="25">
        <v>100000</v>
      </c>
      <c r="BD98" s="25">
        <v>276000</v>
      </c>
      <c r="BE98" s="25"/>
      <c r="BF98" s="20"/>
      <c r="BG98" s="20"/>
      <c r="BH98" s="20"/>
      <c r="BI98" s="20"/>
      <c r="BJ98" s="21">
        <f t="shared" si="247"/>
        <v>376000</v>
      </c>
      <c r="BK98" s="4">
        <f t="shared" si="248"/>
        <v>0</v>
      </c>
      <c r="BL98" s="4">
        <f t="shared" si="249"/>
        <v>3146100</v>
      </c>
      <c r="BM98" s="4">
        <f t="shared" si="250"/>
        <v>2861350</v>
      </c>
      <c r="BN98" s="4">
        <f t="shared" si="251"/>
        <v>2572000</v>
      </c>
      <c r="BO98" s="94">
        <f t="shared" si="252"/>
        <v>1400000</v>
      </c>
      <c r="BP98" s="94">
        <f t="shared" si="253"/>
        <v>2837000</v>
      </c>
      <c r="BQ98" s="94">
        <f t="shared" si="254"/>
        <v>2788000</v>
      </c>
      <c r="BR98" s="94">
        <f t="shared" si="255"/>
        <v>3043000</v>
      </c>
      <c r="BS98" s="9">
        <f t="shared" si="256"/>
        <v>18647450</v>
      </c>
    </row>
    <row r="99" spans="1:71">
      <c r="A99" s="186"/>
      <c r="B99" s="8">
        <v>13</v>
      </c>
      <c r="C99" s="1" t="s">
        <v>198</v>
      </c>
      <c r="D99" s="4" t="s">
        <v>193</v>
      </c>
      <c r="E99" s="4" t="s">
        <v>17</v>
      </c>
      <c r="F99" s="4"/>
      <c r="G99" s="4"/>
      <c r="H99" s="4"/>
      <c r="I99" s="4"/>
      <c r="J99" s="4"/>
      <c r="K99" s="4"/>
      <c r="L99" s="4"/>
      <c r="M99" s="4"/>
      <c r="N99" s="9">
        <f t="shared" si="241"/>
        <v>0</v>
      </c>
      <c r="O99" s="76"/>
      <c r="P99" s="76">
        <v>1210000</v>
      </c>
      <c r="Q99" s="76">
        <v>1000000</v>
      </c>
      <c r="R99" s="76">
        <v>1075000</v>
      </c>
      <c r="S99" s="4">
        <f>225000+225000+225000+225000</f>
        <v>900000</v>
      </c>
      <c r="T99" s="4">
        <f>1715000+600000</f>
        <v>2315000</v>
      </c>
      <c r="U99" s="4">
        <f>800000+400000+200000+200000+400000+200000+200000</f>
        <v>2400000</v>
      </c>
      <c r="V99" s="4">
        <f>400000+200000+200000+200000+200000+400000+600000</f>
        <v>2200000</v>
      </c>
      <c r="W99" s="9">
        <f t="shared" si="242"/>
        <v>11100000</v>
      </c>
      <c r="X99" s="20"/>
      <c r="Y99" s="20"/>
      <c r="Z99" s="20"/>
      <c r="AA99" s="20"/>
      <c r="AB99" s="20"/>
      <c r="AC99" s="20"/>
      <c r="AD99" s="20"/>
      <c r="AE99" s="20"/>
      <c r="AF99" s="9">
        <f t="shared" si="243"/>
        <v>0</v>
      </c>
      <c r="AG99" s="20"/>
      <c r="AH99" s="25">
        <v>801250</v>
      </c>
      <c r="AI99" s="25">
        <v>582000</v>
      </c>
      <c r="AJ99" s="24">
        <v>270000</v>
      </c>
      <c r="AK99" s="20"/>
      <c r="AL99" s="20"/>
      <c r="AM99" s="20"/>
      <c r="AN99" s="20"/>
      <c r="AO99" s="21">
        <f t="shared" si="244"/>
        <v>1653250</v>
      </c>
      <c r="AP99" s="25">
        <v>0</v>
      </c>
      <c r="AQ99" s="20"/>
      <c r="AR99" s="20"/>
      <c r="AS99" s="20"/>
      <c r="AT99" s="20"/>
      <c r="AU99" s="21">
        <f t="shared" si="245"/>
        <v>0</v>
      </c>
      <c r="AV99" s="25"/>
      <c r="AW99" s="20"/>
      <c r="AX99" s="20"/>
      <c r="AY99" s="20"/>
      <c r="AZ99" s="20"/>
      <c r="BA99" s="21">
        <f t="shared" si="246"/>
        <v>0</v>
      </c>
      <c r="BB99" s="25"/>
      <c r="BC99" s="25"/>
      <c r="BD99" s="25"/>
      <c r="BE99" s="25"/>
      <c r="BF99" s="20"/>
      <c r="BG99" s="20"/>
      <c r="BH99" s="20"/>
      <c r="BI99" s="20"/>
      <c r="BJ99" s="21">
        <f t="shared" si="247"/>
        <v>0</v>
      </c>
      <c r="BK99" s="4">
        <f t="shared" si="248"/>
        <v>0</v>
      </c>
      <c r="BL99" s="4">
        <f t="shared" si="249"/>
        <v>2011250</v>
      </c>
      <c r="BM99" s="4">
        <f t="shared" si="250"/>
        <v>1582000</v>
      </c>
      <c r="BN99" s="4">
        <f t="shared" si="251"/>
        <v>1345000</v>
      </c>
      <c r="BO99" s="94">
        <f t="shared" si="252"/>
        <v>900000</v>
      </c>
      <c r="BP99" s="94">
        <f t="shared" si="253"/>
        <v>2315000</v>
      </c>
      <c r="BQ99" s="94">
        <f t="shared" si="254"/>
        <v>2400000</v>
      </c>
      <c r="BR99" s="94">
        <f t="shared" si="255"/>
        <v>2200000</v>
      </c>
      <c r="BS99" s="9">
        <f t="shared" si="256"/>
        <v>12753250</v>
      </c>
    </row>
    <row r="100" spans="1:71" ht="31.5">
      <c r="A100" s="186"/>
      <c r="B100" s="8">
        <v>14</v>
      </c>
      <c r="C100" s="1" t="s">
        <v>199</v>
      </c>
      <c r="D100" s="4" t="s">
        <v>185</v>
      </c>
      <c r="E100" s="4" t="s">
        <v>17</v>
      </c>
      <c r="F100" s="4"/>
      <c r="G100" s="4"/>
      <c r="H100" s="4"/>
      <c r="I100" s="4"/>
      <c r="J100" s="4"/>
      <c r="K100" s="4"/>
      <c r="L100" s="4"/>
      <c r="M100" s="4"/>
      <c r="N100" s="9">
        <f t="shared" si="241"/>
        <v>0</v>
      </c>
      <c r="O100" s="4"/>
      <c r="P100" s="4"/>
      <c r="Q100" s="4"/>
      <c r="R100" s="4"/>
      <c r="S100" s="4"/>
      <c r="T100" s="4"/>
      <c r="U100" s="4"/>
      <c r="V100" s="4"/>
      <c r="W100" s="9">
        <f t="shared" si="242"/>
        <v>0</v>
      </c>
      <c r="X100" s="20"/>
      <c r="Y100" s="20"/>
      <c r="Z100" s="20"/>
      <c r="AA100" s="20"/>
      <c r="AB100" s="20"/>
      <c r="AC100" s="20"/>
      <c r="AD100" s="20"/>
      <c r="AE100" s="20"/>
      <c r="AF100" s="9">
        <f t="shared" si="243"/>
        <v>0</v>
      </c>
      <c r="AG100" s="20"/>
      <c r="AH100" s="25"/>
      <c r="AI100" s="25">
        <v>680900</v>
      </c>
      <c r="AJ100" s="24">
        <v>150000</v>
      </c>
      <c r="AK100" s="20"/>
      <c r="AL100" s="20"/>
      <c r="AM100" s="20"/>
      <c r="AN100" s="20">
        <v>1367700</v>
      </c>
      <c r="AO100" s="21">
        <f t="shared" si="244"/>
        <v>2198600</v>
      </c>
      <c r="AP100" s="25">
        <v>0</v>
      </c>
      <c r="AQ100" s="20"/>
      <c r="AR100" s="20"/>
      <c r="AS100" s="20"/>
      <c r="AT100" s="20"/>
      <c r="AU100" s="21">
        <f t="shared" si="245"/>
        <v>0</v>
      </c>
      <c r="AV100" s="25"/>
      <c r="AW100" s="20"/>
      <c r="AX100" s="20"/>
      <c r="AY100" s="20"/>
      <c r="AZ100" s="20"/>
      <c r="BA100" s="21">
        <f t="shared" si="246"/>
        <v>0</v>
      </c>
      <c r="BB100" s="25"/>
      <c r="BC100" s="25"/>
      <c r="BD100" s="25"/>
      <c r="BE100" s="25"/>
      <c r="BF100" s="20"/>
      <c r="BG100" s="20"/>
      <c r="BH100" s="20"/>
      <c r="BI100" s="20"/>
      <c r="BJ100" s="21">
        <f t="shared" si="247"/>
        <v>0</v>
      </c>
      <c r="BK100" s="4">
        <f t="shared" si="248"/>
        <v>0</v>
      </c>
      <c r="BL100" s="4">
        <f t="shared" si="249"/>
        <v>0</v>
      </c>
      <c r="BM100" s="4">
        <f t="shared" si="250"/>
        <v>680900</v>
      </c>
      <c r="BN100" s="4">
        <f t="shared" si="251"/>
        <v>150000</v>
      </c>
      <c r="BO100" s="94">
        <f t="shared" si="252"/>
        <v>0</v>
      </c>
      <c r="BP100" s="94">
        <f t="shared" si="253"/>
        <v>0</v>
      </c>
      <c r="BQ100" s="94">
        <f t="shared" si="254"/>
        <v>0</v>
      </c>
      <c r="BR100" s="94">
        <f t="shared" si="255"/>
        <v>1367700</v>
      </c>
      <c r="BS100" s="9">
        <f t="shared" si="256"/>
        <v>2198600</v>
      </c>
    </row>
    <row r="101" spans="1:71">
      <c r="A101" s="186"/>
      <c r="B101" s="8">
        <v>15</v>
      </c>
      <c r="C101" s="1" t="s">
        <v>200</v>
      </c>
      <c r="D101" s="4" t="s">
        <v>201</v>
      </c>
      <c r="E101" s="4" t="s">
        <v>17</v>
      </c>
      <c r="F101" s="4"/>
      <c r="G101" s="4"/>
      <c r="H101" s="4">
        <f>155000+72000</f>
        <v>227000</v>
      </c>
      <c r="I101" s="4">
        <f>58000+42000</f>
        <v>100000</v>
      </c>
      <c r="J101" s="4"/>
      <c r="K101" s="4"/>
      <c r="L101" s="4"/>
      <c r="M101" s="4"/>
      <c r="N101" s="9">
        <f t="shared" si="241"/>
        <v>327000</v>
      </c>
      <c r="O101" s="4"/>
      <c r="P101" s="4"/>
      <c r="Q101" s="4"/>
      <c r="R101" s="4"/>
      <c r="S101" s="4"/>
      <c r="T101" s="4"/>
      <c r="U101" s="4"/>
      <c r="V101" s="4"/>
      <c r="W101" s="9">
        <f t="shared" si="242"/>
        <v>0</v>
      </c>
      <c r="X101" s="20"/>
      <c r="Y101" s="20"/>
      <c r="Z101" s="20"/>
      <c r="AA101" s="20"/>
      <c r="AB101" s="20"/>
      <c r="AC101" s="20"/>
      <c r="AD101" s="20"/>
      <c r="AE101" s="20"/>
      <c r="AF101" s="9">
        <f t="shared" si="243"/>
        <v>0</v>
      </c>
      <c r="AG101" s="20"/>
      <c r="AH101" s="20"/>
      <c r="AI101" s="25">
        <v>310500</v>
      </c>
      <c r="AJ101" s="24"/>
      <c r="AK101" s="20"/>
      <c r="AL101" s="20"/>
      <c r="AM101" s="20"/>
      <c r="AN101" s="20"/>
      <c r="AO101" s="21">
        <f t="shared" si="244"/>
        <v>310500</v>
      </c>
      <c r="AP101" s="25">
        <v>720000</v>
      </c>
      <c r="AQ101" s="20">
        <f>90000+360000+270000+180000</f>
        <v>900000</v>
      </c>
      <c r="AR101" s="20">
        <f>1008000+252000+126000</f>
        <v>1386000</v>
      </c>
      <c r="AS101" s="20">
        <v>1512000</v>
      </c>
      <c r="AT101" s="20">
        <v>1386000</v>
      </c>
      <c r="AU101" s="21">
        <f t="shared" si="245"/>
        <v>5904000</v>
      </c>
      <c r="AV101" s="25"/>
      <c r="AW101" s="20"/>
      <c r="AX101" s="20"/>
      <c r="AY101" s="20"/>
      <c r="AZ101" s="20"/>
      <c r="BA101" s="21">
        <f t="shared" si="246"/>
        <v>0</v>
      </c>
      <c r="BB101" s="25"/>
      <c r="BC101" s="25"/>
      <c r="BD101" s="25"/>
      <c r="BE101" s="25"/>
      <c r="BF101" s="20"/>
      <c r="BG101" s="20"/>
      <c r="BH101" s="20"/>
      <c r="BI101" s="20"/>
      <c r="BJ101" s="21">
        <f t="shared" si="247"/>
        <v>0</v>
      </c>
      <c r="BK101" s="4">
        <f t="shared" si="248"/>
        <v>0</v>
      </c>
      <c r="BL101" s="4">
        <f t="shared" si="249"/>
        <v>0</v>
      </c>
      <c r="BM101" s="4">
        <f t="shared" si="250"/>
        <v>537500</v>
      </c>
      <c r="BN101" s="4">
        <f t="shared" si="251"/>
        <v>820000</v>
      </c>
      <c r="BO101" s="94">
        <f t="shared" si="252"/>
        <v>900000</v>
      </c>
      <c r="BP101" s="94">
        <f t="shared" si="253"/>
        <v>1386000</v>
      </c>
      <c r="BQ101" s="94">
        <f t="shared" si="254"/>
        <v>1512000</v>
      </c>
      <c r="BR101" s="94">
        <f t="shared" si="255"/>
        <v>1386000</v>
      </c>
      <c r="BS101" s="9">
        <f t="shared" si="256"/>
        <v>6541500</v>
      </c>
    </row>
    <row r="102" spans="1:71">
      <c r="A102" s="186"/>
      <c r="B102" s="8">
        <v>16</v>
      </c>
      <c r="C102" s="1" t="s">
        <v>202</v>
      </c>
      <c r="D102" s="4" t="s">
        <v>203</v>
      </c>
      <c r="E102" s="4" t="s">
        <v>17</v>
      </c>
      <c r="F102" s="4">
        <v>155000</v>
      </c>
      <c r="G102" s="4">
        <v>699500</v>
      </c>
      <c r="H102" s="4">
        <f>198000+324500</f>
        <v>522500</v>
      </c>
      <c r="I102" s="4">
        <v>180000</v>
      </c>
      <c r="J102" s="4"/>
      <c r="K102" s="4"/>
      <c r="L102" s="4"/>
      <c r="M102" s="4"/>
      <c r="N102" s="9">
        <f t="shared" si="241"/>
        <v>1557000</v>
      </c>
      <c r="O102" s="76"/>
      <c r="P102" s="76"/>
      <c r="Q102" s="76">
        <v>290000</v>
      </c>
      <c r="R102" s="76">
        <v>395000</v>
      </c>
      <c r="S102" s="4"/>
      <c r="T102" s="4"/>
      <c r="U102" s="4"/>
      <c r="V102" s="4"/>
      <c r="W102" s="9">
        <f t="shared" si="242"/>
        <v>685000</v>
      </c>
      <c r="X102" s="20"/>
      <c r="Y102" s="20"/>
      <c r="Z102" s="20"/>
      <c r="AA102" s="20"/>
      <c r="AB102" s="20"/>
      <c r="AC102" s="20"/>
      <c r="AD102" s="20"/>
      <c r="AE102" s="20"/>
      <c r="AF102" s="9">
        <f t="shared" si="243"/>
        <v>0</v>
      </c>
      <c r="AG102" s="20"/>
      <c r="AH102" s="25">
        <v>1407050</v>
      </c>
      <c r="AI102" s="25">
        <v>582000</v>
      </c>
      <c r="AJ102" s="24">
        <v>270000</v>
      </c>
      <c r="AK102" s="20"/>
      <c r="AL102" s="20"/>
      <c r="AM102" s="20"/>
      <c r="AN102" s="20"/>
      <c r="AO102" s="21">
        <f t="shared" si="244"/>
        <v>2259050</v>
      </c>
      <c r="AP102" s="25">
        <v>945000</v>
      </c>
      <c r="AQ102" s="20">
        <f>315000+315000+315000+315000+210000</f>
        <v>1470000</v>
      </c>
      <c r="AR102" s="20">
        <f>1388655+312000+156000</f>
        <v>1856655</v>
      </c>
      <c r="AS102" s="20">
        <v>1872000</v>
      </c>
      <c r="AT102" s="20">
        <v>1716000</v>
      </c>
      <c r="AU102" s="21">
        <f t="shared" si="245"/>
        <v>7859655</v>
      </c>
      <c r="AV102" s="25"/>
      <c r="AW102" s="20"/>
      <c r="AX102" s="20"/>
      <c r="AY102" s="20"/>
      <c r="AZ102" s="20"/>
      <c r="BA102" s="21">
        <f t="shared" si="246"/>
        <v>0</v>
      </c>
      <c r="BB102" s="25"/>
      <c r="BC102" s="24">
        <v>100000</v>
      </c>
      <c r="BD102" s="25"/>
      <c r="BE102" s="25">
        <v>208000</v>
      </c>
      <c r="BF102" s="20"/>
      <c r="BG102" s="20"/>
      <c r="BH102" s="20"/>
      <c r="BI102" s="20"/>
      <c r="BJ102" s="21">
        <f t="shared" si="247"/>
        <v>308000</v>
      </c>
      <c r="BK102" s="4">
        <f t="shared" si="248"/>
        <v>155000</v>
      </c>
      <c r="BL102" s="4">
        <f t="shared" si="249"/>
        <v>2206550</v>
      </c>
      <c r="BM102" s="4">
        <f t="shared" si="250"/>
        <v>1394500</v>
      </c>
      <c r="BN102" s="4">
        <f t="shared" si="251"/>
        <v>1998000</v>
      </c>
      <c r="BO102" s="94">
        <f t="shared" si="252"/>
        <v>1470000</v>
      </c>
      <c r="BP102" s="94">
        <f t="shared" si="253"/>
        <v>1856655</v>
      </c>
      <c r="BQ102" s="94">
        <f t="shared" si="254"/>
        <v>1872000</v>
      </c>
      <c r="BR102" s="94">
        <f t="shared" si="255"/>
        <v>1716000</v>
      </c>
      <c r="BS102" s="9">
        <f t="shared" si="256"/>
        <v>12668705</v>
      </c>
    </row>
    <row r="103" spans="1:71">
      <c r="A103" s="186"/>
      <c r="B103" s="8">
        <v>17</v>
      </c>
      <c r="C103" s="1" t="s">
        <v>204</v>
      </c>
      <c r="D103" s="4" t="s">
        <v>205</v>
      </c>
      <c r="E103" s="4" t="s">
        <v>17</v>
      </c>
      <c r="F103" s="4"/>
      <c r="G103" s="4"/>
      <c r="H103" s="4">
        <v>155000</v>
      </c>
      <c r="I103" s="4"/>
      <c r="J103" s="4"/>
      <c r="K103" s="4"/>
      <c r="L103" s="4"/>
      <c r="M103" s="4"/>
      <c r="N103" s="9">
        <f t="shared" si="241"/>
        <v>155000</v>
      </c>
      <c r="O103" s="76"/>
      <c r="P103" s="76"/>
      <c r="Q103" s="76">
        <v>290000</v>
      </c>
      <c r="R103" s="76"/>
      <c r="S103" s="4"/>
      <c r="T103" s="4"/>
      <c r="U103" s="4"/>
      <c r="V103" s="4"/>
      <c r="W103" s="9">
        <f t="shared" si="242"/>
        <v>290000</v>
      </c>
      <c r="X103" s="20"/>
      <c r="Y103" s="20"/>
      <c r="Z103" s="20"/>
      <c r="AA103" s="20"/>
      <c r="AB103" s="20"/>
      <c r="AC103" s="20"/>
      <c r="AD103" s="20"/>
      <c r="AE103" s="20"/>
      <c r="AF103" s="9">
        <f t="shared" si="243"/>
        <v>0</v>
      </c>
      <c r="AG103" s="20"/>
      <c r="AH103" s="20">
        <v>195000</v>
      </c>
      <c r="AI103" s="25">
        <v>237650</v>
      </c>
      <c r="AJ103" s="24"/>
      <c r="AK103" s="20"/>
      <c r="AL103" s="20"/>
      <c r="AM103" s="20"/>
      <c r="AN103" s="20"/>
      <c r="AO103" s="21">
        <f t="shared" si="244"/>
        <v>432650</v>
      </c>
      <c r="AP103" s="25">
        <v>0</v>
      </c>
      <c r="AQ103" s="20"/>
      <c r="AR103" s="20"/>
      <c r="AS103" s="20"/>
      <c r="AT103" s="20">
        <v>454000</v>
      </c>
      <c r="AU103" s="21">
        <f t="shared" si="245"/>
        <v>454000</v>
      </c>
      <c r="AV103" s="25"/>
      <c r="AW103" s="20"/>
      <c r="AX103" s="20"/>
      <c r="AY103" s="20"/>
      <c r="AZ103" s="20"/>
      <c r="BA103" s="21">
        <f t="shared" si="246"/>
        <v>0</v>
      </c>
      <c r="BB103" s="25"/>
      <c r="BC103" s="24"/>
      <c r="BD103" s="25"/>
      <c r="BE103" s="25"/>
      <c r="BF103" s="20"/>
      <c r="BG103" s="20"/>
      <c r="BH103" s="20"/>
      <c r="BI103" s="20"/>
      <c r="BJ103" s="21">
        <f t="shared" si="247"/>
        <v>0</v>
      </c>
      <c r="BK103" s="4">
        <f t="shared" si="248"/>
        <v>0</v>
      </c>
      <c r="BL103" s="4">
        <f t="shared" si="249"/>
        <v>195000</v>
      </c>
      <c r="BM103" s="4">
        <f t="shared" si="250"/>
        <v>682650</v>
      </c>
      <c r="BN103" s="4">
        <f t="shared" si="251"/>
        <v>0</v>
      </c>
      <c r="BO103" s="94">
        <f t="shared" si="252"/>
        <v>0</v>
      </c>
      <c r="BP103" s="94">
        <f t="shared" si="253"/>
        <v>0</v>
      </c>
      <c r="BQ103" s="94">
        <f t="shared" si="254"/>
        <v>0</v>
      </c>
      <c r="BR103" s="94">
        <f t="shared" si="255"/>
        <v>454000</v>
      </c>
      <c r="BS103" s="9">
        <f t="shared" si="256"/>
        <v>1331650</v>
      </c>
    </row>
    <row r="104" spans="1:71">
      <c r="A104" s="186"/>
      <c r="B104" s="8">
        <v>18</v>
      </c>
      <c r="C104" s="1" t="s">
        <v>5</v>
      </c>
      <c r="D104" s="4" t="s">
        <v>36</v>
      </c>
      <c r="E104" s="4" t="s">
        <v>17</v>
      </c>
      <c r="F104" s="4">
        <v>155000</v>
      </c>
      <c r="G104" s="4">
        <v>925328</v>
      </c>
      <c r="H104" s="4">
        <f>104500+104500+330000+220000+110000</f>
        <v>869000</v>
      </c>
      <c r="I104" s="4">
        <f>100000+20000</f>
        <v>120000</v>
      </c>
      <c r="J104" s="4"/>
      <c r="K104" s="4"/>
      <c r="L104" s="4"/>
      <c r="M104" s="4"/>
      <c r="N104" s="9">
        <f t="shared" si="241"/>
        <v>2069328</v>
      </c>
      <c r="O104" s="4"/>
      <c r="P104" s="4"/>
      <c r="Q104" s="4"/>
      <c r="R104" s="4"/>
      <c r="S104" s="4"/>
      <c r="T104" s="4"/>
      <c r="U104" s="4"/>
      <c r="V104" s="4"/>
      <c r="W104" s="9">
        <f t="shared" si="242"/>
        <v>0</v>
      </c>
      <c r="X104" s="20"/>
      <c r="Y104" s="20"/>
      <c r="Z104" s="20"/>
      <c r="AA104" s="20"/>
      <c r="AB104" s="20"/>
      <c r="AC104" s="20"/>
      <c r="AD104" s="20"/>
      <c r="AE104" s="20"/>
      <c r="AF104" s="9">
        <f t="shared" si="243"/>
        <v>0</v>
      </c>
      <c r="AG104" s="20">
        <v>195000</v>
      </c>
      <c r="AH104" s="25">
        <v>1595650</v>
      </c>
      <c r="AI104" s="25">
        <v>1129700</v>
      </c>
      <c r="AJ104" s="24">
        <v>30000</v>
      </c>
      <c r="AK104" s="20"/>
      <c r="AL104" s="20"/>
      <c r="AM104" s="20"/>
      <c r="AN104" s="20"/>
      <c r="AO104" s="21">
        <f t="shared" si="244"/>
        <v>2950350</v>
      </c>
      <c r="AP104" s="25">
        <v>1155000</v>
      </c>
      <c r="AQ104" s="20">
        <f>(105000+315000+262500)-140000+262500+175000</f>
        <v>980000</v>
      </c>
      <c r="AR104" s="20">
        <f>1282500+312000+156000</f>
        <v>1750500</v>
      </c>
      <c r="AS104" s="20">
        <v>1846000</v>
      </c>
      <c r="AT104" s="20">
        <v>1716000</v>
      </c>
      <c r="AU104" s="21">
        <f t="shared" si="245"/>
        <v>7447500</v>
      </c>
      <c r="AV104" s="25"/>
      <c r="AW104" s="20"/>
      <c r="AX104" s="20"/>
      <c r="AY104" s="20"/>
      <c r="AZ104" s="20"/>
      <c r="BA104" s="21">
        <f t="shared" si="246"/>
        <v>0</v>
      </c>
      <c r="BB104" s="25"/>
      <c r="BC104" s="24">
        <v>100000</v>
      </c>
      <c r="BD104" s="25">
        <f>276000+540000</f>
        <v>816000</v>
      </c>
      <c r="BE104" s="25"/>
      <c r="BF104" s="20"/>
      <c r="BG104" s="20"/>
      <c r="BH104" s="20"/>
      <c r="BI104" s="20"/>
      <c r="BJ104" s="21">
        <f t="shared" si="247"/>
        <v>916000</v>
      </c>
      <c r="BK104" s="4">
        <f t="shared" si="248"/>
        <v>350000</v>
      </c>
      <c r="BL104" s="4">
        <f t="shared" si="249"/>
        <v>2620978</v>
      </c>
      <c r="BM104" s="4">
        <f t="shared" si="250"/>
        <v>2814700</v>
      </c>
      <c r="BN104" s="4">
        <f t="shared" si="251"/>
        <v>1305000</v>
      </c>
      <c r="BO104" s="94">
        <f t="shared" si="252"/>
        <v>980000</v>
      </c>
      <c r="BP104" s="94">
        <f t="shared" si="253"/>
        <v>1750500</v>
      </c>
      <c r="BQ104" s="94">
        <f t="shared" si="254"/>
        <v>1846000</v>
      </c>
      <c r="BR104" s="94">
        <f t="shared" si="255"/>
        <v>1716000</v>
      </c>
      <c r="BS104" s="9">
        <f t="shared" si="256"/>
        <v>13383178</v>
      </c>
    </row>
    <row r="105" spans="1:71" ht="31.5">
      <c r="A105" s="186"/>
      <c r="B105" s="8">
        <v>19</v>
      </c>
      <c r="C105" s="1" t="s">
        <v>206</v>
      </c>
      <c r="D105" s="4" t="s">
        <v>193</v>
      </c>
      <c r="E105" s="4" t="s">
        <v>17</v>
      </c>
      <c r="F105" s="4"/>
      <c r="G105" s="4">
        <v>821267</v>
      </c>
      <c r="H105" s="4">
        <f>99000+99000+297000</f>
        <v>495000</v>
      </c>
      <c r="I105" s="4">
        <f>160000+20000</f>
        <v>180000</v>
      </c>
      <c r="J105" s="4"/>
      <c r="K105" s="4"/>
      <c r="L105" s="4"/>
      <c r="M105" s="4"/>
      <c r="N105" s="9">
        <f t="shared" si="241"/>
        <v>1496267</v>
      </c>
      <c r="O105" s="76"/>
      <c r="P105" s="76">
        <v>1870000</v>
      </c>
      <c r="Q105" s="76">
        <v>1200000</v>
      </c>
      <c r="R105" s="76">
        <v>350000</v>
      </c>
      <c r="S105" s="4"/>
      <c r="T105" s="4"/>
      <c r="U105" s="4"/>
      <c r="V105" s="4"/>
      <c r="W105" s="9">
        <f t="shared" si="242"/>
        <v>3420000</v>
      </c>
      <c r="X105" s="20"/>
      <c r="Y105" s="22">
        <v>920000</v>
      </c>
      <c r="Z105" s="4">
        <v>434000</v>
      </c>
      <c r="AA105" s="22">
        <v>424000</v>
      </c>
      <c r="AB105" s="22"/>
      <c r="AC105" s="22"/>
      <c r="AD105" s="22"/>
      <c r="AE105" s="22"/>
      <c r="AF105" s="9">
        <f t="shared" si="243"/>
        <v>1778000</v>
      </c>
      <c r="AG105" s="20"/>
      <c r="AH105" s="25">
        <v>1203800</v>
      </c>
      <c r="AI105" s="25">
        <v>446200</v>
      </c>
      <c r="AJ105" s="24">
        <v>270000</v>
      </c>
      <c r="AK105" s="20"/>
      <c r="AL105" s="20"/>
      <c r="AM105" s="20"/>
      <c r="AN105" s="20"/>
      <c r="AO105" s="21">
        <f t="shared" si="244"/>
        <v>1920000</v>
      </c>
      <c r="AP105" s="25">
        <v>0</v>
      </c>
      <c r="AQ105" s="20"/>
      <c r="AR105" s="20"/>
      <c r="AS105" s="20"/>
      <c r="AT105" s="20"/>
      <c r="AU105" s="21">
        <f t="shared" si="245"/>
        <v>0</v>
      </c>
      <c r="AV105" s="24">
        <v>900000</v>
      </c>
      <c r="AW105" s="20">
        <f>300000+300000+300000+300000+200000</f>
        <v>1400000</v>
      </c>
      <c r="AX105" s="20">
        <f>1842500+731000</f>
        <v>2573500</v>
      </c>
      <c r="AY105" s="20">
        <f>246500+739500+493000+246500+246500+493000+246500</f>
        <v>2711500</v>
      </c>
      <c r="AZ105" s="20">
        <f>739500+178500+246500+246500+246500+493000+493000+246500</f>
        <v>2890000</v>
      </c>
      <c r="BA105" s="21">
        <f t="shared" si="246"/>
        <v>10475000</v>
      </c>
      <c r="BB105" s="25"/>
      <c r="BC105" s="25"/>
      <c r="BD105" s="25"/>
      <c r="BE105" s="25"/>
      <c r="BF105" s="20"/>
      <c r="BG105" s="20"/>
      <c r="BH105" s="20"/>
      <c r="BI105" s="20"/>
      <c r="BJ105" s="21">
        <f t="shared" si="247"/>
        <v>0</v>
      </c>
      <c r="BK105" s="4">
        <f t="shared" si="248"/>
        <v>0</v>
      </c>
      <c r="BL105" s="4">
        <f t="shared" si="249"/>
        <v>4815067</v>
      </c>
      <c r="BM105" s="4">
        <f t="shared" si="250"/>
        <v>2575200</v>
      </c>
      <c r="BN105" s="4">
        <f t="shared" si="251"/>
        <v>2124000</v>
      </c>
      <c r="BO105" s="94">
        <f t="shared" si="252"/>
        <v>1400000</v>
      </c>
      <c r="BP105" s="94">
        <f t="shared" si="253"/>
        <v>2573500</v>
      </c>
      <c r="BQ105" s="94">
        <f t="shared" si="254"/>
        <v>2711500</v>
      </c>
      <c r="BR105" s="94">
        <f t="shared" si="255"/>
        <v>2890000</v>
      </c>
      <c r="BS105" s="9">
        <f t="shared" si="256"/>
        <v>19089267</v>
      </c>
    </row>
    <row r="106" spans="1:71" ht="31.5">
      <c r="A106" s="186"/>
      <c r="B106" s="8">
        <v>20</v>
      </c>
      <c r="C106" s="1" t="s">
        <v>207</v>
      </c>
      <c r="D106" s="5" t="s">
        <v>36</v>
      </c>
      <c r="E106" s="4" t="s">
        <v>17</v>
      </c>
      <c r="F106" s="4"/>
      <c r="G106" s="4"/>
      <c r="H106" s="4"/>
      <c r="I106" s="4"/>
      <c r="J106" s="4"/>
      <c r="K106" s="4"/>
      <c r="L106" s="4"/>
      <c r="M106" s="4"/>
      <c r="N106" s="9">
        <f t="shared" si="241"/>
        <v>0</v>
      </c>
      <c r="O106" s="4"/>
      <c r="P106" s="4"/>
      <c r="Q106" s="4"/>
      <c r="R106" s="4"/>
      <c r="S106" s="4"/>
      <c r="T106" s="4"/>
      <c r="U106" s="4"/>
      <c r="V106" s="4"/>
      <c r="W106" s="9">
        <f t="shared" si="242"/>
        <v>0</v>
      </c>
      <c r="X106" s="20"/>
      <c r="Y106" s="20"/>
      <c r="Z106" s="4"/>
      <c r="AA106" s="20"/>
      <c r="AB106" s="20"/>
      <c r="AC106" s="20"/>
      <c r="AD106" s="20"/>
      <c r="AE106" s="20"/>
      <c r="AF106" s="9">
        <f t="shared" si="243"/>
        <v>0</v>
      </c>
      <c r="AG106" s="20"/>
      <c r="AH106" s="25">
        <v>279700</v>
      </c>
      <c r="AI106" s="25">
        <v>140400</v>
      </c>
      <c r="AJ106" s="24">
        <v>470000</v>
      </c>
      <c r="AK106" s="20">
        <f>72000+36000+111000+108000+72000</f>
        <v>399000</v>
      </c>
      <c r="AL106" s="20">
        <v>36000</v>
      </c>
      <c r="AM106" s="20"/>
      <c r="AN106" s="20"/>
      <c r="AO106" s="21">
        <f t="shared" si="244"/>
        <v>1325100</v>
      </c>
      <c r="AP106" s="25">
        <v>0</v>
      </c>
      <c r="AQ106" s="20"/>
      <c r="AR106" s="20"/>
      <c r="AS106" s="20"/>
      <c r="AT106" s="20"/>
      <c r="AU106" s="21">
        <f t="shared" si="245"/>
        <v>0</v>
      </c>
      <c r="AV106" s="25"/>
      <c r="AW106" s="20"/>
      <c r="AX106" s="20"/>
      <c r="AY106" s="20"/>
      <c r="AZ106" s="20"/>
      <c r="BA106" s="21">
        <f t="shared" si="246"/>
        <v>0</v>
      </c>
      <c r="BB106" s="25"/>
      <c r="BC106" s="25"/>
      <c r="BD106" s="25"/>
      <c r="BE106" s="25"/>
      <c r="BF106" s="20"/>
      <c r="BG106" s="20"/>
      <c r="BH106" s="20"/>
      <c r="BI106" s="20"/>
      <c r="BJ106" s="21">
        <f t="shared" si="247"/>
        <v>0</v>
      </c>
      <c r="BK106" s="4">
        <f t="shared" si="248"/>
        <v>0</v>
      </c>
      <c r="BL106" s="4">
        <f t="shared" si="249"/>
        <v>279700</v>
      </c>
      <c r="BM106" s="4">
        <f t="shared" si="250"/>
        <v>140400</v>
      </c>
      <c r="BN106" s="4">
        <f t="shared" si="251"/>
        <v>470000</v>
      </c>
      <c r="BO106" s="94">
        <f t="shared" si="252"/>
        <v>399000</v>
      </c>
      <c r="BP106" s="94">
        <f t="shared" si="253"/>
        <v>36000</v>
      </c>
      <c r="BQ106" s="94">
        <f t="shared" si="254"/>
        <v>0</v>
      </c>
      <c r="BR106" s="94">
        <f t="shared" si="255"/>
        <v>0</v>
      </c>
      <c r="BS106" s="9">
        <f t="shared" si="256"/>
        <v>1325100</v>
      </c>
    </row>
    <row r="107" spans="1:71">
      <c r="A107" s="186"/>
      <c r="B107" s="8">
        <v>21</v>
      </c>
      <c r="C107" s="44" t="s">
        <v>208</v>
      </c>
      <c r="D107" s="45" t="s">
        <v>209</v>
      </c>
      <c r="E107" s="4" t="s">
        <v>17</v>
      </c>
      <c r="F107" s="4"/>
      <c r="G107" s="4"/>
      <c r="H107" s="4"/>
      <c r="I107" s="4"/>
      <c r="J107" s="4"/>
      <c r="K107" s="4"/>
      <c r="L107" s="4"/>
      <c r="M107" s="4"/>
      <c r="N107" s="9">
        <f t="shared" si="241"/>
        <v>0</v>
      </c>
      <c r="O107" s="76"/>
      <c r="P107" s="76"/>
      <c r="Q107" s="76">
        <v>530000</v>
      </c>
      <c r="R107" s="76">
        <v>975000</v>
      </c>
      <c r="S107" s="4">
        <f>225000+225000+225000+225000+150000</f>
        <v>1050000</v>
      </c>
      <c r="T107" s="4">
        <f>1475000+480000</f>
        <v>1955000</v>
      </c>
      <c r="U107" s="4">
        <f>790000+600000+200000+400000+400000</f>
        <v>2390000</v>
      </c>
      <c r="V107" s="4">
        <f>400000+200000+200000+200000+200000+400000+590000</f>
        <v>2190000</v>
      </c>
      <c r="W107" s="9">
        <f t="shared" si="242"/>
        <v>9090000</v>
      </c>
      <c r="X107" s="20"/>
      <c r="Y107" s="20"/>
      <c r="Z107" s="4"/>
      <c r="AA107" s="20"/>
      <c r="AB107" s="20"/>
      <c r="AC107" s="20"/>
      <c r="AD107" s="20"/>
      <c r="AE107" s="20"/>
      <c r="AF107" s="9">
        <f t="shared" si="243"/>
        <v>0</v>
      </c>
      <c r="AG107" s="20"/>
      <c r="AH107" s="25"/>
      <c r="AI107" s="25"/>
      <c r="AJ107" s="25"/>
      <c r="AK107" s="20"/>
      <c r="AL107" s="20"/>
      <c r="AM107" s="20"/>
      <c r="AN107" s="20"/>
      <c r="AO107" s="21">
        <f t="shared" si="244"/>
        <v>0</v>
      </c>
      <c r="AP107" s="25">
        <v>0</v>
      </c>
      <c r="AQ107" s="20"/>
      <c r="AR107" s="20"/>
      <c r="AS107" s="20"/>
      <c r="AT107" s="20"/>
      <c r="AU107" s="21">
        <f t="shared" si="245"/>
        <v>0</v>
      </c>
      <c r="AV107" s="25"/>
      <c r="AW107" s="20"/>
      <c r="AX107" s="20"/>
      <c r="AY107" s="20"/>
      <c r="AZ107" s="20"/>
      <c r="BA107" s="21">
        <f t="shared" si="246"/>
        <v>0</v>
      </c>
      <c r="BB107" s="25"/>
      <c r="BC107" s="25"/>
      <c r="BD107" s="25"/>
      <c r="BE107" s="25"/>
      <c r="BF107" s="20"/>
      <c r="BG107" s="20"/>
      <c r="BH107" s="20"/>
      <c r="BI107" s="20"/>
      <c r="BJ107" s="21">
        <f t="shared" si="247"/>
        <v>0</v>
      </c>
      <c r="BK107" s="4">
        <f t="shared" si="248"/>
        <v>0</v>
      </c>
      <c r="BL107" s="4">
        <f t="shared" si="249"/>
        <v>0</v>
      </c>
      <c r="BM107" s="4">
        <f t="shared" si="250"/>
        <v>530000</v>
      </c>
      <c r="BN107" s="4">
        <f t="shared" si="251"/>
        <v>975000</v>
      </c>
      <c r="BO107" s="94">
        <f t="shared" si="252"/>
        <v>1050000</v>
      </c>
      <c r="BP107" s="94">
        <f t="shared" si="253"/>
        <v>1955000</v>
      </c>
      <c r="BQ107" s="94">
        <f t="shared" si="254"/>
        <v>2390000</v>
      </c>
      <c r="BR107" s="94">
        <f t="shared" si="255"/>
        <v>2190000</v>
      </c>
      <c r="BS107" s="9">
        <f t="shared" si="256"/>
        <v>9090000</v>
      </c>
    </row>
    <row r="108" spans="1:71" ht="31.5">
      <c r="A108" s="186"/>
      <c r="B108" s="8">
        <v>22</v>
      </c>
      <c r="C108" s="1" t="s">
        <v>210</v>
      </c>
      <c r="D108" s="4" t="s">
        <v>211</v>
      </c>
      <c r="E108" s="4" t="s">
        <v>17</v>
      </c>
      <c r="F108" s="4">
        <v>155000</v>
      </c>
      <c r="G108" s="4">
        <v>501565</v>
      </c>
      <c r="H108" s="4">
        <f>544500+110000</f>
        <v>654500</v>
      </c>
      <c r="I108" s="4">
        <f>220000+20000</f>
        <v>240000</v>
      </c>
      <c r="J108" s="4"/>
      <c r="K108" s="4"/>
      <c r="L108" s="4"/>
      <c r="M108" s="4"/>
      <c r="N108" s="9">
        <f t="shared" si="241"/>
        <v>1551065</v>
      </c>
      <c r="O108" s="76"/>
      <c r="P108" s="76">
        <v>290000</v>
      </c>
      <c r="Q108" s="76">
        <v>870000</v>
      </c>
      <c r="R108" s="76">
        <v>250000</v>
      </c>
      <c r="S108" s="4"/>
      <c r="T108" s="4"/>
      <c r="U108" s="4"/>
      <c r="V108" s="4"/>
      <c r="W108" s="9">
        <f t="shared" si="242"/>
        <v>1410000</v>
      </c>
      <c r="X108" s="20"/>
      <c r="Y108" s="20"/>
      <c r="Z108" s="4"/>
      <c r="AA108" s="20"/>
      <c r="AB108" s="20"/>
      <c r="AC108" s="20"/>
      <c r="AD108" s="20"/>
      <c r="AE108" s="20"/>
      <c r="AF108" s="9">
        <f t="shared" si="243"/>
        <v>0</v>
      </c>
      <c r="AG108" s="20"/>
      <c r="AH108" s="25">
        <v>1475506</v>
      </c>
      <c r="AI108" s="25">
        <v>557750</v>
      </c>
      <c r="AJ108" s="25">
        <v>270000</v>
      </c>
      <c r="AK108" s="20"/>
      <c r="AL108" s="20"/>
      <c r="AM108" s="20"/>
      <c r="AN108" s="20"/>
      <c r="AO108" s="21">
        <f t="shared" si="244"/>
        <v>2303256</v>
      </c>
      <c r="AP108" s="25">
        <v>1155000</v>
      </c>
      <c r="AQ108" s="20">
        <f>105000+304500+203000+399000+10500+210000</f>
        <v>1232000</v>
      </c>
      <c r="AR108" s="20">
        <f>1344000+282000+141000</f>
        <v>1767000</v>
      </c>
      <c r="AS108" s="20">
        <v>1765000</v>
      </c>
      <c r="AT108" s="20">
        <v>1716000</v>
      </c>
      <c r="AU108" s="21">
        <f t="shared" si="245"/>
        <v>7635000</v>
      </c>
      <c r="AV108" s="25"/>
      <c r="AW108" s="20"/>
      <c r="AX108" s="20"/>
      <c r="AY108" s="20"/>
      <c r="AZ108" s="20"/>
      <c r="BA108" s="21">
        <f t="shared" si="246"/>
        <v>0</v>
      </c>
      <c r="BB108" s="25"/>
      <c r="BC108" s="25">
        <v>100000</v>
      </c>
      <c r="BD108" s="25">
        <v>276000</v>
      </c>
      <c r="BE108" s="25"/>
      <c r="BF108" s="20"/>
      <c r="BG108" s="20"/>
      <c r="BH108" s="20"/>
      <c r="BI108" s="20"/>
      <c r="BJ108" s="21">
        <f t="shared" si="247"/>
        <v>376000</v>
      </c>
      <c r="BK108" s="4">
        <f t="shared" si="248"/>
        <v>155000</v>
      </c>
      <c r="BL108" s="4">
        <f t="shared" si="249"/>
        <v>2367071</v>
      </c>
      <c r="BM108" s="4">
        <f t="shared" si="250"/>
        <v>2358250</v>
      </c>
      <c r="BN108" s="4">
        <f t="shared" si="251"/>
        <v>1915000</v>
      </c>
      <c r="BO108" s="94">
        <f t="shared" si="252"/>
        <v>1232000</v>
      </c>
      <c r="BP108" s="94">
        <f t="shared" si="253"/>
        <v>1767000</v>
      </c>
      <c r="BQ108" s="94">
        <f t="shared" si="254"/>
        <v>1765000</v>
      </c>
      <c r="BR108" s="94">
        <f t="shared" si="255"/>
        <v>1716000</v>
      </c>
      <c r="BS108" s="9">
        <f t="shared" si="256"/>
        <v>13275321</v>
      </c>
    </row>
    <row r="109" spans="1:71" ht="31.5">
      <c r="A109" s="186"/>
      <c r="B109" s="8">
        <v>23</v>
      </c>
      <c r="C109" s="1" t="s">
        <v>212</v>
      </c>
      <c r="D109" s="4" t="s">
        <v>213</v>
      </c>
      <c r="E109" s="4" t="s">
        <v>17</v>
      </c>
      <c r="F109" s="4"/>
      <c r="G109" s="4"/>
      <c r="H109" s="4">
        <v>155000</v>
      </c>
      <c r="I109" s="4"/>
      <c r="J109" s="4"/>
      <c r="K109" s="4"/>
      <c r="L109" s="4"/>
      <c r="M109" s="4"/>
      <c r="N109" s="9">
        <f t="shared" si="241"/>
        <v>155000</v>
      </c>
      <c r="O109" s="76"/>
      <c r="P109" s="76">
        <v>890000</v>
      </c>
      <c r="Q109" s="76">
        <v>580000</v>
      </c>
      <c r="R109" s="76"/>
      <c r="S109" s="4"/>
      <c r="T109" s="4"/>
      <c r="U109" s="4"/>
      <c r="V109" s="4"/>
      <c r="W109" s="9">
        <f t="shared" si="242"/>
        <v>1470000</v>
      </c>
      <c r="X109" s="20"/>
      <c r="Y109" s="20"/>
      <c r="Z109" s="4"/>
      <c r="AA109" s="20"/>
      <c r="AB109" s="20"/>
      <c r="AC109" s="20"/>
      <c r="AD109" s="20"/>
      <c r="AE109" s="20"/>
      <c r="AF109" s="9">
        <f t="shared" si="243"/>
        <v>0</v>
      </c>
      <c r="AG109" s="20"/>
      <c r="AH109" s="25">
        <v>413250</v>
      </c>
      <c r="AI109" s="25">
        <v>548050</v>
      </c>
      <c r="AJ109" s="25"/>
      <c r="AK109" s="20"/>
      <c r="AL109" s="20"/>
      <c r="AM109" s="20"/>
      <c r="AN109" s="20"/>
      <c r="AO109" s="21">
        <f t="shared" si="244"/>
        <v>961300</v>
      </c>
      <c r="AP109" s="25">
        <v>0</v>
      </c>
      <c r="AQ109" s="20"/>
      <c r="AR109" s="20"/>
      <c r="AS109" s="20"/>
      <c r="AT109" s="20">
        <v>499200</v>
      </c>
      <c r="AU109" s="21">
        <f t="shared" si="245"/>
        <v>499200</v>
      </c>
      <c r="AV109" s="25"/>
      <c r="AW109" s="20"/>
      <c r="AX109" s="20"/>
      <c r="AY109" s="20"/>
      <c r="AZ109" s="20"/>
      <c r="BA109" s="21">
        <f t="shared" si="246"/>
        <v>0</v>
      </c>
      <c r="BB109" s="25"/>
      <c r="BC109" s="25"/>
      <c r="BD109" s="25"/>
      <c r="BE109" s="25"/>
      <c r="BF109" s="20"/>
      <c r="BG109" s="20"/>
      <c r="BH109" s="20"/>
      <c r="BI109" s="20"/>
      <c r="BJ109" s="21">
        <f t="shared" si="247"/>
        <v>0</v>
      </c>
      <c r="BK109" s="4">
        <f t="shared" si="248"/>
        <v>0</v>
      </c>
      <c r="BL109" s="4">
        <f t="shared" si="249"/>
        <v>1303250</v>
      </c>
      <c r="BM109" s="4">
        <f t="shared" si="250"/>
        <v>1283050</v>
      </c>
      <c r="BN109" s="4">
        <f t="shared" si="251"/>
        <v>0</v>
      </c>
      <c r="BO109" s="94">
        <f t="shared" si="252"/>
        <v>0</v>
      </c>
      <c r="BP109" s="94">
        <f t="shared" si="253"/>
        <v>0</v>
      </c>
      <c r="BQ109" s="94">
        <f t="shared" si="254"/>
        <v>0</v>
      </c>
      <c r="BR109" s="94">
        <f t="shared" si="255"/>
        <v>499200</v>
      </c>
      <c r="BS109" s="9">
        <f t="shared" si="256"/>
        <v>3085500</v>
      </c>
    </row>
    <row r="110" spans="1:71" ht="31.5">
      <c r="A110" s="186"/>
      <c r="B110" s="8">
        <v>24</v>
      </c>
      <c r="C110" s="1" t="s">
        <v>214</v>
      </c>
      <c r="D110" s="4" t="s">
        <v>187</v>
      </c>
      <c r="E110" s="4" t="s">
        <v>17</v>
      </c>
      <c r="F110" s="4"/>
      <c r="G110" s="4">
        <v>155000</v>
      </c>
      <c r="H110" s="4">
        <f>52983+660000</f>
        <v>712983</v>
      </c>
      <c r="I110" s="4"/>
      <c r="J110" s="4"/>
      <c r="K110" s="4"/>
      <c r="L110" s="4">
        <v>140000</v>
      </c>
      <c r="M110" s="4"/>
      <c r="N110" s="9">
        <f t="shared" si="241"/>
        <v>1007983</v>
      </c>
      <c r="O110" s="76"/>
      <c r="P110" s="76">
        <v>1420000</v>
      </c>
      <c r="Q110" s="76">
        <v>200000</v>
      </c>
      <c r="R110" s="76"/>
      <c r="S110" s="4"/>
      <c r="T110" s="4"/>
      <c r="U110" s="4">
        <v>350000</v>
      </c>
      <c r="V110" s="4"/>
      <c r="W110" s="9">
        <f t="shared" si="242"/>
        <v>1970000</v>
      </c>
      <c r="X110" s="20"/>
      <c r="Y110" s="22">
        <v>1228000</v>
      </c>
      <c r="Z110" s="4">
        <v>182000</v>
      </c>
      <c r="AA110" s="23">
        <v>720000</v>
      </c>
      <c r="AB110" s="23"/>
      <c r="AC110" s="23"/>
      <c r="AD110" s="23"/>
      <c r="AE110" s="23"/>
      <c r="AF110" s="9">
        <f t="shared" si="243"/>
        <v>2130000</v>
      </c>
      <c r="AG110" s="20"/>
      <c r="AH110" s="25">
        <v>592700</v>
      </c>
      <c r="AI110" s="25">
        <v>530500</v>
      </c>
      <c r="AJ110" s="25">
        <v>900000</v>
      </c>
      <c r="AK110" s="20">
        <f>210000+210000+210000+350000</f>
        <v>980000</v>
      </c>
      <c r="AL110" s="20">
        <f>883000+180150+92000</f>
        <v>1155150</v>
      </c>
      <c r="AM110" s="20">
        <v>1117250</v>
      </c>
      <c r="AN110" s="20">
        <v>1348300</v>
      </c>
      <c r="AO110" s="21">
        <f t="shared" si="244"/>
        <v>6623900</v>
      </c>
      <c r="AP110" s="25">
        <v>0</v>
      </c>
      <c r="AQ110" s="20"/>
      <c r="AR110" s="20"/>
      <c r="AS110" s="20"/>
      <c r="AT110" s="20"/>
      <c r="AU110" s="21">
        <f t="shared" si="245"/>
        <v>0</v>
      </c>
      <c r="AV110" s="25"/>
      <c r="AW110" s="20"/>
      <c r="AX110" s="20"/>
      <c r="AY110" s="20"/>
      <c r="AZ110" s="20"/>
      <c r="BA110" s="21">
        <f t="shared" si="246"/>
        <v>0</v>
      </c>
      <c r="BB110" s="25"/>
      <c r="BC110" s="25">
        <v>100000</v>
      </c>
      <c r="BD110" s="25">
        <v>276000</v>
      </c>
      <c r="BE110" s="25"/>
      <c r="BF110" s="20"/>
      <c r="BG110" s="20"/>
      <c r="BH110" s="20"/>
      <c r="BI110" s="20"/>
      <c r="BJ110" s="21">
        <f t="shared" si="247"/>
        <v>376000</v>
      </c>
      <c r="BK110" s="4">
        <f t="shared" si="248"/>
        <v>0</v>
      </c>
      <c r="BL110" s="4">
        <f t="shared" si="249"/>
        <v>3495700</v>
      </c>
      <c r="BM110" s="4">
        <f t="shared" si="250"/>
        <v>1901483</v>
      </c>
      <c r="BN110" s="4">
        <f t="shared" si="251"/>
        <v>1620000</v>
      </c>
      <c r="BO110" s="94">
        <f t="shared" si="252"/>
        <v>980000</v>
      </c>
      <c r="BP110" s="94">
        <f t="shared" si="253"/>
        <v>1155150</v>
      </c>
      <c r="BQ110" s="94">
        <f t="shared" si="254"/>
        <v>1607250</v>
      </c>
      <c r="BR110" s="94">
        <f t="shared" si="255"/>
        <v>1348300</v>
      </c>
      <c r="BS110" s="9">
        <f t="shared" si="256"/>
        <v>12107883</v>
      </c>
    </row>
    <row r="111" spans="1:71">
      <c r="A111" s="186"/>
      <c r="B111" s="8">
        <v>25</v>
      </c>
      <c r="C111" s="1" t="s">
        <v>215</v>
      </c>
      <c r="D111" s="4" t="s">
        <v>209</v>
      </c>
      <c r="E111" s="4" t="s">
        <v>17</v>
      </c>
      <c r="F111" s="4"/>
      <c r="G111" s="4"/>
      <c r="H111" s="4"/>
      <c r="I111" s="4"/>
      <c r="J111" s="4"/>
      <c r="K111" s="4"/>
      <c r="L111" s="4"/>
      <c r="M111" s="4"/>
      <c r="N111" s="9">
        <f t="shared" si="241"/>
        <v>0</v>
      </c>
      <c r="O111" s="4"/>
      <c r="P111" s="4"/>
      <c r="Q111" s="4"/>
      <c r="R111" s="4"/>
      <c r="S111" s="4"/>
      <c r="T111" s="4"/>
      <c r="U111" s="4"/>
      <c r="V111" s="4"/>
      <c r="W111" s="9">
        <f t="shared" si="242"/>
        <v>0</v>
      </c>
      <c r="X111" s="20"/>
      <c r="Y111" s="22">
        <v>864000</v>
      </c>
      <c r="Z111" s="4">
        <v>1078000</v>
      </c>
      <c r="AA111" s="22">
        <v>1045000</v>
      </c>
      <c r="AB111" s="22">
        <f>150000+225000+225000+225000+150000</f>
        <v>975000</v>
      </c>
      <c r="AC111" s="22">
        <f>1020000+315000</f>
        <v>1335000</v>
      </c>
      <c r="AD111" s="22">
        <f>105000+315000+210000+105000+105000+105000</f>
        <v>945000</v>
      </c>
      <c r="AE111" s="4">
        <f>525000+105000+210000+315000+294000</f>
        <v>1449000</v>
      </c>
      <c r="AF111" s="9">
        <f t="shared" si="243"/>
        <v>7691000</v>
      </c>
      <c r="AG111" s="20"/>
      <c r="AH111" s="25"/>
      <c r="AI111" s="25">
        <v>453700</v>
      </c>
      <c r="AJ111" s="25">
        <v>180000</v>
      </c>
      <c r="AK111" s="20"/>
      <c r="AL111" s="20"/>
      <c r="AM111" s="20"/>
      <c r="AN111" s="20"/>
      <c r="AO111" s="21">
        <f t="shared" si="244"/>
        <v>633700</v>
      </c>
      <c r="AP111" s="25">
        <v>0</v>
      </c>
      <c r="AQ111" s="20"/>
      <c r="AR111" s="20"/>
      <c r="AS111" s="20"/>
      <c r="AT111" s="20"/>
      <c r="AU111" s="21">
        <f t="shared" si="245"/>
        <v>0</v>
      </c>
      <c r="AV111" s="25"/>
      <c r="AW111" s="20"/>
      <c r="AX111" s="20"/>
      <c r="AY111" s="20"/>
      <c r="AZ111" s="20"/>
      <c r="BA111" s="21">
        <f t="shared" si="246"/>
        <v>0</v>
      </c>
      <c r="BB111" s="25"/>
      <c r="BC111" s="25"/>
      <c r="BD111" s="25"/>
      <c r="BE111" s="25"/>
      <c r="BF111" s="20"/>
      <c r="BG111" s="20"/>
      <c r="BH111" s="20"/>
      <c r="BI111" s="20"/>
      <c r="BJ111" s="21">
        <f t="shared" si="247"/>
        <v>0</v>
      </c>
      <c r="BK111" s="4">
        <f t="shared" si="248"/>
        <v>0</v>
      </c>
      <c r="BL111" s="4">
        <f t="shared" si="249"/>
        <v>864000</v>
      </c>
      <c r="BM111" s="4">
        <f t="shared" si="250"/>
        <v>1531700</v>
      </c>
      <c r="BN111" s="4">
        <f t="shared" si="251"/>
        <v>1225000</v>
      </c>
      <c r="BO111" s="94">
        <f t="shared" si="252"/>
        <v>975000</v>
      </c>
      <c r="BP111" s="94">
        <f t="shared" si="253"/>
        <v>1335000</v>
      </c>
      <c r="BQ111" s="94">
        <f t="shared" si="254"/>
        <v>945000</v>
      </c>
      <c r="BR111" s="94">
        <f t="shared" si="255"/>
        <v>1449000</v>
      </c>
      <c r="BS111" s="9">
        <f t="shared" si="256"/>
        <v>8324700</v>
      </c>
    </row>
    <row r="112" spans="1:71" ht="47.25">
      <c r="A112" s="186"/>
      <c r="B112" s="8">
        <v>26</v>
      </c>
      <c r="C112" s="1" t="s">
        <v>217</v>
      </c>
      <c r="D112" s="4" t="s">
        <v>211</v>
      </c>
      <c r="E112" s="4" t="s">
        <v>17</v>
      </c>
      <c r="F112" s="4"/>
      <c r="G112" s="4"/>
      <c r="H112" s="4">
        <f>155000+52903</f>
        <v>207903</v>
      </c>
      <c r="I112" s="4">
        <v>270000</v>
      </c>
      <c r="J112" s="4">
        <f>101500+86500+151500+31000+62000</f>
        <v>432500</v>
      </c>
      <c r="K112" s="4">
        <f>412685+76200+38000</f>
        <v>526885</v>
      </c>
      <c r="L112" s="4">
        <v>584030</v>
      </c>
      <c r="M112" s="4">
        <v>737000</v>
      </c>
      <c r="N112" s="9">
        <f t="shared" si="241"/>
        <v>2758318</v>
      </c>
      <c r="O112" s="4"/>
      <c r="P112" s="4"/>
      <c r="Q112" s="4"/>
      <c r="R112" s="4"/>
      <c r="S112" s="4"/>
      <c r="T112" s="4"/>
      <c r="U112" s="4"/>
      <c r="V112" s="4"/>
      <c r="W112" s="9">
        <f t="shared" si="242"/>
        <v>0</v>
      </c>
      <c r="X112" s="20"/>
      <c r="Y112" s="20"/>
      <c r="Z112" s="20"/>
      <c r="AA112" s="20"/>
      <c r="AB112" s="20"/>
      <c r="AC112" s="20"/>
      <c r="AD112" s="20"/>
      <c r="AE112" s="20"/>
      <c r="AF112" s="9">
        <f t="shared" si="243"/>
        <v>0</v>
      </c>
      <c r="AG112" s="20"/>
      <c r="AH112" s="20"/>
      <c r="AI112" s="20"/>
      <c r="AJ112" s="20"/>
      <c r="AK112" s="20"/>
      <c r="AL112" s="20"/>
      <c r="AM112" s="20"/>
      <c r="AN112" s="20"/>
      <c r="AO112" s="21">
        <f t="shared" si="244"/>
        <v>0</v>
      </c>
      <c r="AP112" s="25">
        <v>0</v>
      </c>
      <c r="AQ112" s="20"/>
      <c r="AR112" s="20"/>
      <c r="AS112" s="20"/>
      <c r="AT112" s="20"/>
      <c r="AU112" s="21">
        <f t="shared" si="245"/>
        <v>0</v>
      </c>
      <c r="AV112" s="25"/>
      <c r="AW112" s="20"/>
      <c r="AX112" s="20"/>
      <c r="AY112" s="20"/>
      <c r="AZ112" s="20"/>
      <c r="BA112" s="21">
        <f t="shared" si="246"/>
        <v>0</v>
      </c>
      <c r="BB112" s="25"/>
      <c r="BC112" s="25"/>
      <c r="BD112" s="25"/>
      <c r="BE112" s="25"/>
      <c r="BF112" s="20"/>
      <c r="BG112" s="20"/>
      <c r="BH112" s="20"/>
      <c r="BI112" s="20"/>
      <c r="BJ112" s="21">
        <f t="shared" si="247"/>
        <v>0</v>
      </c>
      <c r="BK112" s="4">
        <f t="shared" si="248"/>
        <v>0</v>
      </c>
      <c r="BL112" s="4">
        <f t="shared" si="249"/>
        <v>0</v>
      </c>
      <c r="BM112" s="4">
        <f t="shared" si="250"/>
        <v>207903</v>
      </c>
      <c r="BN112" s="4">
        <f t="shared" si="251"/>
        <v>270000</v>
      </c>
      <c r="BO112" s="94">
        <f t="shared" si="252"/>
        <v>432500</v>
      </c>
      <c r="BP112" s="94">
        <f t="shared" si="253"/>
        <v>526885</v>
      </c>
      <c r="BQ112" s="94">
        <f t="shared" si="254"/>
        <v>584030</v>
      </c>
      <c r="BR112" s="94">
        <f t="shared" si="255"/>
        <v>737000</v>
      </c>
      <c r="BS112" s="9">
        <f t="shared" si="256"/>
        <v>2758318</v>
      </c>
    </row>
    <row r="113" spans="1:71">
      <c r="A113" s="186"/>
      <c r="B113" s="8">
        <v>27</v>
      </c>
      <c r="C113" s="1" t="s">
        <v>218</v>
      </c>
      <c r="D113" s="4" t="s">
        <v>193</v>
      </c>
      <c r="E113" s="4" t="s">
        <v>17</v>
      </c>
      <c r="F113" s="4"/>
      <c r="G113" s="4"/>
      <c r="H113" s="4"/>
      <c r="I113" s="4"/>
      <c r="J113" s="4"/>
      <c r="K113" s="4"/>
      <c r="L113" s="4"/>
      <c r="M113" s="4"/>
      <c r="N113" s="9">
        <f t="shared" si="241"/>
        <v>0</v>
      </c>
      <c r="O113" s="4"/>
      <c r="P113" s="4"/>
      <c r="Q113" s="4"/>
      <c r="R113" s="4"/>
      <c r="S113" s="4"/>
      <c r="T113" s="4"/>
      <c r="U113" s="4"/>
      <c r="V113" s="4"/>
      <c r="W113" s="9">
        <f t="shared" si="242"/>
        <v>0</v>
      </c>
      <c r="X113" s="20"/>
      <c r="Y113" s="20"/>
      <c r="Z113" s="20"/>
      <c r="AA113" s="20"/>
      <c r="AB113" s="20"/>
      <c r="AC113" s="20"/>
      <c r="AD113" s="20"/>
      <c r="AE113" s="20"/>
      <c r="AF113" s="9">
        <f t="shared" si="243"/>
        <v>0</v>
      </c>
      <c r="AG113" s="20"/>
      <c r="AH113" s="25">
        <v>340500</v>
      </c>
      <c r="AI113" s="25">
        <v>455900</v>
      </c>
      <c r="AJ113" s="25">
        <v>-230000</v>
      </c>
      <c r="AK113" s="20"/>
      <c r="AL113" s="20"/>
      <c r="AM113" s="20"/>
      <c r="AN113" s="20"/>
      <c r="AO113" s="21">
        <f t="shared" si="244"/>
        <v>566400</v>
      </c>
      <c r="AP113" s="25">
        <v>0</v>
      </c>
      <c r="AQ113" s="20"/>
      <c r="AR113" s="20"/>
      <c r="AS113" s="20"/>
      <c r="AT113" s="20"/>
      <c r="AU113" s="21">
        <f t="shared" si="245"/>
        <v>0</v>
      </c>
      <c r="AV113" s="25"/>
      <c r="AW113" s="20"/>
      <c r="AX113" s="20"/>
      <c r="AY113" s="20"/>
      <c r="AZ113" s="20"/>
      <c r="BA113" s="21">
        <f t="shared" si="246"/>
        <v>0</v>
      </c>
      <c r="BB113" s="25"/>
      <c r="BC113" s="25"/>
      <c r="BD113" s="25"/>
      <c r="BE113" s="25"/>
      <c r="BF113" s="20"/>
      <c r="BG113" s="20"/>
      <c r="BH113" s="20"/>
      <c r="BI113" s="20"/>
      <c r="BJ113" s="21">
        <f t="shared" si="247"/>
        <v>0</v>
      </c>
      <c r="BK113" s="4">
        <f t="shared" si="248"/>
        <v>0</v>
      </c>
      <c r="BL113" s="4">
        <f t="shared" si="249"/>
        <v>340500</v>
      </c>
      <c r="BM113" s="4">
        <f t="shared" si="250"/>
        <v>455900</v>
      </c>
      <c r="BN113" s="4">
        <f t="shared" si="251"/>
        <v>-230000</v>
      </c>
      <c r="BO113" s="94">
        <f t="shared" si="252"/>
        <v>0</v>
      </c>
      <c r="BP113" s="94">
        <f t="shared" si="253"/>
        <v>0</v>
      </c>
      <c r="BQ113" s="94">
        <f t="shared" si="254"/>
        <v>0</v>
      </c>
      <c r="BR113" s="94">
        <f t="shared" si="255"/>
        <v>0</v>
      </c>
      <c r="BS113" s="9">
        <f t="shared" si="256"/>
        <v>566400</v>
      </c>
    </row>
    <row r="114" spans="1:71">
      <c r="A114" s="186"/>
      <c r="B114" s="8">
        <v>28</v>
      </c>
      <c r="C114" s="1" t="s">
        <v>219</v>
      </c>
      <c r="D114" s="4" t="s">
        <v>185</v>
      </c>
      <c r="E114" s="4" t="s">
        <v>17</v>
      </c>
      <c r="F114" s="4"/>
      <c r="G114" s="4">
        <v>155000</v>
      </c>
      <c r="H114" s="4">
        <v>108928</v>
      </c>
      <c r="I114" s="4"/>
      <c r="J114" s="4"/>
      <c r="K114" s="4"/>
      <c r="L114" s="4">
        <v>412500</v>
      </c>
      <c r="M114" s="4"/>
      <c r="N114" s="9">
        <f t="shared" si="241"/>
        <v>676428</v>
      </c>
      <c r="O114" s="76"/>
      <c r="P114" s="76">
        <v>450000</v>
      </c>
      <c r="Q114" s="76">
        <v>720000</v>
      </c>
      <c r="R114" s="76"/>
      <c r="S114" s="4"/>
      <c r="T114" s="4"/>
      <c r="U114" s="4">
        <v>200000</v>
      </c>
      <c r="V114" s="4"/>
      <c r="W114" s="9">
        <f t="shared" si="242"/>
        <v>1370000</v>
      </c>
      <c r="X114" s="20"/>
      <c r="Y114" s="20"/>
      <c r="Z114" s="20"/>
      <c r="AA114" s="20"/>
      <c r="AB114" s="20"/>
      <c r="AC114" s="20"/>
      <c r="AD114" s="20"/>
      <c r="AE114" s="20"/>
      <c r="AF114" s="9">
        <f t="shared" si="243"/>
        <v>0</v>
      </c>
      <c r="AG114" s="20"/>
      <c r="AH114" s="25">
        <v>519950</v>
      </c>
      <c r="AI114" s="25">
        <v>349200</v>
      </c>
      <c r="AJ114" s="25"/>
      <c r="AK114" s="20"/>
      <c r="AL114" s="20"/>
      <c r="AM114" s="20">
        <v>116400</v>
      </c>
      <c r="AN114" s="20"/>
      <c r="AO114" s="21">
        <f t="shared" si="244"/>
        <v>985550</v>
      </c>
      <c r="AP114" s="25">
        <v>0</v>
      </c>
      <c r="AQ114" s="20"/>
      <c r="AR114" s="20"/>
      <c r="AS114" s="20"/>
      <c r="AT114" s="20"/>
      <c r="AU114" s="21">
        <f t="shared" si="245"/>
        <v>0</v>
      </c>
      <c r="AV114" s="25"/>
      <c r="AW114" s="20"/>
      <c r="AX114" s="20"/>
      <c r="AY114" s="20"/>
      <c r="AZ114" s="20"/>
      <c r="BA114" s="21">
        <f t="shared" si="246"/>
        <v>0</v>
      </c>
      <c r="BB114" s="25"/>
      <c r="BC114" s="25"/>
      <c r="BD114" s="25"/>
      <c r="BE114" s="25"/>
      <c r="BF114" s="20"/>
      <c r="BG114" s="20"/>
      <c r="BH114" s="20"/>
      <c r="BI114" s="20"/>
      <c r="BJ114" s="21">
        <f t="shared" si="247"/>
        <v>0</v>
      </c>
      <c r="BK114" s="4">
        <f t="shared" si="248"/>
        <v>0</v>
      </c>
      <c r="BL114" s="4">
        <f t="shared" si="249"/>
        <v>1124950</v>
      </c>
      <c r="BM114" s="4">
        <f t="shared" si="250"/>
        <v>1178128</v>
      </c>
      <c r="BN114" s="4">
        <f t="shared" si="251"/>
        <v>0</v>
      </c>
      <c r="BO114" s="94">
        <f t="shared" si="252"/>
        <v>0</v>
      </c>
      <c r="BP114" s="94">
        <f t="shared" si="253"/>
        <v>0</v>
      </c>
      <c r="BQ114" s="94">
        <f t="shared" si="254"/>
        <v>728900</v>
      </c>
      <c r="BR114" s="94">
        <f t="shared" si="255"/>
        <v>0</v>
      </c>
      <c r="BS114" s="9">
        <f t="shared" si="256"/>
        <v>3031978</v>
      </c>
    </row>
    <row r="115" spans="1:71">
      <c r="A115" s="186"/>
      <c r="B115" s="8">
        <v>29</v>
      </c>
      <c r="C115" s="1" t="s">
        <v>428</v>
      </c>
      <c r="D115" s="4" t="s">
        <v>187</v>
      </c>
      <c r="E115" s="4" t="s">
        <v>17</v>
      </c>
      <c r="F115" s="4"/>
      <c r="G115" s="4"/>
      <c r="H115" s="4">
        <v>155000</v>
      </c>
      <c r="I115" s="4">
        <f>60000+120000</f>
        <v>180000</v>
      </c>
      <c r="J115" s="4"/>
      <c r="K115" s="4"/>
      <c r="L115" s="4"/>
      <c r="M115" s="4"/>
      <c r="N115" s="9">
        <f t="shared" si="241"/>
        <v>335000</v>
      </c>
      <c r="O115" s="4"/>
      <c r="P115" s="4"/>
      <c r="Q115" s="4"/>
      <c r="R115" s="4"/>
      <c r="S115" s="4"/>
      <c r="T115" s="4"/>
      <c r="U115" s="4"/>
      <c r="V115" s="4"/>
      <c r="W115" s="9">
        <f t="shared" si="242"/>
        <v>0</v>
      </c>
      <c r="X115" s="20"/>
      <c r="Y115" s="20"/>
      <c r="Z115" s="20"/>
      <c r="AA115" s="20"/>
      <c r="AB115" s="20"/>
      <c r="AC115" s="20"/>
      <c r="AD115" s="20"/>
      <c r="AE115" s="20"/>
      <c r="AF115" s="9">
        <f t="shared" si="243"/>
        <v>0</v>
      </c>
      <c r="AG115" s="20"/>
      <c r="AH115" s="20">
        <v>195000</v>
      </c>
      <c r="AI115" s="25">
        <v>446200</v>
      </c>
      <c r="AJ115" s="25">
        <v>240000</v>
      </c>
      <c r="AK115" s="20"/>
      <c r="AL115" s="20"/>
      <c r="AM115" s="20"/>
      <c r="AN115" s="20"/>
      <c r="AO115" s="21">
        <f t="shared" si="244"/>
        <v>881200</v>
      </c>
      <c r="AP115" s="25">
        <v>945000</v>
      </c>
      <c r="AQ115" s="20">
        <f>630000+315000+525000</f>
        <v>1470000</v>
      </c>
      <c r="AR115" s="20">
        <f>1359000+282000+141000</f>
        <v>1782000</v>
      </c>
      <c r="AS115" s="20">
        <v>1269000</v>
      </c>
      <c r="AT115" s="20"/>
      <c r="AU115" s="21">
        <f t="shared" si="245"/>
        <v>5466000</v>
      </c>
      <c r="AV115" s="25"/>
      <c r="AW115" s="20"/>
      <c r="AX115" s="20"/>
      <c r="AY115" s="20"/>
      <c r="AZ115" s="20"/>
      <c r="BA115" s="21">
        <f t="shared" si="246"/>
        <v>0</v>
      </c>
      <c r="BB115" s="25"/>
      <c r="BC115" s="25"/>
      <c r="BD115" s="25"/>
      <c r="BE115" s="25"/>
      <c r="BF115" s="20"/>
      <c r="BG115" s="20"/>
      <c r="BH115" s="20"/>
      <c r="BI115" s="20"/>
      <c r="BJ115" s="21">
        <f t="shared" si="247"/>
        <v>0</v>
      </c>
      <c r="BK115" s="4">
        <f t="shared" si="248"/>
        <v>0</v>
      </c>
      <c r="BL115" s="4">
        <f t="shared" si="249"/>
        <v>195000</v>
      </c>
      <c r="BM115" s="4">
        <f t="shared" si="250"/>
        <v>601200</v>
      </c>
      <c r="BN115" s="4">
        <f t="shared" si="251"/>
        <v>1365000</v>
      </c>
      <c r="BO115" s="94">
        <f t="shared" si="252"/>
        <v>1470000</v>
      </c>
      <c r="BP115" s="94">
        <f t="shared" si="253"/>
        <v>1782000</v>
      </c>
      <c r="BQ115" s="94">
        <f t="shared" si="254"/>
        <v>1269000</v>
      </c>
      <c r="BR115" s="94">
        <f t="shared" si="255"/>
        <v>0</v>
      </c>
      <c r="BS115" s="9">
        <f t="shared" si="256"/>
        <v>6682200</v>
      </c>
    </row>
    <row r="116" spans="1:71">
      <c r="A116" s="186"/>
      <c r="B116" s="8">
        <v>30</v>
      </c>
      <c r="C116" s="1" t="s">
        <v>221</v>
      </c>
      <c r="D116" s="4" t="s">
        <v>222</v>
      </c>
      <c r="E116" s="4" t="s">
        <v>17</v>
      </c>
      <c r="F116" s="4"/>
      <c r="G116" s="4"/>
      <c r="H116" s="4">
        <v>155000</v>
      </c>
      <c r="I116" s="4">
        <f>40000+96000</f>
        <v>136000</v>
      </c>
      <c r="J116" s="4"/>
      <c r="K116" s="4"/>
      <c r="L116" s="4"/>
      <c r="M116" s="4"/>
      <c r="N116" s="9">
        <f t="shared" si="241"/>
        <v>291000</v>
      </c>
      <c r="O116" s="4"/>
      <c r="P116" s="4"/>
      <c r="Q116" s="4"/>
      <c r="R116" s="4"/>
      <c r="S116" s="4"/>
      <c r="T116" s="4"/>
      <c r="U116" s="4"/>
      <c r="V116" s="4"/>
      <c r="W116" s="9">
        <f t="shared" si="242"/>
        <v>0</v>
      </c>
      <c r="X116" s="20"/>
      <c r="Y116" s="20"/>
      <c r="Z116" s="20"/>
      <c r="AA116" s="20"/>
      <c r="AB116" s="20"/>
      <c r="AC116" s="20"/>
      <c r="AD116" s="20"/>
      <c r="AE116" s="20"/>
      <c r="AF116" s="9">
        <f t="shared" si="243"/>
        <v>0</v>
      </c>
      <c r="AG116" s="20"/>
      <c r="AH116" s="20"/>
      <c r="AI116" s="25">
        <v>195000</v>
      </c>
      <c r="AJ116" s="25">
        <v>182000</v>
      </c>
      <c r="AK116" s="20"/>
      <c r="AL116" s="20"/>
      <c r="AM116" s="20"/>
      <c r="AN116" s="20"/>
      <c r="AO116" s="21">
        <f t="shared" si="244"/>
        <v>377000</v>
      </c>
      <c r="AP116" s="25">
        <v>945000</v>
      </c>
      <c r="AQ116" s="20">
        <f>315000+234500+280000+283500+196000</f>
        <v>1309000</v>
      </c>
      <c r="AR116" s="20">
        <f>1294400+312000+156000</f>
        <v>1762400</v>
      </c>
      <c r="AS116" s="20">
        <v>1862000</v>
      </c>
      <c r="AT116" s="20">
        <v>1560000</v>
      </c>
      <c r="AU116" s="21">
        <f t="shared" si="245"/>
        <v>7438400</v>
      </c>
      <c r="AV116" s="25"/>
      <c r="AW116" s="20"/>
      <c r="AX116" s="20"/>
      <c r="AY116" s="20"/>
      <c r="AZ116" s="20"/>
      <c r="BA116" s="21">
        <f t="shared" si="246"/>
        <v>0</v>
      </c>
      <c r="BB116" s="25"/>
      <c r="BC116" s="25"/>
      <c r="BD116" s="25"/>
      <c r="BE116" s="25"/>
      <c r="BF116" s="20"/>
      <c r="BG116" s="20"/>
      <c r="BH116" s="20"/>
      <c r="BI116" s="20"/>
      <c r="BJ116" s="21">
        <f t="shared" si="247"/>
        <v>0</v>
      </c>
      <c r="BK116" s="4">
        <f t="shared" si="248"/>
        <v>0</v>
      </c>
      <c r="BL116" s="4">
        <f t="shared" si="249"/>
        <v>0</v>
      </c>
      <c r="BM116" s="4">
        <f t="shared" si="250"/>
        <v>350000</v>
      </c>
      <c r="BN116" s="4">
        <f t="shared" si="251"/>
        <v>1263000</v>
      </c>
      <c r="BO116" s="94">
        <f t="shared" si="252"/>
        <v>1309000</v>
      </c>
      <c r="BP116" s="94">
        <f t="shared" si="253"/>
        <v>1762400</v>
      </c>
      <c r="BQ116" s="94">
        <f t="shared" si="254"/>
        <v>1862000</v>
      </c>
      <c r="BR116" s="94">
        <f t="shared" si="255"/>
        <v>1560000</v>
      </c>
      <c r="BS116" s="9">
        <f t="shared" si="256"/>
        <v>8106400</v>
      </c>
    </row>
    <row r="117" spans="1:71" ht="31.5">
      <c r="A117" s="187"/>
      <c r="B117" s="8">
        <v>31</v>
      </c>
      <c r="C117" s="1" t="s">
        <v>223</v>
      </c>
      <c r="D117" s="4" t="s">
        <v>224</v>
      </c>
      <c r="E117" s="4" t="s">
        <v>17</v>
      </c>
      <c r="F117" s="4"/>
      <c r="G117" s="4"/>
      <c r="H117" s="4">
        <v>155000</v>
      </c>
      <c r="I117" s="4"/>
      <c r="J117" s="4"/>
      <c r="K117" s="4"/>
      <c r="L117" s="4"/>
      <c r="M117" s="4"/>
      <c r="N117" s="9">
        <f t="shared" si="241"/>
        <v>155000</v>
      </c>
      <c r="O117" s="4"/>
      <c r="P117" s="4"/>
      <c r="Q117" s="4"/>
      <c r="R117" s="4"/>
      <c r="S117" s="4"/>
      <c r="T117" s="4"/>
      <c r="U117" s="4"/>
      <c r="V117" s="4"/>
      <c r="W117" s="9">
        <f t="shared" si="242"/>
        <v>0</v>
      </c>
      <c r="X117" s="20"/>
      <c r="Y117" s="20"/>
      <c r="Z117" s="4">
        <v>290000</v>
      </c>
      <c r="AA117" s="20"/>
      <c r="AB117" s="20"/>
      <c r="AC117" s="20"/>
      <c r="AD117" s="20"/>
      <c r="AE117" s="20"/>
      <c r="AF117" s="9">
        <f t="shared" si="243"/>
        <v>290000</v>
      </c>
      <c r="AG117" s="20"/>
      <c r="AH117" s="20"/>
      <c r="AI117" s="25">
        <v>195000</v>
      </c>
      <c r="AJ117" s="25"/>
      <c r="AK117" s="20"/>
      <c r="AL117" s="20"/>
      <c r="AM117" s="20"/>
      <c r="AN117" s="20"/>
      <c r="AO117" s="21">
        <f t="shared" si="244"/>
        <v>195000</v>
      </c>
      <c r="AP117" s="25">
        <v>0</v>
      </c>
      <c r="AQ117" s="20"/>
      <c r="AR117" s="20"/>
      <c r="AS117" s="20"/>
      <c r="AT117" s="20"/>
      <c r="AU117" s="21">
        <f t="shared" si="245"/>
        <v>0</v>
      </c>
      <c r="AV117" s="25"/>
      <c r="AW117" s="20"/>
      <c r="AX117" s="20"/>
      <c r="AY117" s="20"/>
      <c r="AZ117" s="20"/>
      <c r="BA117" s="21">
        <f t="shared" si="246"/>
        <v>0</v>
      </c>
      <c r="BB117" s="25"/>
      <c r="BC117" s="25"/>
      <c r="BD117" s="25"/>
      <c r="BE117" s="25"/>
      <c r="BF117" s="20"/>
      <c r="BG117" s="20"/>
      <c r="BH117" s="20"/>
      <c r="BI117" s="20"/>
      <c r="BJ117" s="21">
        <f t="shared" si="247"/>
        <v>0</v>
      </c>
      <c r="BK117" s="4">
        <f t="shared" si="248"/>
        <v>0</v>
      </c>
      <c r="BL117" s="4">
        <f t="shared" si="249"/>
        <v>0</v>
      </c>
      <c r="BM117" s="4">
        <f t="shared" si="250"/>
        <v>640000</v>
      </c>
      <c r="BN117" s="4">
        <f t="shared" si="251"/>
        <v>0</v>
      </c>
      <c r="BO117" s="94">
        <f t="shared" si="252"/>
        <v>0</v>
      </c>
      <c r="BP117" s="94">
        <f t="shared" si="253"/>
        <v>0</v>
      </c>
      <c r="BQ117" s="94">
        <f t="shared" si="254"/>
        <v>0</v>
      </c>
      <c r="BR117" s="94">
        <f t="shared" si="255"/>
        <v>0</v>
      </c>
      <c r="BS117" s="9">
        <f t="shared" si="256"/>
        <v>640000</v>
      </c>
    </row>
    <row r="118" spans="1:71" s="38" customFormat="1">
      <c r="A118" s="34"/>
      <c r="B118" s="34"/>
      <c r="C118" s="35" t="s">
        <v>225</v>
      </c>
      <c r="D118" s="37"/>
      <c r="E118" s="37"/>
      <c r="F118" s="37">
        <f>SUM(F87:F117)</f>
        <v>775000</v>
      </c>
      <c r="G118" s="37">
        <f t="shared" ref="G118:BS118" si="257">SUM(G87:G117)</f>
        <v>7149160</v>
      </c>
      <c r="H118" s="37">
        <f t="shared" si="257"/>
        <v>8450814</v>
      </c>
      <c r="I118" s="37">
        <f t="shared" si="257"/>
        <v>2787000</v>
      </c>
      <c r="J118" s="37">
        <f t="shared" si="257"/>
        <v>950500</v>
      </c>
      <c r="K118" s="37">
        <f t="shared" si="257"/>
        <v>1577885</v>
      </c>
      <c r="L118" s="37">
        <f t="shared" si="257"/>
        <v>1974530</v>
      </c>
      <c r="M118" s="37">
        <f t="shared" ref="M118" si="258">SUM(M87:M117)</f>
        <v>1421500</v>
      </c>
      <c r="N118" s="37">
        <f t="shared" si="257"/>
        <v>25086389</v>
      </c>
      <c r="O118" s="37">
        <f t="shared" si="257"/>
        <v>290000</v>
      </c>
      <c r="P118" s="37">
        <f t="shared" si="257"/>
        <v>12120000</v>
      </c>
      <c r="Q118" s="37">
        <f t="shared" si="257"/>
        <v>14070000</v>
      </c>
      <c r="R118" s="37">
        <f t="shared" si="257"/>
        <v>5605000</v>
      </c>
      <c r="S118" s="37">
        <f t="shared" si="257"/>
        <v>4040000</v>
      </c>
      <c r="T118" s="37">
        <f t="shared" si="257"/>
        <v>8600000</v>
      </c>
      <c r="U118" s="37">
        <f t="shared" si="257"/>
        <v>9760000</v>
      </c>
      <c r="V118" s="37">
        <f t="shared" ref="V118" si="259">SUM(V87:V117)</f>
        <v>8490000</v>
      </c>
      <c r="W118" s="37">
        <f t="shared" si="257"/>
        <v>62975000</v>
      </c>
      <c r="X118" s="37">
        <f t="shared" si="257"/>
        <v>0</v>
      </c>
      <c r="Y118" s="37">
        <f t="shared" si="257"/>
        <v>3302000</v>
      </c>
      <c r="Z118" s="37">
        <f t="shared" si="257"/>
        <v>2864000</v>
      </c>
      <c r="AA118" s="37">
        <f t="shared" si="257"/>
        <v>3261000</v>
      </c>
      <c r="AB118" s="37">
        <f t="shared" si="257"/>
        <v>975000</v>
      </c>
      <c r="AC118" s="37">
        <f t="shared" si="257"/>
        <v>1335000</v>
      </c>
      <c r="AD118" s="37">
        <f t="shared" si="257"/>
        <v>1177000</v>
      </c>
      <c r="AE118" s="37">
        <f t="shared" ref="AE118" si="260">SUM(AE87:AE117)</f>
        <v>1449000</v>
      </c>
      <c r="AF118" s="37">
        <f t="shared" si="257"/>
        <v>14363000</v>
      </c>
      <c r="AG118" s="37">
        <f t="shared" si="257"/>
        <v>585000</v>
      </c>
      <c r="AH118" s="37">
        <f t="shared" si="257"/>
        <v>14900906</v>
      </c>
      <c r="AI118" s="37">
        <f t="shared" si="257"/>
        <v>12709450</v>
      </c>
      <c r="AJ118" s="37">
        <f t="shared" si="257"/>
        <v>6797000</v>
      </c>
      <c r="AK118" s="37">
        <f t="shared" si="257"/>
        <v>3969000</v>
      </c>
      <c r="AL118" s="37">
        <f t="shared" si="257"/>
        <v>5052550</v>
      </c>
      <c r="AM118" s="37">
        <f t="shared" si="257"/>
        <v>5114900</v>
      </c>
      <c r="AN118" s="37">
        <f t="shared" ref="AN118" si="261">SUM(AN87:AN117)</f>
        <v>6979150</v>
      </c>
      <c r="AO118" s="37">
        <f t="shared" si="257"/>
        <v>56107956</v>
      </c>
      <c r="AP118" s="37">
        <f t="shared" si="257"/>
        <v>7591000</v>
      </c>
      <c r="AQ118" s="37">
        <f t="shared" si="257"/>
        <v>9078500</v>
      </c>
      <c r="AR118" s="37">
        <f t="shared" si="257"/>
        <v>11490455</v>
      </c>
      <c r="AS118" s="37">
        <f t="shared" si="257"/>
        <v>11118120</v>
      </c>
      <c r="AT118" s="37">
        <f t="shared" ref="AT118" si="262">SUM(AT87:AT117)</f>
        <v>10360000</v>
      </c>
      <c r="AU118" s="37">
        <f t="shared" si="257"/>
        <v>49638075</v>
      </c>
      <c r="AV118" s="37">
        <f t="shared" si="257"/>
        <v>2700000</v>
      </c>
      <c r="AW118" s="37">
        <f t="shared" si="257"/>
        <v>4200000</v>
      </c>
      <c r="AX118" s="37">
        <f t="shared" si="257"/>
        <v>8077500</v>
      </c>
      <c r="AY118" s="37">
        <f t="shared" si="257"/>
        <v>8304500</v>
      </c>
      <c r="AZ118" s="37">
        <f t="shared" ref="AZ118" si="263">SUM(AZ87:AZ117)</f>
        <v>8993000</v>
      </c>
      <c r="BA118" s="37">
        <f t="shared" si="257"/>
        <v>32275000</v>
      </c>
      <c r="BB118" s="37">
        <f t="shared" si="257"/>
        <v>0</v>
      </c>
      <c r="BC118" s="37">
        <f t="shared" si="257"/>
        <v>848400</v>
      </c>
      <c r="BD118" s="37">
        <f t="shared" si="257"/>
        <v>2010800</v>
      </c>
      <c r="BE118" s="37">
        <f t="shared" si="257"/>
        <v>208000</v>
      </c>
      <c r="BF118" s="37">
        <f t="shared" si="257"/>
        <v>0</v>
      </c>
      <c r="BG118" s="37">
        <f t="shared" si="257"/>
        <v>0</v>
      </c>
      <c r="BH118" s="37">
        <f t="shared" si="257"/>
        <v>0</v>
      </c>
      <c r="BI118" s="37">
        <f t="shared" ref="BI118" si="264">SUM(BI87:BI117)</f>
        <v>0</v>
      </c>
      <c r="BJ118" s="37">
        <f t="shared" si="257"/>
        <v>3067200</v>
      </c>
      <c r="BK118" s="37">
        <f t="shared" si="257"/>
        <v>1650000</v>
      </c>
      <c r="BL118" s="37">
        <f t="shared" si="257"/>
        <v>38320466</v>
      </c>
      <c r="BM118" s="37">
        <f t="shared" si="257"/>
        <v>40105064</v>
      </c>
      <c r="BN118" s="37">
        <f t="shared" si="257"/>
        <v>28949000</v>
      </c>
      <c r="BO118" s="37">
        <f t="shared" si="257"/>
        <v>23213000</v>
      </c>
      <c r="BP118" s="144">
        <f>SUM(BP87:BP117)</f>
        <v>36133390</v>
      </c>
      <c r="BQ118" s="37">
        <f t="shared" ref="BQ118:BR118" si="265">SUM(BQ87:BQ117)</f>
        <v>37449050</v>
      </c>
      <c r="BR118" s="37">
        <f t="shared" si="265"/>
        <v>37692650</v>
      </c>
      <c r="BS118" s="37">
        <f t="shared" si="257"/>
        <v>243512620</v>
      </c>
    </row>
    <row r="119" spans="1:71" ht="31.5">
      <c r="A119" s="185" t="s">
        <v>226</v>
      </c>
      <c r="B119" s="8">
        <v>1</v>
      </c>
      <c r="C119" s="1" t="s">
        <v>227</v>
      </c>
      <c r="D119" s="5" t="s">
        <v>228</v>
      </c>
      <c r="E119" s="4" t="s">
        <v>226</v>
      </c>
      <c r="F119" s="4"/>
      <c r="G119" s="4"/>
      <c r="H119" s="5"/>
      <c r="I119" s="4"/>
      <c r="J119" s="4"/>
      <c r="K119" s="4"/>
      <c r="L119" s="4"/>
      <c r="M119" s="4"/>
      <c r="N119" s="9">
        <f t="shared" ref="N119:N122" si="266">SUM(F119:M119)</f>
        <v>0</v>
      </c>
      <c r="O119" s="4"/>
      <c r="P119" s="4"/>
      <c r="Q119" s="4"/>
      <c r="R119" s="4"/>
      <c r="S119" s="4"/>
      <c r="T119" s="4"/>
      <c r="U119" s="4"/>
      <c r="V119" s="4"/>
      <c r="W119" s="9">
        <f t="shared" ref="W119:W122" si="267">SUM(O119:V119)</f>
        <v>0</v>
      </c>
      <c r="X119" s="20">
        <v>290000</v>
      </c>
      <c r="Y119" s="20"/>
      <c r="Z119" s="4">
        <v>273000</v>
      </c>
      <c r="AA119" s="22">
        <v>252000</v>
      </c>
      <c r="AB119" s="22"/>
      <c r="AC119" s="22"/>
      <c r="AD119" s="22"/>
      <c r="AE119" s="22"/>
      <c r="AF119" s="9">
        <f t="shared" ref="AF119:AF122" si="268">SUM(X119:AE119)</f>
        <v>815000</v>
      </c>
      <c r="AG119" s="20"/>
      <c r="AH119" s="20"/>
      <c r="AI119" s="25"/>
      <c r="AJ119" s="25"/>
      <c r="AK119" s="20"/>
      <c r="AL119" s="20"/>
      <c r="AM119" s="20"/>
      <c r="AN119" s="20"/>
      <c r="AO119" s="21">
        <f t="shared" ref="AO119:AO122" si="269">SUM(AG119:AN119)</f>
        <v>0</v>
      </c>
      <c r="AP119" s="25"/>
      <c r="AQ119" s="20"/>
      <c r="AR119" s="20"/>
      <c r="AS119" s="20"/>
      <c r="AT119" s="20"/>
      <c r="AU119" s="21">
        <f t="shared" ref="AU119:AU122" si="270">SUM(AP119:AT119)</f>
        <v>0</v>
      </c>
      <c r="AV119" s="25"/>
      <c r="AW119" s="20"/>
      <c r="AX119" s="20"/>
      <c r="AY119" s="20"/>
      <c r="AZ119" s="20"/>
      <c r="BA119" s="21">
        <f t="shared" ref="BA119:BA122" si="271">SUM(AV119:AZ119)</f>
        <v>0</v>
      </c>
      <c r="BB119" s="25"/>
      <c r="BC119" s="25"/>
      <c r="BD119" s="25"/>
      <c r="BE119" s="25"/>
      <c r="BF119" s="20"/>
      <c r="BG119" s="20"/>
      <c r="BH119" s="20"/>
      <c r="BI119" s="20"/>
      <c r="BJ119" s="21">
        <f t="shared" ref="BJ119:BJ122" si="272">SUM(BB119:BI119)</f>
        <v>0</v>
      </c>
      <c r="BK119" s="4">
        <f t="shared" ref="BK119:BM122" si="273">F119+O119+X119+AG119+BB119</f>
        <v>290000</v>
      </c>
      <c r="BL119" s="4">
        <f t="shared" si="273"/>
        <v>0</v>
      </c>
      <c r="BM119" s="4">
        <f t="shared" si="273"/>
        <v>273000</v>
      </c>
      <c r="BN119" s="4">
        <f t="shared" ref="BN119:BQ122" si="274">I119+R119+AA119+AJ119+AP119+AV119+BE119</f>
        <v>252000</v>
      </c>
      <c r="BO119" s="94">
        <f t="shared" si="274"/>
        <v>0</v>
      </c>
      <c r="BP119" s="94">
        <f t="shared" si="274"/>
        <v>0</v>
      </c>
      <c r="BQ119" s="94">
        <f t="shared" si="274"/>
        <v>0</v>
      </c>
      <c r="BR119" s="94">
        <f t="shared" ref="BR119:BR122" si="275">M119+V119+AE119+AN119+AT119+AZ119+BI119</f>
        <v>0</v>
      </c>
      <c r="BS119" s="9">
        <f t="shared" ref="BS119:BS122" si="276">SUM(BK119:BR119)</f>
        <v>815000</v>
      </c>
    </row>
    <row r="120" spans="1:71" ht="47.25">
      <c r="A120" s="186"/>
      <c r="B120" s="8">
        <v>2</v>
      </c>
      <c r="C120" s="1" t="s">
        <v>229</v>
      </c>
      <c r="D120" s="4" t="s">
        <v>230</v>
      </c>
      <c r="E120" s="4" t="s">
        <v>226</v>
      </c>
      <c r="F120" s="4"/>
      <c r="G120" s="4"/>
      <c r="H120" s="5"/>
      <c r="I120" s="4"/>
      <c r="J120" s="4"/>
      <c r="K120" s="4"/>
      <c r="L120" s="4"/>
      <c r="M120" s="4"/>
      <c r="N120" s="9">
        <f t="shared" si="266"/>
        <v>0</v>
      </c>
      <c r="O120" s="76"/>
      <c r="P120" s="76">
        <v>310000</v>
      </c>
      <c r="Q120" s="76">
        <v>480000</v>
      </c>
      <c r="R120" s="76">
        <v>330000</v>
      </c>
      <c r="S120" s="4">
        <f>340000+60000+60000</f>
        <v>460000</v>
      </c>
      <c r="T120" s="4">
        <v>1450000</v>
      </c>
      <c r="U120" s="4">
        <f>200000+300000+200000+100000+330000</f>
        <v>1130000</v>
      </c>
      <c r="V120" s="4">
        <f>180000+90000+90000+270000</f>
        <v>630000</v>
      </c>
      <c r="W120" s="9">
        <f t="shared" si="267"/>
        <v>4790000</v>
      </c>
      <c r="X120" s="20"/>
      <c r="Y120" s="20"/>
      <c r="Z120" s="4"/>
      <c r="AA120" s="20"/>
      <c r="AB120" s="20"/>
      <c r="AC120" s="20"/>
      <c r="AD120" s="20"/>
      <c r="AE120" s="20"/>
      <c r="AF120" s="9">
        <f t="shared" si="268"/>
        <v>0</v>
      </c>
      <c r="AG120" s="20"/>
      <c r="AH120" s="20"/>
      <c r="AI120" s="25"/>
      <c r="AJ120" s="25"/>
      <c r="AK120" s="20"/>
      <c r="AL120" s="20"/>
      <c r="AM120" s="20"/>
      <c r="AN120" s="20"/>
      <c r="AO120" s="21">
        <f t="shared" si="269"/>
        <v>0</v>
      </c>
      <c r="AP120" s="25"/>
      <c r="AQ120" s="20"/>
      <c r="AR120" s="20"/>
      <c r="AS120" s="20"/>
      <c r="AT120" s="20"/>
      <c r="AU120" s="21">
        <f t="shared" si="270"/>
        <v>0</v>
      </c>
      <c r="AV120" s="25"/>
      <c r="AW120" s="20"/>
      <c r="AX120" s="20"/>
      <c r="AY120" s="20"/>
      <c r="AZ120" s="20"/>
      <c r="BA120" s="21">
        <f t="shared" si="271"/>
        <v>0</v>
      </c>
      <c r="BB120" s="25"/>
      <c r="BC120" s="25"/>
      <c r="BD120" s="25"/>
      <c r="BE120" s="25"/>
      <c r="BF120" s="20"/>
      <c r="BG120" s="20"/>
      <c r="BH120" s="20"/>
      <c r="BI120" s="20"/>
      <c r="BJ120" s="21">
        <f t="shared" si="272"/>
        <v>0</v>
      </c>
      <c r="BK120" s="4">
        <f t="shared" si="273"/>
        <v>0</v>
      </c>
      <c r="BL120" s="4">
        <f t="shared" si="273"/>
        <v>310000</v>
      </c>
      <c r="BM120" s="4">
        <f t="shared" si="273"/>
        <v>480000</v>
      </c>
      <c r="BN120" s="4">
        <f t="shared" si="274"/>
        <v>330000</v>
      </c>
      <c r="BO120" s="94">
        <f t="shared" si="274"/>
        <v>460000</v>
      </c>
      <c r="BP120" s="94">
        <f t="shared" si="274"/>
        <v>1450000</v>
      </c>
      <c r="BQ120" s="94">
        <f t="shared" si="274"/>
        <v>1130000</v>
      </c>
      <c r="BR120" s="94">
        <f t="shared" si="275"/>
        <v>630000</v>
      </c>
      <c r="BS120" s="9">
        <f t="shared" si="276"/>
        <v>4790000</v>
      </c>
    </row>
    <row r="121" spans="1:71" ht="31.5">
      <c r="A121" s="186"/>
      <c r="B121" s="8">
        <v>3</v>
      </c>
      <c r="C121" s="1" t="s">
        <v>231</v>
      </c>
      <c r="D121" s="5" t="s">
        <v>414</v>
      </c>
      <c r="E121" s="4" t="s">
        <v>226</v>
      </c>
      <c r="F121" s="4"/>
      <c r="G121" s="4"/>
      <c r="H121" s="5"/>
      <c r="I121" s="4"/>
      <c r="J121" s="4"/>
      <c r="K121" s="4"/>
      <c r="L121" s="4"/>
      <c r="M121" s="4"/>
      <c r="N121" s="9">
        <f t="shared" si="266"/>
        <v>0</v>
      </c>
      <c r="O121" s="4"/>
      <c r="P121" s="4"/>
      <c r="Q121" s="4"/>
      <c r="R121" s="4"/>
      <c r="S121" s="4"/>
      <c r="T121" s="4"/>
      <c r="U121" s="4"/>
      <c r="V121" s="4"/>
      <c r="W121" s="9">
        <f t="shared" si="267"/>
        <v>0</v>
      </c>
      <c r="X121" s="20"/>
      <c r="Y121" s="20"/>
      <c r="Z121" s="4"/>
      <c r="AA121" s="20"/>
      <c r="AB121" s="20"/>
      <c r="AC121" s="20"/>
      <c r="AD121" s="20"/>
      <c r="AE121" s="20"/>
      <c r="AF121" s="9">
        <f t="shared" si="268"/>
        <v>0</v>
      </c>
      <c r="AG121" s="20"/>
      <c r="AH121" s="25">
        <v>330800</v>
      </c>
      <c r="AI121" s="25">
        <f>106700+198000</f>
        <v>304700</v>
      </c>
      <c r="AJ121" s="25">
        <v>446500</v>
      </c>
      <c r="AK121" s="20">
        <f>91000+234500+262500</f>
        <v>588000</v>
      </c>
      <c r="AL121" s="20">
        <v>341250</v>
      </c>
      <c r="AM121" s="20">
        <v>788100</v>
      </c>
      <c r="AN121" s="20">
        <v>727500</v>
      </c>
      <c r="AO121" s="21">
        <f t="shared" si="269"/>
        <v>3526850</v>
      </c>
      <c r="AP121" s="25"/>
      <c r="AQ121" s="20"/>
      <c r="AR121" s="20"/>
      <c r="AS121" s="20"/>
      <c r="AT121" s="20"/>
      <c r="AU121" s="21">
        <f t="shared" si="270"/>
        <v>0</v>
      </c>
      <c r="AV121" s="25"/>
      <c r="AW121" s="20"/>
      <c r="AX121" s="20"/>
      <c r="AY121" s="20"/>
      <c r="AZ121" s="20"/>
      <c r="BA121" s="21">
        <f t="shared" si="271"/>
        <v>0</v>
      </c>
      <c r="BB121" s="25"/>
      <c r="BC121" s="25"/>
      <c r="BD121" s="25"/>
      <c r="BE121" s="25"/>
      <c r="BF121" s="20"/>
      <c r="BG121" s="20"/>
      <c r="BH121" s="20"/>
      <c r="BI121" s="20"/>
      <c r="BJ121" s="21">
        <f t="shared" si="272"/>
        <v>0</v>
      </c>
      <c r="BK121" s="4">
        <f t="shared" si="273"/>
        <v>0</v>
      </c>
      <c r="BL121" s="4">
        <f t="shared" si="273"/>
        <v>330800</v>
      </c>
      <c r="BM121" s="4">
        <f t="shared" si="273"/>
        <v>304700</v>
      </c>
      <c r="BN121" s="4">
        <f t="shared" si="274"/>
        <v>446500</v>
      </c>
      <c r="BO121" s="94">
        <f t="shared" si="274"/>
        <v>588000</v>
      </c>
      <c r="BP121" s="94">
        <f t="shared" si="274"/>
        <v>341250</v>
      </c>
      <c r="BQ121" s="94">
        <f t="shared" si="274"/>
        <v>788100</v>
      </c>
      <c r="BR121" s="94">
        <f t="shared" si="275"/>
        <v>727500</v>
      </c>
      <c r="BS121" s="9">
        <f t="shared" si="276"/>
        <v>3526850</v>
      </c>
    </row>
    <row r="122" spans="1:71" ht="31.5">
      <c r="A122" s="187"/>
      <c r="B122" s="8">
        <v>4</v>
      </c>
      <c r="C122" s="1" t="s">
        <v>232</v>
      </c>
      <c r="D122" s="4" t="s">
        <v>233</v>
      </c>
      <c r="E122" s="4" t="s">
        <v>226</v>
      </c>
      <c r="F122" s="4">
        <v>155000</v>
      </c>
      <c r="G122" s="4"/>
      <c r="H122" s="5"/>
      <c r="I122" s="4"/>
      <c r="J122" s="4"/>
      <c r="K122" s="4"/>
      <c r="L122" s="4"/>
      <c r="M122" s="4"/>
      <c r="N122" s="9">
        <f t="shared" si="266"/>
        <v>155000</v>
      </c>
      <c r="O122" s="4"/>
      <c r="P122" s="4"/>
      <c r="Q122" s="4"/>
      <c r="R122" s="4"/>
      <c r="S122" s="4"/>
      <c r="T122" s="4"/>
      <c r="U122" s="4"/>
      <c r="V122" s="4"/>
      <c r="W122" s="9">
        <f t="shared" si="267"/>
        <v>0</v>
      </c>
      <c r="X122" s="20"/>
      <c r="Y122" s="20"/>
      <c r="Z122" s="20"/>
      <c r="AA122" s="20"/>
      <c r="AB122" s="20"/>
      <c r="AC122" s="20"/>
      <c r="AD122" s="20"/>
      <c r="AE122" s="20"/>
      <c r="AF122" s="9">
        <f t="shared" si="268"/>
        <v>0</v>
      </c>
      <c r="AG122" s="20">
        <v>195000</v>
      </c>
      <c r="AH122" s="20"/>
      <c r="AI122" s="20"/>
      <c r="AJ122" s="20"/>
      <c r="AK122" s="20"/>
      <c r="AL122" s="20"/>
      <c r="AM122" s="20"/>
      <c r="AN122" s="20"/>
      <c r="AO122" s="21">
        <f t="shared" si="269"/>
        <v>195000</v>
      </c>
      <c r="AP122" s="25"/>
      <c r="AQ122" s="20"/>
      <c r="AR122" s="20"/>
      <c r="AS122" s="20"/>
      <c r="AT122" s="20"/>
      <c r="AU122" s="21">
        <f t="shared" si="270"/>
        <v>0</v>
      </c>
      <c r="AV122" s="25"/>
      <c r="AW122" s="20"/>
      <c r="AX122" s="20"/>
      <c r="AY122" s="20"/>
      <c r="AZ122" s="20"/>
      <c r="BA122" s="21">
        <f t="shared" si="271"/>
        <v>0</v>
      </c>
      <c r="BB122" s="25"/>
      <c r="BC122" s="25"/>
      <c r="BD122" s="25"/>
      <c r="BE122" s="25"/>
      <c r="BF122" s="20"/>
      <c r="BG122" s="20"/>
      <c r="BH122" s="20"/>
      <c r="BI122" s="20"/>
      <c r="BJ122" s="21">
        <f t="shared" si="272"/>
        <v>0</v>
      </c>
      <c r="BK122" s="4">
        <f t="shared" si="273"/>
        <v>350000</v>
      </c>
      <c r="BL122" s="4">
        <f t="shared" si="273"/>
        <v>0</v>
      </c>
      <c r="BM122" s="4">
        <f t="shared" si="273"/>
        <v>0</v>
      </c>
      <c r="BN122" s="4">
        <f t="shared" si="274"/>
        <v>0</v>
      </c>
      <c r="BO122" s="94">
        <f t="shared" si="274"/>
        <v>0</v>
      </c>
      <c r="BP122" s="94">
        <f t="shared" si="274"/>
        <v>0</v>
      </c>
      <c r="BQ122" s="94">
        <f t="shared" si="274"/>
        <v>0</v>
      </c>
      <c r="BR122" s="94">
        <f t="shared" si="275"/>
        <v>0</v>
      </c>
      <c r="BS122" s="9">
        <f t="shared" si="276"/>
        <v>350000</v>
      </c>
    </row>
    <row r="123" spans="1:71" s="38" customFormat="1">
      <c r="A123" s="34"/>
      <c r="B123" s="34"/>
      <c r="C123" s="35" t="s">
        <v>234</v>
      </c>
      <c r="D123" s="37"/>
      <c r="E123" s="37"/>
      <c r="F123" s="37">
        <f>SUM(F119:F122)</f>
        <v>155000</v>
      </c>
      <c r="G123" s="37">
        <f t="shared" ref="G123:BS123" si="277">SUM(G119:G122)</f>
        <v>0</v>
      </c>
      <c r="H123" s="37">
        <f t="shared" si="277"/>
        <v>0</v>
      </c>
      <c r="I123" s="37">
        <f t="shared" si="277"/>
        <v>0</v>
      </c>
      <c r="J123" s="37">
        <f t="shared" si="277"/>
        <v>0</v>
      </c>
      <c r="K123" s="37">
        <f t="shared" si="277"/>
        <v>0</v>
      </c>
      <c r="L123" s="37">
        <f t="shared" si="277"/>
        <v>0</v>
      </c>
      <c r="M123" s="37">
        <f t="shared" ref="M123" si="278">SUM(M119:M122)</f>
        <v>0</v>
      </c>
      <c r="N123" s="37">
        <f t="shared" si="277"/>
        <v>155000</v>
      </c>
      <c r="O123" s="37">
        <f t="shared" si="277"/>
        <v>0</v>
      </c>
      <c r="P123" s="37">
        <f t="shared" si="277"/>
        <v>310000</v>
      </c>
      <c r="Q123" s="37">
        <f t="shared" si="277"/>
        <v>480000</v>
      </c>
      <c r="R123" s="37">
        <f t="shared" si="277"/>
        <v>330000</v>
      </c>
      <c r="S123" s="37">
        <f t="shared" si="277"/>
        <v>460000</v>
      </c>
      <c r="T123" s="37">
        <f t="shared" si="277"/>
        <v>1450000</v>
      </c>
      <c r="U123" s="37">
        <f t="shared" si="277"/>
        <v>1130000</v>
      </c>
      <c r="V123" s="37">
        <f t="shared" ref="V123" si="279">SUM(V119:V122)</f>
        <v>630000</v>
      </c>
      <c r="W123" s="37">
        <f t="shared" si="277"/>
        <v>4790000</v>
      </c>
      <c r="X123" s="37">
        <f t="shared" si="277"/>
        <v>290000</v>
      </c>
      <c r="Y123" s="37">
        <f t="shared" si="277"/>
        <v>0</v>
      </c>
      <c r="Z123" s="37">
        <f t="shared" si="277"/>
        <v>273000</v>
      </c>
      <c r="AA123" s="37">
        <f t="shared" si="277"/>
        <v>252000</v>
      </c>
      <c r="AB123" s="37">
        <f t="shared" si="277"/>
        <v>0</v>
      </c>
      <c r="AC123" s="37">
        <f t="shared" si="277"/>
        <v>0</v>
      </c>
      <c r="AD123" s="37">
        <f t="shared" si="277"/>
        <v>0</v>
      </c>
      <c r="AE123" s="37">
        <f t="shared" ref="AE123" si="280">SUM(AE119:AE122)</f>
        <v>0</v>
      </c>
      <c r="AF123" s="37">
        <f t="shared" si="277"/>
        <v>815000</v>
      </c>
      <c r="AG123" s="37">
        <f t="shared" si="277"/>
        <v>195000</v>
      </c>
      <c r="AH123" s="37">
        <f t="shared" si="277"/>
        <v>330800</v>
      </c>
      <c r="AI123" s="37">
        <f t="shared" si="277"/>
        <v>304700</v>
      </c>
      <c r="AJ123" s="37">
        <f t="shared" si="277"/>
        <v>446500</v>
      </c>
      <c r="AK123" s="37">
        <f t="shared" si="277"/>
        <v>588000</v>
      </c>
      <c r="AL123" s="37">
        <f t="shared" si="277"/>
        <v>341250</v>
      </c>
      <c r="AM123" s="37">
        <f t="shared" si="277"/>
        <v>788100</v>
      </c>
      <c r="AN123" s="37">
        <f t="shared" ref="AN123" si="281">SUM(AN119:AN122)</f>
        <v>727500</v>
      </c>
      <c r="AO123" s="37">
        <f t="shared" si="277"/>
        <v>3721850</v>
      </c>
      <c r="AP123" s="37">
        <f t="shared" si="277"/>
        <v>0</v>
      </c>
      <c r="AQ123" s="37">
        <f t="shared" si="277"/>
        <v>0</v>
      </c>
      <c r="AR123" s="37">
        <f t="shared" si="277"/>
        <v>0</v>
      </c>
      <c r="AS123" s="37">
        <f t="shared" si="277"/>
        <v>0</v>
      </c>
      <c r="AT123" s="37">
        <f t="shared" ref="AT123" si="282">SUM(AT119:AT122)</f>
        <v>0</v>
      </c>
      <c r="AU123" s="37">
        <f t="shared" si="277"/>
        <v>0</v>
      </c>
      <c r="AV123" s="37">
        <f t="shared" si="277"/>
        <v>0</v>
      </c>
      <c r="AW123" s="37">
        <f t="shared" si="277"/>
        <v>0</v>
      </c>
      <c r="AX123" s="37">
        <f t="shared" si="277"/>
        <v>0</v>
      </c>
      <c r="AY123" s="37">
        <f t="shared" si="277"/>
        <v>0</v>
      </c>
      <c r="AZ123" s="37">
        <f t="shared" ref="AZ123" si="283">SUM(AZ119:AZ122)</f>
        <v>0</v>
      </c>
      <c r="BA123" s="37">
        <f t="shared" si="277"/>
        <v>0</v>
      </c>
      <c r="BB123" s="37">
        <f t="shared" si="277"/>
        <v>0</v>
      </c>
      <c r="BC123" s="37">
        <f t="shared" si="277"/>
        <v>0</v>
      </c>
      <c r="BD123" s="37">
        <f t="shared" si="277"/>
        <v>0</v>
      </c>
      <c r="BE123" s="37">
        <f t="shared" si="277"/>
        <v>0</v>
      </c>
      <c r="BF123" s="37">
        <f t="shared" si="277"/>
        <v>0</v>
      </c>
      <c r="BG123" s="37">
        <f t="shared" si="277"/>
        <v>0</v>
      </c>
      <c r="BH123" s="37">
        <f t="shared" si="277"/>
        <v>0</v>
      </c>
      <c r="BI123" s="37">
        <f t="shared" ref="BI123" si="284">SUM(BI119:BI122)</f>
        <v>0</v>
      </c>
      <c r="BJ123" s="37">
        <f t="shared" si="277"/>
        <v>0</v>
      </c>
      <c r="BK123" s="37">
        <f t="shared" si="277"/>
        <v>640000</v>
      </c>
      <c r="BL123" s="37">
        <f t="shared" si="277"/>
        <v>640800</v>
      </c>
      <c r="BM123" s="37">
        <f t="shared" si="277"/>
        <v>1057700</v>
      </c>
      <c r="BN123" s="37">
        <f t="shared" si="277"/>
        <v>1028500</v>
      </c>
      <c r="BO123" s="37">
        <f t="shared" si="277"/>
        <v>1048000</v>
      </c>
      <c r="BP123" s="144">
        <f>SUM(BP119:BP122)</f>
        <v>1791250</v>
      </c>
      <c r="BQ123" s="37">
        <f t="shared" ref="BQ123:BR123" si="285">SUM(BQ119:BQ122)</f>
        <v>1918100</v>
      </c>
      <c r="BR123" s="37">
        <f t="shared" si="285"/>
        <v>1357500</v>
      </c>
      <c r="BS123" s="37">
        <f t="shared" si="277"/>
        <v>9481850</v>
      </c>
    </row>
    <row r="124" spans="1:71">
      <c r="A124" s="185" t="s">
        <v>235</v>
      </c>
      <c r="B124" s="8">
        <v>1</v>
      </c>
      <c r="C124" s="1" t="s">
        <v>236</v>
      </c>
      <c r="D124" s="4" t="s">
        <v>237</v>
      </c>
      <c r="E124" s="4" t="s">
        <v>235</v>
      </c>
      <c r="F124" s="4"/>
      <c r="G124" s="4">
        <v>155000</v>
      </c>
      <c r="H124" s="4"/>
      <c r="I124" s="4"/>
      <c r="J124" s="4"/>
      <c r="K124" s="4"/>
      <c r="L124" s="4"/>
      <c r="M124" s="4"/>
      <c r="N124" s="9">
        <f t="shared" ref="N124:N126" si="286">SUM(F124:M124)</f>
        <v>155000</v>
      </c>
      <c r="O124" s="76"/>
      <c r="P124" s="76">
        <v>290000</v>
      </c>
      <c r="Q124" s="76"/>
      <c r="R124" s="76"/>
      <c r="S124" s="4"/>
      <c r="T124" s="4"/>
      <c r="U124" s="4"/>
      <c r="V124" s="4"/>
      <c r="W124" s="9">
        <f t="shared" ref="W124:W126" si="287">SUM(O124:V124)</f>
        <v>290000</v>
      </c>
      <c r="X124" s="20"/>
      <c r="Y124" s="20">
        <v>290000</v>
      </c>
      <c r="Z124" s="4">
        <v>175000</v>
      </c>
      <c r="AA124" s="20"/>
      <c r="AB124" s="20"/>
      <c r="AC124" s="20"/>
      <c r="AD124" s="20"/>
      <c r="AE124" s="20"/>
      <c r="AF124" s="9">
        <f t="shared" ref="AF124:AF126" si="288">SUM(X124:AE124)</f>
        <v>465000</v>
      </c>
      <c r="AG124" s="20"/>
      <c r="AH124" s="20"/>
      <c r="AI124" s="20"/>
      <c r="AJ124" s="20"/>
      <c r="AK124" s="20"/>
      <c r="AL124" s="20"/>
      <c r="AM124" s="20"/>
      <c r="AN124" s="20"/>
      <c r="AO124" s="21">
        <f t="shared" ref="AO124:AO126" si="289">SUM(AG124:AN124)</f>
        <v>0</v>
      </c>
      <c r="AP124" s="25"/>
      <c r="AQ124" s="20"/>
      <c r="AR124" s="20"/>
      <c r="AS124" s="20"/>
      <c r="AT124" s="20"/>
      <c r="AU124" s="21">
        <f t="shared" ref="AU124:AU126" si="290">SUM(AP124:AT124)</f>
        <v>0</v>
      </c>
      <c r="AV124" s="25"/>
      <c r="AW124" s="20"/>
      <c r="AX124" s="20"/>
      <c r="AY124" s="20"/>
      <c r="AZ124" s="20"/>
      <c r="BA124" s="21">
        <f t="shared" ref="BA124:BA126" si="291">SUM(AV124:AZ124)</f>
        <v>0</v>
      </c>
      <c r="BB124" s="25"/>
      <c r="BC124" s="25"/>
      <c r="BD124" s="25"/>
      <c r="BE124" s="25"/>
      <c r="BF124" s="20"/>
      <c r="BG124" s="20"/>
      <c r="BH124" s="20"/>
      <c r="BI124" s="20"/>
      <c r="BJ124" s="21">
        <f t="shared" ref="BJ124:BJ126" si="292">SUM(BB124:BI124)</f>
        <v>0</v>
      </c>
      <c r="BK124" s="4">
        <f t="shared" ref="BK124:BM126" si="293">F124+O124+X124+AG124+BB124</f>
        <v>0</v>
      </c>
      <c r="BL124" s="4">
        <f t="shared" si="293"/>
        <v>735000</v>
      </c>
      <c r="BM124" s="4">
        <f t="shared" si="293"/>
        <v>175000</v>
      </c>
      <c r="BN124" s="4">
        <f t="shared" ref="BN124:BQ126" si="294">I124+R124+AA124+AJ124+AP124+AV124+BE124</f>
        <v>0</v>
      </c>
      <c r="BO124" s="94">
        <f t="shared" si="294"/>
        <v>0</v>
      </c>
      <c r="BP124" s="94">
        <f t="shared" si="294"/>
        <v>0</v>
      </c>
      <c r="BQ124" s="94">
        <f t="shared" si="294"/>
        <v>0</v>
      </c>
      <c r="BR124" s="94">
        <f t="shared" ref="BR124:BR126" si="295">M124+V124+AE124+AN124+AT124+AZ124+BI124</f>
        <v>0</v>
      </c>
      <c r="BS124" s="9">
        <f t="shared" ref="BS124:BS126" si="296">SUM(BK124:BR124)</f>
        <v>910000</v>
      </c>
    </row>
    <row r="125" spans="1:71">
      <c r="A125" s="186"/>
      <c r="B125" s="8">
        <v>2</v>
      </c>
      <c r="C125" s="1" t="s">
        <v>470</v>
      </c>
      <c r="D125" s="4" t="s">
        <v>239</v>
      </c>
      <c r="E125" s="4" t="s">
        <v>235</v>
      </c>
      <c r="F125" s="4"/>
      <c r="G125" s="4"/>
      <c r="H125" s="4">
        <f>155000+31667+20000</f>
        <v>206667</v>
      </c>
      <c r="I125" s="4">
        <v>777500</v>
      </c>
      <c r="J125" s="4">
        <v>52500</v>
      </c>
      <c r="K125" s="4">
        <f>135000+135000+67500</f>
        <v>337500</v>
      </c>
      <c r="L125" s="4">
        <v>769500</v>
      </c>
      <c r="M125" s="4">
        <v>915500</v>
      </c>
      <c r="N125" s="9">
        <f t="shared" si="286"/>
        <v>3059167</v>
      </c>
      <c r="O125" s="4"/>
      <c r="P125" s="4"/>
      <c r="Q125" s="4"/>
      <c r="R125" s="4"/>
      <c r="S125" s="4"/>
      <c r="T125" s="4"/>
      <c r="U125" s="4"/>
      <c r="V125" s="4"/>
      <c r="W125" s="9">
        <f t="shared" si="287"/>
        <v>0</v>
      </c>
      <c r="X125" s="20"/>
      <c r="Y125" s="20"/>
      <c r="Z125" s="20"/>
      <c r="AA125" s="20"/>
      <c r="AB125" s="20"/>
      <c r="AC125" s="20"/>
      <c r="AD125" s="20"/>
      <c r="AE125" s="20"/>
      <c r="AF125" s="9">
        <f t="shared" si="288"/>
        <v>0</v>
      </c>
      <c r="AG125" s="20"/>
      <c r="AH125" s="20"/>
      <c r="AI125" s="20"/>
      <c r="AJ125" s="20"/>
      <c r="AK125" s="20"/>
      <c r="AL125" s="20"/>
      <c r="AM125" s="20"/>
      <c r="AN125" s="20"/>
      <c r="AO125" s="21">
        <f t="shared" si="289"/>
        <v>0</v>
      </c>
      <c r="AP125" s="25"/>
      <c r="AQ125" s="20"/>
      <c r="AR125" s="20"/>
      <c r="AS125" s="20"/>
      <c r="AT125" s="20"/>
      <c r="AU125" s="21">
        <f t="shared" si="290"/>
        <v>0</v>
      </c>
      <c r="AV125" s="25"/>
      <c r="AW125" s="20"/>
      <c r="AX125" s="20"/>
      <c r="AY125" s="20"/>
      <c r="AZ125" s="20"/>
      <c r="BA125" s="21">
        <f t="shared" si="291"/>
        <v>0</v>
      </c>
      <c r="BB125" s="25"/>
      <c r="BC125" s="25"/>
      <c r="BD125" s="25"/>
      <c r="BE125" s="25"/>
      <c r="BF125" s="20"/>
      <c r="BG125" s="20"/>
      <c r="BH125" s="20"/>
      <c r="BI125" s="20"/>
      <c r="BJ125" s="21">
        <f t="shared" si="292"/>
        <v>0</v>
      </c>
      <c r="BK125" s="4">
        <f t="shared" si="293"/>
        <v>0</v>
      </c>
      <c r="BL125" s="4">
        <f t="shared" si="293"/>
        <v>0</v>
      </c>
      <c r="BM125" s="4">
        <f t="shared" si="293"/>
        <v>206667</v>
      </c>
      <c r="BN125" s="4">
        <f t="shared" si="294"/>
        <v>777500</v>
      </c>
      <c r="BO125" s="94">
        <f t="shared" si="294"/>
        <v>52500</v>
      </c>
      <c r="BP125" s="94">
        <f t="shared" si="294"/>
        <v>337500</v>
      </c>
      <c r="BQ125" s="94">
        <f t="shared" si="294"/>
        <v>769500</v>
      </c>
      <c r="BR125" s="94">
        <f t="shared" si="295"/>
        <v>915500</v>
      </c>
      <c r="BS125" s="9">
        <f t="shared" si="296"/>
        <v>3059167</v>
      </c>
    </row>
    <row r="126" spans="1:71" ht="31.5">
      <c r="A126" s="187"/>
      <c r="B126" s="8">
        <v>2</v>
      </c>
      <c r="C126" s="40" t="s">
        <v>459</v>
      </c>
      <c r="D126" s="40" t="s">
        <v>460</v>
      </c>
      <c r="E126" s="118" t="s">
        <v>235</v>
      </c>
      <c r="F126" s="4"/>
      <c r="G126" s="4"/>
      <c r="H126" s="4"/>
      <c r="I126" s="4"/>
      <c r="J126" s="4"/>
      <c r="K126" s="4">
        <v>442000</v>
      </c>
      <c r="L126" s="4">
        <v>1024000</v>
      </c>
      <c r="M126" s="4">
        <v>1193500</v>
      </c>
      <c r="N126" s="9">
        <f t="shared" si="286"/>
        <v>2659500</v>
      </c>
      <c r="O126" s="4"/>
      <c r="P126" s="4"/>
      <c r="Q126" s="4"/>
      <c r="R126" s="4"/>
      <c r="S126" s="4"/>
      <c r="T126" s="4"/>
      <c r="U126" s="4"/>
      <c r="V126" s="4"/>
      <c r="W126" s="9">
        <f t="shared" si="287"/>
        <v>0</v>
      </c>
      <c r="X126" s="20"/>
      <c r="Y126" s="20"/>
      <c r="Z126" s="20"/>
      <c r="AA126" s="20"/>
      <c r="AB126" s="20"/>
      <c r="AC126" s="20"/>
      <c r="AD126" s="20"/>
      <c r="AE126" s="20"/>
      <c r="AF126" s="9">
        <f t="shared" si="288"/>
        <v>0</v>
      </c>
      <c r="AG126" s="20"/>
      <c r="AH126" s="20"/>
      <c r="AI126" s="20"/>
      <c r="AJ126" s="20"/>
      <c r="AK126" s="20"/>
      <c r="AL126" s="20"/>
      <c r="AM126" s="20"/>
      <c r="AN126" s="20"/>
      <c r="AO126" s="21">
        <f t="shared" si="289"/>
        <v>0</v>
      </c>
      <c r="AP126" s="25"/>
      <c r="AQ126" s="20"/>
      <c r="AR126" s="20"/>
      <c r="AS126" s="20"/>
      <c r="AT126" s="20"/>
      <c r="AU126" s="21">
        <f t="shared" si="290"/>
        <v>0</v>
      </c>
      <c r="AV126" s="25"/>
      <c r="AW126" s="20"/>
      <c r="AX126" s="20"/>
      <c r="AY126" s="20"/>
      <c r="AZ126" s="20"/>
      <c r="BA126" s="21">
        <f t="shared" si="291"/>
        <v>0</v>
      </c>
      <c r="BB126" s="25"/>
      <c r="BC126" s="25"/>
      <c r="BD126" s="25"/>
      <c r="BE126" s="25"/>
      <c r="BF126" s="20"/>
      <c r="BG126" s="20"/>
      <c r="BH126" s="20"/>
      <c r="BI126" s="20"/>
      <c r="BJ126" s="21">
        <f t="shared" si="292"/>
        <v>0</v>
      </c>
      <c r="BK126" s="4">
        <f t="shared" si="293"/>
        <v>0</v>
      </c>
      <c r="BL126" s="4">
        <f t="shared" si="293"/>
        <v>0</v>
      </c>
      <c r="BM126" s="4">
        <f t="shared" si="293"/>
        <v>0</v>
      </c>
      <c r="BN126" s="4">
        <f t="shared" si="294"/>
        <v>0</v>
      </c>
      <c r="BO126" s="94">
        <f t="shared" si="294"/>
        <v>0</v>
      </c>
      <c r="BP126" s="94">
        <f t="shared" si="294"/>
        <v>442000</v>
      </c>
      <c r="BQ126" s="94">
        <f t="shared" si="294"/>
        <v>1024000</v>
      </c>
      <c r="BR126" s="94">
        <f t="shared" si="295"/>
        <v>1193500</v>
      </c>
      <c r="BS126" s="9">
        <f t="shared" si="296"/>
        <v>2659500</v>
      </c>
    </row>
    <row r="127" spans="1:71" s="38" customFormat="1">
      <c r="A127" s="34"/>
      <c r="B127" s="34"/>
      <c r="C127" s="35" t="s">
        <v>240</v>
      </c>
      <c r="D127" s="37"/>
      <c r="E127" s="37"/>
      <c r="F127" s="37">
        <f>SUM(F124:F126)</f>
        <v>0</v>
      </c>
      <c r="G127" s="37">
        <f t="shared" ref="G127:BS127" si="297">SUM(G124:G126)</f>
        <v>155000</v>
      </c>
      <c r="H127" s="37">
        <f t="shared" si="297"/>
        <v>206667</v>
      </c>
      <c r="I127" s="37">
        <f t="shared" si="297"/>
        <v>777500</v>
      </c>
      <c r="J127" s="37">
        <f t="shared" si="297"/>
        <v>52500</v>
      </c>
      <c r="K127" s="37">
        <f t="shared" si="297"/>
        <v>779500</v>
      </c>
      <c r="L127" s="37">
        <f t="shared" si="297"/>
        <v>1793500</v>
      </c>
      <c r="M127" s="37">
        <f t="shared" ref="M127" si="298">SUM(M124:M126)</f>
        <v>2109000</v>
      </c>
      <c r="N127" s="37">
        <f t="shared" si="297"/>
        <v>5873667</v>
      </c>
      <c r="O127" s="37">
        <f t="shared" si="297"/>
        <v>0</v>
      </c>
      <c r="P127" s="37">
        <f t="shared" si="297"/>
        <v>290000</v>
      </c>
      <c r="Q127" s="37">
        <f t="shared" si="297"/>
        <v>0</v>
      </c>
      <c r="R127" s="37">
        <f t="shared" si="297"/>
        <v>0</v>
      </c>
      <c r="S127" s="37">
        <f t="shared" si="297"/>
        <v>0</v>
      </c>
      <c r="T127" s="37">
        <f t="shared" si="297"/>
        <v>0</v>
      </c>
      <c r="U127" s="37">
        <f t="shared" si="297"/>
        <v>0</v>
      </c>
      <c r="V127" s="37">
        <f t="shared" ref="V127" si="299">SUM(V124:V126)</f>
        <v>0</v>
      </c>
      <c r="W127" s="37">
        <f t="shared" si="297"/>
        <v>290000</v>
      </c>
      <c r="X127" s="37">
        <f t="shared" si="297"/>
        <v>0</v>
      </c>
      <c r="Y127" s="37">
        <f t="shared" si="297"/>
        <v>290000</v>
      </c>
      <c r="Z127" s="37">
        <f t="shared" si="297"/>
        <v>175000</v>
      </c>
      <c r="AA127" s="37">
        <f t="shared" si="297"/>
        <v>0</v>
      </c>
      <c r="AB127" s="37">
        <f t="shared" si="297"/>
        <v>0</v>
      </c>
      <c r="AC127" s="37">
        <f t="shared" si="297"/>
        <v>0</v>
      </c>
      <c r="AD127" s="37">
        <f t="shared" si="297"/>
        <v>0</v>
      </c>
      <c r="AE127" s="37">
        <f t="shared" ref="AE127" si="300">SUM(AE124:AE126)</f>
        <v>0</v>
      </c>
      <c r="AF127" s="37">
        <f t="shared" si="297"/>
        <v>465000</v>
      </c>
      <c r="AG127" s="37">
        <f t="shared" si="297"/>
        <v>0</v>
      </c>
      <c r="AH127" s="37">
        <f t="shared" si="297"/>
        <v>0</v>
      </c>
      <c r="AI127" s="37">
        <f t="shared" si="297"/>
        <v>0</v>
      </c>
      <c r="AJ127" s="37">
        <f t="shared" si="297"/>
        <v>0</v>
      </c>
      <c r="AK127" s="37">
        <f t="shared" si="297"/>
        <v>0</v>
      </c>
      <c r="AL127" s="37">
        <f t="shared" si="297"/>
        <v>0</v>
      </c>
      <c r="AM127" s="37">
        <f t="shared" si="297"/>
        <v>0</v>
      </c>
      <c r="AN127" s="37">
        <f t="shared" ref="AN127" si="301">SUM(AN124:AN126)</f>
        <v>0</v>
      </c>
      <c r="AO127" s="37">
        <f t="shared" si="297"/>
        <v>0</v>
      </c>
      <c r="AP127" s="37">
        <f t="shared" si="297"/>
        <v>0</v>
      </c>
      <c r="AQ127" s="37">
        <f t="shared" si="297"/>
        <v>0</v>
      </c>
      <c r="AR127" s="37">
        <f t="shared" si="297"/>
        <v>0</v>
      </c>
      <c r="AS127" s="37">
        <f t="shared" si="297"/>
        <v>0</v>
      </c>
      <c r="AT127" s="37">
        <f t="shared" ref="AT127" si="302">SUM(AT124:AT126)</f>
        <v>0</v>
      </c>
      <c r="AU127" s="37">
        <f t="shared" si="297"/>
        <v>0</v>
      </c>
      <c r="AV127" s="37">
        <f t="shared" si="297"/>
        <v>0</v>
      </c>
      <c r="AW127" s="37">
        <f t="shared" si="297"/>
        <v>0</v>
      </c>
      <c r="AX127" s="37">
        <f t="shared" si="297"/>
        <v>0</v>
      </c>
      <c r="AY127" s="37">
        <f t="shared" si="297"/>
        <v>0</v>
      </c>
      <c r="AZ127" s="37">
        <f t="shared" ref="AZ127" si="303">SUM(AZ124:AZ126)</f>
        <v>0</v>
      </c>
      <c r="BA127" s="37">
        <f t="shared" si="297"/>
        <v>0</v>
      </c>
      <c r="BB127" s="37">
        <f t="shared" si="297"/>
        <v>0</v>
      </c>
      <c r="BC127" s="37">
        <f t="shared" si="297"/>
        <v>0</v>
      </c>
      <c r="BD127" s="37">
        <f t="shared" si="297"/>
        <v>0</v>
      </c>
      <c r="BE127" s="37">
        <f t="shared" si="297"/>
        <v>0</v>
      </c>
      <c r="BF127" s="37">
        <f t="shared" si="297"/>
        <v>0</v>
      </c>
      <c r="BG127" s="37">
        <f t="shared" si="297"/>
        <v>0</v>
      </c>
      <c r="BH127" s="37">
        <f t="shared" si="297"/>
        <v>0</v>
      </c>
      <c r="BI127" s="37">
        <f t="shared" ref="BI127" si="304">SUM(BI124:BI126)</f>
        <v>0</v>
      </c>
      <c r="BJ127" s="37">
        <f t="shared" si="297"/>
        <v>0</v>
      </c>
      <c r="BK127" s="37">
        <f t="shared" si="297"/>
        <v>0</v>
      </c>
      <c r="BL127" s="37">
        <f t="shared" si="297"/>
        <v>735000</v>
      </c>
      <c r="BM127" s="37">
        <f t="shared" si="297"/>
        <v>381667</v>
      </c>
      <c r="BN127" s="37">
        <f t="shared" si="297"/>
        <v>777500</v>
      </c>
      <c r="BO127" s="37">
        <f t="shared" si="297"/>
        <v>52500</v>
      </c>
      <c r="BP127" s="144">
        <f>SUM(BP124:BP126)</f>
        <v>779500</v>
      </c>
      <c r="BQ127" s="37">
        <f t="shared" ref="BQ127:BR127" si="305">SUM(BQ124:BQ126)</f>
        <v>1793500</v>
      </c>
      <c r="BR127" s="37">
        <f t="shared" si="305"/>
        <v>2109000</v>
      </c>
      <c r="BS127" s="37">
        <f t="shared" si="297"/>
        <v>6628667</v>
      </c>
    </row>
    <row r="128" spans="1:71">
      <c r="A128" s="151" t="s">
        <v>442</v>
      </c>
      <c r="B128" s="8">
        <v>1</v>
      </c>
      <c r="C128" s="100" t="s">
        <v>444</v>
      </c>
      <c r="D128" s="101" t="s">
        <v>445</v>
      </c>
      <c r="E128" s="101" t="s">
        <v>442</v>
      </c>
      <c r="F128" s="4"/>
      <c r="G128" s="4"/>
      <c r="H128" s="5"/>
      <c r="I128" s="4"/>
      <c r="J128" s="4">
        <f>155000+129000+56000</f>
        <v>340000</v>
      </c>
      <c r="K128" s="4">
        <f>720000+176000+88000</f>
        <v>984000</v>
      </c>
      <c r="L128" s="4">
        <v>457000</v>
      </c>
      <c r="M128" s="4">
        <v>1574000</v>
      </c>
      <c r="N128" s="9">
        <f>SUM(F128:M128)</f>
        <v>3355000</v>
      </c>
      <c r="O128" s="4"/>
      <c r="P128" s="4"/>
      <c r="Q128" s="4"/>
      <c r="R128" s="4"/>
      <c r="S128" s="4"/>
      <c r="T128" s="4"/>
      <c r="U128" s="4"/>
      <c r="V128" s="4"/>
      <c r="W128" s="9">
        <f t="shared" ref="W128" si="306">SUM(O128:V128)</f>
        <v>0</v>
      </c>
      <c r="X128" s="20"/>
      <c r="Y128" s="20"/>
      <c r="Z128" s="20"/>
      <c r="AA128" s="20"/>
      <c r="AB128" s="20"/>
      <c r="AC128" s="20"/>
      <c r="AD128" s="20"/>
      <c r="AE128" s="20"/>
      <c r="AF128" s="9">
        <f>SUM(X128:AE128)</f>
        <v>0</v>
      </c>
      <c r="AG128" s="20"/>
      <c r="AH128" s="20"/>
      <c r="AI128" s="20"/>
      <c r="AJ128" s="20"/>
      <c r="AK128" s="20"/>
      <c r="AL128" s="20"/>
      <c r="AM128" s="20"/>
      <c r="AN128" s="20"/>
      <c r="AO128" s="21">
        <f>SUM(AG128:AN128)</f>
        <v>0</v>
      </c>
      <c r="AP128" s="25"/>
      <c r="AQ128" s="20"/>
      <c r="AR128" s="20"/>
      <c r="AS128" s="20"/>
      <c r="AT128" s="20"/>
      <c r="AU128" s="21">
        <f>SUM(AP128:AT128)</f>
        <v>0</v>
      </c>
      <c r="AV128" s="25"/>
      <c r="AW128" s="21"/>
      <c r="AX128" s="21"/>
      <c r="AY128" s="21"/>
      <c r="AZ128" s="21"/>
      <c r="BA128" s="21">
        <f>SUM(AV128:AZ128)</f>
        <v>0</v>
      </c>
      <c r="BB128" s="25"/>
      <c r="BC128" s="25"/>
      <c r="BD128" s="25"/>
      <c r="BE128" s="25"/>
      <c r="BF128" s="20"/>
      <c r="BG128" s="20"/>
      <c r="BH128" s="20"/>
      <c r="BI128" s="20"/>
      <c r="BJ128" s="21">
        <f>SUM(BB128:BI128)</f>
        <v>0</v>
      </c>
      <c r="BK128" s="4">
        <f>F128+O128+X128+AG128+BB128</f>
        <v>0</v>
      </c>
      <c r="BL128" s="4">
        <f>G128+P128+Y128+AH128+BC128</f>
        <v>0</v>
      </c>
      <c r="BM128" s="4">
        <f>H128+Q128+Z128+AI128+BD128</f>
        <v>0</v>
      </c>
      <c r="BN128" s="4">
        <f>I128+R128+AA128+AJ128+AP128+AV128+BE128</f>
        <v>0</v>
      </c>
      <c r="BO128" s="94">
        <f>J128+S128+AB128+AK128+AQ128+AW128+BF128</f>
        <v>340000</v>
      </c>
      <c r="BP128" s="94">
        <f>K128+T128+AC128+AL128+AR128+AX128+BG128</f>
        <v>984000</v>
      </c>
      <c r="BQ128" s="94">
        <f>L128+U128+AD128+AM128+AS128+AY128+BH128</f>
        <v>457000</v>
      </c>
      <c r="BR128" s="94">
        <f>M128+V128+AE128+AN128+AT128+AZ128+BI128</f>
        <v>1574000</v>
      </c>
      <c r="BS128" s="9">
        <f>SUM(BK128:BR128)</f>
        <v>3355000</v>
      </c>
    </row>
    <row r="129" spans="1:71" s="38" customFormat="1">
      <c r="A129" s="34"/>
      <c r="B129" s="34"/>
      <c r="C129" s="35" t="s">
        <v>443</v>
      </c>
      <c r="D129" s="37"/>
      <c r="E129" s="37"/>
      <c r="F129" s="37">
        <f>F128</f>
        <v>0</v>
      </c>
      <c r="G129" s="37">
        <f t="shared" ref="G129:H129" si="307">G128</f>
        <v>0</v>
      </c>
      <c r="H129" s="37">
        <f t="shared" si="307"/>
        <v>0</v>
      </c>
      <c r="I129" s="37">
        <f t="shared" ref="I129:I131" si="308">SUM(I128)</f>
        <v>0</v>
      </c>
      <c r="J129" s="37">
        <f t="shared" ref="J129:Q129" si="309">J128</f>
        <v>340000</v>
      </c>
      <c r="K129" s="37">
        <f t="shared" si="309"/>
        <v>984000</v>
      </c>
      <c r="L129" s="37">
        <f>L128</f>
        <v>457000</v>
      </c>
      <c r="M129" s="37">
        <f>M128</f>
        <v>1574000</v>
      </c>
      <c r="N129" s="37">
        <f t="shared" si="309"/>
        <v>3355000</v>
      </c>
      <c r="O129" s="37">
        <f t="shared" si="309"/>
        <v>0</v>
      </c>
      <c r="P129" s="37">
        <f t="shared" si="309"/>
        <v>0</v>
      </c>
      <c r="Q129" s="37">
        <f t="shared" si="309"/>
        <v>0</v>
      </c>
      <c r="R129" s="37">
        <f t="shared" ref="R129:R131" si="310">SUM(R128)</f>
        <v>0</v>
      </c>
      <c r="S129" s="37">
        <f t="shared" ref="S129:Z129" si="311">S128</f>
        <v>0</v>
      </c>
      <c r="T129" s="37">
        <f t="shared" si="311"/>
        <v>0</v>
      </c>
      <c r="U129" s="37">
        <f t="shared" si="311"/>
        <v>0</v>
      </c>
      <c r="V129" s="37">
        <f t="shared" ref="V129" si="312">V128</f>
        <v>0</v>
      </c>
      <c r="W129" s="37">
        <f t="shared" si="311"/>
        <v>0</v>
      </c>
      <c r="X129" s="37">
        <f t="shared" si="311"/>
        <v>0</v>
      </c>
      <c r="Y129" s="37">
        <f t="shared" si="311"/>
        <v>0</v>
      </c>
      <c r="Z129" s="37">
        <f t="shared" si="311"/>
        <v>0</v>
      </c>
      <c r="AA129" s="37">
        <f t="shared" ref="AA129:AD131" si="313">SUM(AA128)</f>
        <v>0</v>
      </c>
      <c r="AB129" s="37">
        <f t="shared" si="313"/>
        <v>0</v>
      </c>
      <c r="AC129" s="37">
        <f t="shared" si="313"/>
        <v>0</v>
      </c>
      <c r="AD129" s="37">
        <f t="shared" si="313"/>
        <v>0</v>
      </c>
      <c r="AE129" s="37">
        <f t="shared" ref="AE129" si="314">SUM(AE128)</f>
        <v>0</v>
      </c>
      <c r="AF129" s="37">
        <f t="shared" ref="AF129:AI129" si="315">AF128</f>
        <v>0</v>
      </c>
      <c r="AG129" s="37">
        <f t="shared" si="315"/>
        <v>0</v>
      </c>
      <c r="AH129" s="37">
        <f t="shared" si="315"/>
        <v>0</v>
      </c>
      <c r="AI129" s="37">
        <f t="shared" si="315"/>
        <v>0</v>
      </c>
      <c r="AJ129" s="37">
        <f t="shared" ref="AJ129:AJ131" si="316">SUM(AJ128)</f>
        <v>0</v>
      </c>
      <c r="AK129" s="37">
        <f t="shared" ref="AK129:AO129" si="317">AK128</f>
        <v>0</v>
      </c>
      <c r="AL129" s="37">
        <f t="shared" si="317"/>
        <v>0</v>
      </c>
      <c r="AM129" s="37">
        <f t="shared" si="317"/>
        <v>0</v>
      </c>
      <c r="AN129" s="37">
        <f t="shared" ref="AN129" si="318">AN128</f>
        <v>0</v>
      </c>
      <c r="AO129" s="37">
        <f t="shared" si="317"/>
        <v>0</v>
      </c>
      <c r="AP129" s="37">
        <f t="shared" ref="AP129:AP131" si="319">SUM(AP128)</f>
        <v>0</v>
      </c>
      <c r="AQ129" s="37">
        <f t="shared" ref="AQ129:AU129" si="320">AQ128</f>
        <v>0</v>
      </c>
      <c r="AR129" s="37">
        <f t="shared" si="320"/>
        <v>0</v>
      </c>
      <c r="AS129" s="37">
        <f t="shared" si="320"/>
        <v>0</v>
      </c>
      <c r="AT129" s="37">
        <f t="shared" ref="AT129" si="321">AT128</f>
        <v>0</v>
      </c>
      <c r="AU129" s="37">
        <f t="shared" si="320"/>
        <v>0</v>
      </c>
      <c r="AV129" s="37">
        <f t="shared" ref="AV129:AV131" si="322">SUM(AV128)</f>
        <v>0</v>
      </c>
      <c r="AW129" s="37">
        <f t="shared" ref="AW129:BD129" si="323">AW128</f>
        <v>0</v>
      </c>
      <c r="AX129" s="37">
        <f t="shared" si="323"/>
        <v>0</v>
      </c>
      <c r="AY129" s="37">
        <f t="shared" si="323"/>
        <v>0</v>
      </c>
      <c r="AZ129" s="37">
        <f t="shared" ref="AZ129" si="324">AZ128</f>
        <v>0</v>
      </c>
      <c r="BA129" s="37">
        <f t="shared" si="323"/>
        <v>0</v>
      </c>
      <c r="BB129" s="37">
        <f t="shared" si="323"/>
        <v>0</v>
      </c>
      <c r="BC129" s="37">
        <f t="shared" si="323"/>
        <v>0</v>
      </c>
      <c r="BD129" s="37">
        <f t="shared" si="323"/>
        <v>0</v>
      </c>
      <c r="BE129" s="37">
        <f t="shared" ref="BE129:BE131" si="325">SUM(BE128)</f>
        <v>0</v>
      </c>
      <c r="BF129" s="37">
        <f t="shared" ref="BF129:BS129" si="326">BF128</f>
        <v>0</v>
      </c>
      <c r="BG129" s="37">
        <f t="shared" si="326"/>
        <v>0</v>
      </c>
      <c r="BH129" s="37">
        <f t="shared" si="326"/>
        <v>0</v>
      </c>
      <c r="BI129" s="37">
        <f t="shared" ref="BI129" si="327">BI128</f>
        <v>0</v>
      </c>
      <c r="BJ129" s="37">
        <f t="shared" si="326"/>
        <v>0</v>
      </c>
      <c r="BK129" s="37">
        <f t="shared" si="326"/>
        <v>0</v>
      </c>
      <c r="BL129" s="37">
        <f t="shared" si="326"/>
        <v>0</v>
      </c>
      <c r="BM129" s="37">
        <f t="shared" si="326"/>
        <v>0</v>
      </c>
      <c r="BN129" s="37">
        <f t="shared" si="326"/>
        <v>0</v>
      </c>
      <c r="BO129" s="37">
        <f t="shared" si="326"/>
        <v>340000</v>
      </c>
      <c r="BP129" s="144">
        <f>BP128</f>
        <v>984000</v>
      </c>
      <c r="BQ129" s="37">
        <f t="shared" ref="BQ129:BR129" si="328">BQ128</f>
        <v>457000</v>
      </c>
      <c r="BR129" s="37">
        <f t="shared" si="328"/>
        <v>1574000</v>
      </c>
      <c r="BS129" s="37">
        <f t="shared" si="326"/>
        <v>3355000</v>
      </c>
    </row>
    <row r="130" spans="1:71">
      <c r="A130" s="151" t="s">
        <v>44</v>
      </c>
      <c r="B130" s="8">
        <v>1</v>
      </c>
      <c r="C130" s="1" t="s">
        <v>10</v>
      </c>
      <c r="D130" s="4" t="s">
        <v>43</v>
      </c>
      <c r="E130" s="4" t="s">
        <v>44</v>
      </c>
      <c r="F130" s="4"/>
      <c r="G130" s="4">
        <v>155000</v>
      </c>
      <c r="H130" s="5"/>
      <c r="I130" s="4">
        <f>72000+18000</f>
        <v>90000</v>
      </c>
      <c r="J130" s="4"/>
      <c r="K130" s="4"/>
      <c r="L130" s="4"/>
      <c r="M130" s="4"/>
      <c r="N130" s="9">
        <f>SUM(F130:M130)</f>
        <v>245000</v>
      </c>
      <c r="O130" s="4"/>
      <c r="P130" s="4"/>
      <c r="Q130" s="4"/>
      <c r="R130" s="4"/>
      <c r="S130" s="4"/>
      <c r="T130" s="4"/>
      <c r="U130" s="4"/>
      <c r="V130" s="4"/>
      <c r="W130" s="9">
        <f t="shared" ref="W130" si="329">SUM(O130:V130)</f>
        <v>0</v>
      </c>
      <c r="X130" s="20"/>
      <c r="Y130" s="20">
        <v>290000</v>
      </c>
      <c r="Z130" s="20"/>
      <c r="AA130" s="20">
        <v>116000</v>
      </c>
      <c r="AB130" s="20"/>
      <c r="AC130" s="20"/>
      <c r="AD130" s="20"/>
      <c r="AE130" s="20"/>
      <c r="AF130" s="9">
        <f>SUM(X130:AE130)</f>
        <v>406000</v>
      </c>
      <c r="AG130" s="20"/>
      <c r="AH130" s="20">
        <v>195000</v>
      </c>
      <c r="AI130" s="20">
        <v>96000</v>
      </c>
      <c r="AJ130" s="20">
        <v>20000</v>
      </c>
      <c r="AK130" s="20"/>
      <c r="AL130" s="20"/>
      <c r="AM130" s="20"/>
      <c r="AN130" s="20"/>
      <c r="AO130" s="21">
        <f>SUM(AG130:AN130)</f>
        <v>311000</v>
      </c>
      <c r="AP130" s="25"/>
      <c r="AQ130" s="20"/>
      <c r="AR130" s="20"/>
      <c r="AS130" s="20"/>
      <c r="AT130" s="20"/>
      <c r="AU130" s="21">
        <f>SUM(AP130:AT130)</f>
        <v>0</v>
      </c>
      <c r="AV130" s="25"/>
      <c r="AW130" s="21"/>
      <c r="AX130" s="21"/>
      <c r="AY130" s="21"/>
      <c r="AZ130" s="21"/>
      <c r="BA130" s="21">
        <f>SUM(AV130:AZ130)</f>
        <v>0</v>
      </c>
      <c r="BB130" s="25"/>
      <c r="BC130" s="25"/>
      <c r="BD130" s="25"/>
      <c r="BE130" s="25"/>
      <c r="BF130" s="20"/>
      <c r="BG130" s="20"/>
      <c r="BH130" s="20"/>
      <c r="BI130" s="20"/>
      <c r="BJ130" s="21">
        <f>SUM(BB130:BI130)</f>
        <v>0</v>
      </c>
      <c r="BK130" s="4">
        <f>F130+O130+X130+AG130+BB130</f>
        <v>0</v>
      </c>
      <c r="BL130" s="4">
        <f>G130+P130+Y130+AH130+BC130</f>
        <v>640000</v>
      </c>
      <c r="BM130" s="4">
        <f>H130+Q130+Z130+AI130+BD130</f>
        <v>96000</v>
      </c>
      <c r="BN130" s="4">
        <f>I130+R130+AA130+AJ130+AP130+AV130+BE130</f>
        <v>226000</v>
      </c>
      <c r="BO130" s="94">
        <f>J130+S130+AB130+AK130+AQ130+AW130+BF130</f>
        <v>0</v>
      </c>
      <c r="BP130" s="94">
        <f>K130+T130+AC130+AL130+AR130+AX130+BG130</f>
        <v>0</v>
      </c>
      <c r="BQ130" s="94">
        <f>L130+U130+AD130+AM130+AS130+AY130+BH130</f>
        <v>0</v>
      </c>
      <c r="BR130" s="94">
        <f>M130+V130+AE130+AN130+AT130+AZ130+BI130</f>
        <v>0</v>
      </c>
      <c r="BS130" s="9">
        <f>SUM(BK130:BR130)</f>
        <v>962000</v>
      </c>
    </row>
    <row r="131" spans="1:71" s="38" customFormat="1">
      <c r="A131" s="34"/>
      <c r="B131" s="34"/>
      <c r="C131" s="35" t="s">
        <v>241</v>
      </c>
      <c r="D131" s="37"/>
      <c r="E131" s="37"/>
      <c r="F131" s="37">
        <f>F130</f>
        <v>0</v>
      </c>
      <c r="G131" s="37">
        <f t="shared" ref="G131:BS131" si="330">G130</f>
        <v>155000</v>
      </c>
      <c r="H131" s="37">
        <f t="shared" si="330"/>
        <v>0</v>
      </c>
      <c r="I131" s="37">
        <f t="shared" si="308"/>
        <v>90000</v>
      </c>
      <c r="J131" s="37">
        <f t="shared" si="330"/>
        <v>0</v>
      </c>
      <c r="K131" s="37">
        <f t="shared" si="330"/>
        <v>0</v>
      </c>
      <c r="L131" s="37">
        <f t="shared" si="330"/>
        <v>0</v>
      </c>
      <c r="M131" s="37">
        <f t="shared" ref="M131" si="331">M130</f>
        <v>0</v>
      </c>
      <c r="N131" s="37">
        <f t="shared" si="330"/>
        <v>245000</v>
      </c>
      <c r="O131" s="37">
        <f t="shared" si="330"/>
        <v>0</v>
      </c>
      <c r="P131" s="37">
        <f t="shared" si="330"/>
        <v>0</v>
      </c>
      <c r="Q131" s="37">
        <f t="shared" si="330"/>
        <v>0</v>
      </c>
      <c r="R131" s="37">
        <f t="shared" si="310"/>
        <v>0</v>
      </c>
      <c r="S131" s="37">
        <f t="shared" si="330"/>
        <v>0</v>
      </c>
      <c r="T131" s="37">
        <f t="shared" si="330"/>
        <v>0</v>
      </c>
      <c r="U131" s="37">
        <f t="shared" si="330"/>
        <v>0</v>
      </c>
      <c r="V131" s="37">
        <f t="shared" ref="V131" si="332">V130</f>
        <v>0</v>
      </c>
      <c r="W131" s="37">
        <f t="shared" si="330"/>
        <v>0</v>
      </c>
      <c r="X131" s="37">
        <f t="shared" si="330"/>
        <v>0</v>
      </c>
      <c r="Y131" s="37">
        <f t="shared" si="330"/>
        <v>290000</v>
      </c>
      <c r="Z131" s="37">
        <f t="shared" si="330"/>
        <v>0</v>
      </c>
      <c r="AA131" s="37">
        <f t="shared" si="313"/>
        <v>116000</v>
      </c>
      <c r="AB131" s="37">
        <f t="shared" si="313"/>
        <v>0</v>
      </c>
      <c r="AC131" s="37">
        <f t="shared" si="313"/>
        <v>0</v>
      </c>
      <c r="AD131" s="37">
        <f t="shared" ref="AD131:AE131" si="333">SUM(AD130)</f>
        <v>0</v>
      </c>
      <c r="AE131" s="37">
        <f t="shared" si="333"/>
        <v>0</v>
      </c>
      <c r="AF131" s="37">
        <f t="shared" si="330"/>
        <v>406000</v>
      </c>
      <c r="AG131" s="37">
        <f t="shared" si="330"/>
        <v>0</v>
      </c>
      <c r="AH131" s="37">
        <f t="shared" si="330"/>
        <v>195000</v>
      </c>
      <c r="AI131" s="37">
        <f t="shared" si="330"/>
        <v>96000</v>
      </c>
      <c r="AJ131" s="37">
        <f t="shared" si="316"/>
        <v>20000</v>
      </c>
      <c r="AK131" s="37">
        <f t="shared" si="330"/>
        <v>0</v>
      </c>
      <c r="AL131" s="37">
        <f t="shared" si="330"/>
        <v>0</v>
      </c>
      <c r="AM131" s="37">
        <f t="shared" si="330"/>
        <v>0</v>
      </c>
      <c r="AN131" s="37">
        <f t="shared" ref="AN131" si="334">AN130</f>
        <v>0</v>
      </c>
      <c r="AO131" s="37">
        <f t="shared" si="330"/>
        <v>311000</v>
      </c>
      <c r="AP131" s="37">
        <f t="shared" si="319"/>
        <v>0</v>
      </c>
      <c r="AQ131" s="37">
        <f t="shared" si="330"/>
        <v>0</v>
      </c>
      <c r="AR131" s="37">
        <f t="shared" si="330"/>
        <v>0</v>
      </c>
      <c r="AS131" s="37">
        <f t="shared" si="330"/>
        <v>0</v>
      </c>
      <c r="AT131" s="37">
        <f t="shared" ref="AT131" si="335">AT130</f>
        <v>0</v>
      </c>
      <c r="AU131" s="37">
        <f t="shared" si="330"/>
        <v>0</v>
      </c>
      <c r="AV131" s="37">
        <f t="shared" si="322"/>
        <v>0</v>
      </c>
      <c r="AW131" s="37">
        <f t="shared" si="330"/>
        <v>0</v>
      </c>
      <c r="AX131" s="37">
        <f t="shared" si="330"/>
        <v>0</v>
      </c>
      <c r="AY131" s="37">
        <f t="shared" si="330"/>
        <v>0</v>
      </c>
      <c r="AZ131" s="37">
        <f t="shared" ref="AZ131" si="336">AZ130</f>
        <v>0</v>
      </c>
      <c r="BA131" s="37">
        <f t="shared" si="330"/>
        <v>0</v>
      </c>
      <c r="BB131" s="37">
        <f t="shared" si="330"/>
        <v>0</v>
      </c>
      <c r="BC131" s="37">
        <f t="shared" si="330"/>
        <v>0</v>
      </c>
      <c r="BD131" s="37">
        <f t="shared" si="330"/>
        <v>0</v>
      </c>
      <c r="BE131" s="37">
        <f t="shared" si="325"/>
        <v>0</v>
      </c>
      <c r="BF131" s="37">
        <f t="shared" si="330"/>
        <v>0</v>
      </c>
      <c r="BG131" s="37">
        <f t="shared" si="330"/>
        <v>0</v>
      </c>
      <c r="BH131" s="37">
        <f t="shared" si="330"/>
        <v>0</v>
      </c>
      <c r="BI131" s="37">
        <f t="shared" ref="BI131" si="337">BI130</f>
        <v>0</v>
      </c>
      <c r="BJ131" s="37">
        <f t="shared" si="330"/>
        <v>0</v>
      </c>
      <c r="BK131" s="37">
        <f t="shared" si="330"/>
        <v>0</v>
      </c>
      <c r="BL131" s="37">
        <f t="shared" si="330"/>
        <v>640000</v>
      </c>
      <c r="BM131" s="37">
        <f t="shared" si="330"/>
        <v>96000</v>
      </c>
      <c r="BN131" s="37">
        <f t="shared" si="330"/>
        <v>226000</v>
      </c>
      <c r="BO131" s="37">
        <f t="shared" si="330"/>
        <v>0</v>
      </c>
      <c r="BP131" s="37">
        <f t="shared" si="330"/>
        <v>0</v>
      </c>
      <c r="BQ131" s="37">
        <f t="shared" si="330"/>
        <v>0</v>
      </c>
      <c r="BR131" s="37">
        <f t="shared" ref="BR131" si="338">BR130</f>
        <v>0</v>
      </c>
      <c r="BS131" s="37">
        <f t="shared" si="330"/>
        <v>962000</v>
      </c>
    </row>
    <row r="132" spans="1:71" ht="47.25">
      <c r="A132" s="185" t="s">
        <v>61</v>
      </c>
      <c r="B132" s="8">
        <v>1</v>
      </c>
      <c r="C132" s="1" t="s">
        <v>242</v>
      </c>
      <c r="D132" s="4" t="s">
        <v>243</v>
      </c>
      <c r="E132" s="4" t="s">
        <v>61</v>
      </c>
      <c r="F132" s="4"/>
      <c r="G132" s="4"/>
      <c r="H132" s="4">
        <v>155000</v>
      </c>
      <c r="I132" s="4"/>
      <c r="J132" s="4"/>
      <c r="K132" s="4"/>
      <c r="L132" s="4"/>
      <c r="M132" s="4"/>
      <c r="N132" s="9">
        <f t="shared" ref="N132:N147" si="339">SUM(F132:M132)</f>
        <v>155000</v>
      </c>
      <c r="O132" s="4"/>
      <c r="P132" s="4"/>
      <c r="Q132" s="4"/>
      <c r="R132" s="4"/>
      <c r="S132" s="4"/>
      <c r="T132" s="4"/>
      <c r="U132" s="4"/>
      <c r="V132" s="4"/>
      <c r="W132" s="9">
        <f t="shared" ref="W132:W147" si="340">SUM(O132:V132)</f>
        <v>0</v>
      </c>
      <c r="X132" s="20"/>
      <c r="Y132" s="20"/>
      <c r="Z132" s="4">
        <v>290000</v>
      </c>
      <c r="AA132" s="20"/>
      <c r="AB132" s="20"/>
      <c r="AC132" s="20"/>
      <c r="AD132" s="20"/>
      <c r="AE132" s="20"/>
      <c r="AF132" s="9">
        <f t="shared" ref="AF132:AF147" si="341">SUM(X132:AE132)</f>
        <v>290000</v>
      </c>
      <c r="AG132" s="20"/>
      <c r="AH132" s="25">
        <v>195000</v>
      </c>
      <c r="AI132" s="20"/>
      <c r="AJ132" s="20"/>
      <c r="AK132" s="20"/>
      <c r="AL132" s="20"/>
      <c r="AM132" s="20"/>
      <c r="AN132" s="20"/>
      <c r="AO132" s="21">
        <f t="shared" ref="AO132:AO147" si="342">SUM(AG132:AN132)</f>
        <v>195000</v>
      </c>
      <c r="AP132" s="25"/>
      <c r="AQ132" s="20"/>
      <c r="AR132" s="20"/>
      <c r="AS132" s="20"/>
      <c r="AT132" s="20"/>
      <c r="AU132" s="21">
        <f t="shared" ref="AU132:AU147" si="343">SUM(AP132:AT132)</f>
        <v>0</v>
      </c>
      <c r="AV132" s="25"/>
      <c r="AW132" s="20"/>
      <c r="AX132" s="20"/>
      <c r="AY132" s="20"/>
      <c r="AZ132" s="20"/>
      <c r="BA132" s="21">
        <f t="shared" ref="BA132:BA147" si="344">SUM(AV132:AZ132)</f>
        <v>0</v>
      </c>
      <c r="BB132" s="25"/>
      <c r="BC132" s="24">
        <f>100000+257600</f>
        <v>357600</v>
      </c>
      <c r="BD132" s="25"/>
      <c r="BE132" s="25"/>
      <c r="BF132" s="20"/>
      <c r="BG132" s="20"/>
      <c r="BH132" s="20"/>
      <c r="BI132" s="20"/>
      <c r="BJ132" s="21">
        <f t="shared" ref="BJ132:BJ147" si="345">SUM(BB132:BI132)</f>
        <v>357600</v>
      </c>
      <c r="BK132" s="4">
        <f t="shared" ref="BK132:BK147" si="346">F132+O132+X132+AG132+BB132</f>
        <v>0</v>
      </c>
      <c r="BL132" s="4">
        <f t="shared" ref="BL132:BL147" si="347">G132+P132+Y132+AH132+BC132</f>
        <v>552600</v>
      </c>
      <c r="BM132" s="4">
        <f t="shared" ref="BM132:BM147" si="348">H132+Q132+Z132+AI132+BD132</f>
        <v>445000</v>
      </c>
      <c r="BN132" s="4">
        <f t="shared" ref="BN132:BN147" si="349">I132+R132+AA132+AJ132+AP132+AV132+BE132</f>
        <v>0</v>
      </c>
      <c r="BO132" s="94">
        <f t="shared" ref="BO132:BO147" si="350">J132+S132+AB132+AK132+AQ132+AW132+BF132</f>
        <v>0</v>
      </c>
      <c r="BP132" s="94">
        <f t="shared" ref="BP132:BP147" si="351">K132+T132+AC132+AL132+AR132+AX132+BG132</f>
        <v>0</v>
      </c>
      <c r="BQ132" s="94">
        <f t="shared" ref="BQ132:BQ147" si="352">L132+U132+AD132+AM132+AS132+AY132+BH132</f>
        <v>0</v>
      </c>
      <c r="BR132" s="94">
        <f t="shared" ref="BR132:BR147" si="353">M132+V132+AE132+AN132+AT132+AZ132+BI132</f>
        <v>0</v>
      </c>
      <c r="BS132" s="9">
        <f t="shared" ref="BS132:BS147" si="354">SUM(BK132:BR132)</f>
        <v>997600</v>
      </c>
    </row>
    <row r="133" spans="1:71">
      <c r="A133" s="186"/>
      <c r="B133" s="8">
        <v>2</v>
      </c>
      <c r="C133" s="1" t="s">
        <v>245</v>
      </c>
      <c r="D133" s="4" t="s">
        <v>246</v>
      </c>
      <c r="E133" s="4" t="s">
        <v>61</v>
      </c>
      <c r="F133" s="4"/>
      <c r="G133" s="4"/>
      <c r="H133" s="5"/>
      <c r="I133" s="4"/>
      <c r="J133" s="4"/>
      <c r="K133" s="4"/>
      <c r="L133" s="4"/>
      <c r="M133" s="4"/>
      <c r="N133" s="9">
        <f t="shared" si="339"/>
        <v>0</v>
      </c>
      <c r="O133" s="76"/>
      <c r="P133" s="76">
        <v>1690000</v>
      </c>
      <c r="Q133" s="76">
        <v>1290000</v>
      </c>
      <c r="R133" s="76">
        <v>150000</v>
      </c>
      <c r="S133" s="4"/>
      <c r="T133" s="4"/>
      <c r="U133" s="4"/>
      <c r="V133" s="4"/>
      <c r="W133" s="9">
        <f t="shared" si="340"/>
        <v>3130000</v>
      </c>
      <c r="X133" s="20"/>
      <c r="Y133" s="26">
        <v>1389000</v>
      </c>
      <c r="Z133" s="4">
        <v>1080000</v>
      </c>
      <c r="AA133" s="22">
        <v>420000</v>
      </c>
      <c r="AB133" s="22"/>
      <c r="AC133" s="22"/>
      <c r="AD133" s="22"/>
      <c r="AE133" s="22"/>
      <c r="AF133" s="9">
        <f t="shared" si="341"/>
        <v>2889000</v>
      </c>
      <c r="AG133" s="20"/>
      <c r="AH133" s="25"/>
      <c r="AI133" s="20"/>
      <c r="AJ133" s="20"/>
      <c r="AK133" s="20"/>
      <c r="AL133" s="20"/>
      <c r="AM133" s="20"/>
      <c r="AN133" s="20"/>
      <c r="AO133" s="21">
        <f t="shared" si="342"/>
        <v>0</v>
      </c>
      <c r="AP133" s="25"/>
      <c r="AQ133" s="20"/>
      <c r="AR133" s="20"/>
      <c r="AS133" s="20"/>
      <c r="AT133" s="20"/>
      <c r="AU133" s="21">
        <f t="shared" si="343"/>
        <v>0</v>
      </c>
      <c r="AV133" s="24">
        <v>900000</v>
      </c>
      <c r="AW133" s="20">
        <f>300000+300000+300000+300000+200000</f>
        <v>1400000</v>
      </c>
      <c r="AX133" s="20">
        <f>2225000+765000</f>
        <v>2990000</v>
      </c>
      <c r="AY133" s="20">
        <f>1275000+510000+255000+255000+510000+255000</f>
        <v>3060000</v>
      </c>
      <c r="AZ133" s="20">
        <f>765000+510000+255000+255000+510000+510000+255000</f>
        <v>3060000</v>
      </c>
      <c r="BA133" s="21">
        <f t="shared" si="344"/>
        <v>11410000</v>
      </c>
      <c r="BB133" s="25"/>
      <c r="BC133" s="25">
        <v>100000</v>
      </c>
      <c r="BD133" s="25">
        <v>540000</v>
      </c>
      <c r="BE133" s="25"/>
      <c r="BF133" s="20"/>
      <c r="BG133" s="20"/>
      <c r="BH133" s="20"/>
      <c r="BI133" s="20"/>
      <c r="BJ133" s="21">
        <f t="shared" si="345"/>
        <v>640000</v>
      </c>
      <c r="BK133" s="4">
        <f t="shared" si="346"/>
        <v>0</v>
      </c>
      <c r="BL133" s="4">
        <f t="shared" si="347"/>
        <v>3179000</v>
      </c>
      <c r="BM133" s="4">
        <f t="shared" si="348"/>
        <v>2910000</v>
      </c>
      <c r="BN133" s="4">
        <f t="shared" si="349"/>
        <v>1470000</v>
      </c>
      <c r="BO133" s="94">
        <f t="shared" si="350"/>
        <v>1400000</v>
      </c>
      <c r="BP133" s="94">
        <f t="shared" si="351"/>
        <v>2990000</v>
      </c>
      <c r="BQ133" s="94">
        <f t="shared" si="352"/>
        <v>3060000</v>
      </c>
      <c r="BR133" s="94">
        <f t="shared" si="353"/>
        <v>3060000</v>
      </c>
      <c r="BS133" s="9">
        <f t="shared" si="354"/>
        <v>18069000</v>
      </c>
    </row>
    <row r="134" spans="1:71">
      <c r="A134" s="186"/>
      <c r="B134" s="8">
        <v>3</v>
      </c>
      <c r="C134" s="1" t="s">
        <v>247</v>
      </c>
      <c r="D134" s="5" t="s">
        <v>262</v>
      </c>
      <c r="E134" s="4" t="s">
        <v>61</v>
      </c>
      <c r="F134" s="4"/>
      <c r="G134" s="4"/>
      <c r="H134" s="5"/>
      <c r="I134" s="4"/>
      <c r="J134" s="4"/>
      <c r="K134" s="4"/>
      <c r="L134" s="4"/>
      <c r="M134" s="4"/>
      <c r="N134" s="9">
        <f t="shared" si="339"/>
        <v>0</v>
      </c>
      <c r="O134" s="4"/>
      <c r="P134" s="72"/>
      <c r="Q134" s="4"/>
      <c r="R134" s="4"/>
      <c r="S134" s="4"/>
      <c r="T134" s="4"/>
      <c r="U134" s="4"/>
      <c r="V134" s="4"/>
      <c r="W134" s="9">
        <f t="shared" si="340"/>
        <v>0</v>
      </c>
      <c r="X134" s="20"/>
      <c r="Y134" s="20"/>
      <c r="Z134" s="4"/>
      <c r="AA134" s="20"/>
      <c r="AB134" s="20"/>
      <c r="AC134" s="20"/>
      <c r="AD134" s="20"/>
      <c r="AE134" s="20"/>
      <c r="AF134" s="9">
        <f t="shared" si="341"/>
        <v>0</v>
      </c>
      <c r="AG134" s="20"/>
      <c r="AH134" s="25">
        <v>438200</v>
      </c>
      <c r="AI134" s="25">
        <v>274300</v>
      </c>
      <c r="AJ134" s="24">
        <v>959000</v>
      </c>
      <c r="AK134" s="20">
        <f>70000+210000+210000</f>
        <v>490000</v>
      </c>
      <c r="AL134" s="20">
        <f>1504775+271600+135800</f>
        <v>1912175</v>
      </c>
      <c r="AM134" s="20">
        <v>1629600</v>
      </c>
      <c r="AN134" s="20">
        <v>1746000</v>
      </c>
      <c r="AO134" s="21">
        <f t="shared" si="342"/>
        <v>7449275</v>
      </c>
      <c r="AP134" s="25"/>
      <c r="AQ134" s="20"/>
      <c r="AR134" s="20"/>
      <c r="AS134" s="20"/>
      <c r="AT134" s="20"/>
      <c r="AU134" s="21">
        <f t="shared" si="343"/>
        <v>0</v>
      </c>
      <c r="AV134" s="25"/>
      <c r="AW134" s="20"/>
      <c r="AX134" s="20"/>
      <c r="AY134" s="20"/>
      <c r="AZ134" s="20"/>
      <c r="BA134" s="21">
        <f t="shared" si="344"/>
        <v>0</v>
      </c>
      <c r="BB134" s="25"/>
      <c r="BC134" s="25">
        <v>100000</v>
      </c>
      <c r="BD134" s="25"/>
      <c r="BE134" s="25">
        <v>120000</v>
      </c>
      <c r="BF134" s="20"/>
      <c r="BG134" s="20"/>
      <c r="BH134" s="20"/>
      <c r="BI134" s="20"/>
      <c r="BJ134" s="21">
        <f t="shared" si="345"/>
        <v>220000</v>
      </c>
      <c r="BK134" s="4">
        <f t="shared" si="346"/>
        <v>0</v>
      </c>
      <c r="BL134" s="4">
        <f t="shared" si="347"/>
        <v>538200</v>
      </c>
      <c r="BM134" s="4">
        <f t="shared" si="348"/>
        <v>274300</v>
      </c>
      <c r="BN134" s="4">
        <f t="shared" si="349"/>
        <v>1079000</v>
      </c>
      <c r="BO134" s="94">
        <f t="shared" si="350"/>
        <v>490000</v>
      </c>
      <c r="BP134" s="94">
        <f t="shared" si="351"/>
        <v>1912175</v>
      </c>
      <c r="BQ134" s="94">
        <f t="shared" si="352"/>
        <v>1629600</v>
      </c>
      <c r="BR134" s="94">
        <f t="shared" si="353"/>
        <v>1746000</v>
      </c>
      <c r="BS134" s="9">
        <f t="shared" si="354"/>
        <v>7669275</v>
      </c>
    </row>
    <row r="135" spans="1:71" ht="31.5">
      <c r="A135" s="186"/>
      <c r="B135" s="8">
        <v>4</v>
      </c>
      <c r="C135" s="1" t="s">
        <v>248</v>
      </c>
      <c r="D135" s="46" t="s">
        <v>249</v>
      </c>
      <c r="E135" s="4" t="s">
        <v>61</v>
      </c>
      <c r="F135" s="4"/>
      <c r="G135" s="4"/>
      <c r="H135" s="5"/>
      <c r="I135" s="4"/>
      <c r="J135" s="4"/>
      <c r="K135" s="4"/>
      <c r="L135" s="4"/>
      <c r="M135" s="4"/>
      <c r="N135" s="9">
        <f t="shared" si="339"/>
        <v>0</v>
      </c>
      <c r="O135" s="76">
        <v>290000</v>
      </c>
      <c r="P135" s="76">
        <v>1830000</v>
      </c>
      <c r="Q135" s="76">
        <v>1500000</v>
      </c>
      <c r="R135" s="76">
        <v>250000</v>
      </c>
      <c r="S135" s="4"/>
      <c r="T135" s="4"/>
      <c r="U135" s="4"/>
      <c r="V135" s="4"/>
      <c r="W135" s="9">
        <f t="shared" si="340"/>
        <v>3870000</v>
      </c>
      <c r="X135" s="20">
        <v>290000</v>
      </c>
      <c r="Y135" s="26">
        <v>2142000</v>
      </c>
      <c r="Z135" s="4">
        <v>840000</v>
      </c>
      <c r="AA135" s="22">
        <v>540000</v>
      </c>
      <c r="AB135" s="22"/>
      <c r="AC135" s="22"/>
      <c r="AD135" s="22"/>
      <c r="AE135" s="22"/>
      <c r="AF135" s="9">
        <f t="shared" si="341"/>
        <v>3812000</v>
      </c>
      <c r="AG135" s="20">
        <v>195000</v>
      </c>
      <c r="AH135" s="25">
        <v>1226050</v>
      </c>
      <c r="AI135" s="25">
        <v>607150</v>
      </c>
      <c r="AJ135" s="24">
        <v>240000</v>
      </c>
      <c r="AK135" s="20"/>
      <c r="AL135" s="20"/>
      <c r="AM135" s="20"/>
      <c r="AN135" s="20"/>
      <c r="AO135" s="21">
        <f t="shared" si="342"/>
        <v>2268200</v>
      </c>
      <c r="AP135" s="25"/>
      <c r="AQ135" s="20"/>
      <c r="AR135" s="20"/>
      <c r="AS135" s="20"/>
      <c r="AT135" s="20"/>
      <c r="AU135" s="21">
        <f t="shared" si="343"/>
        <v>0</v>
      </c>
      <c r="AV135" s="25"/>
      <c r="AW135" s="20"/>
      <c r="AX135" s="20">
        <v>1266500</v>
      </c>
      <c r="AY135" s="20">
        <f>255000+765000+510000+255000+255000+510000+255000</f>
        <v>2805000</v>
      </c>
      <c r="AZ135" s="20">
        <f>765000+255000+255000+510000+510000+510000+255000</f>
        <v>3060000</v>
      </c>
      <c r="BA135" s="21">
        <f t="shared" si="344"/>
        <v>7131500</v>
      </c>
      <c r="BB135" s="25"/>
      <c r="BC135" s="25">
        <v>100000</v>
      </c>
      <c r="BD135" s="25">
        <v>522000</v>
      </c>
      <c r="BE135" s="25"/>
      <c r="BF135" s="20"/>
      <c r="BG135" s="20"/>
      <c r="BH135" s="20"/>
      <c r="BI135" s="20"/>
      <c r="BJ135" s="21">
        <f t="shared" si="345"/>
        <v>622000</v>
      </c>
      <c r="BK135" s="4">
        <f t="shared" si="346"/>
        <v>775000</v>
      </c>
      <c r="BL135" s="4">
        <f t="shared" si="347"/>
        <v>5298050</v>
      </c>
      <c r="BM135" s="4">
        <f t="shared" si="348"/>
        <v>3469150</v>
      </c>
      <c r="BN135" s="4">
        <f t="shared" si="349"/>
        <v>1030000</v>
      </c>
      <c r="BO135" s="94">
        <f t="shared" si="350"/>
        <v>0</v>
      </c>
      <c r="BP135" s="94">
        <f t="shared" si="351"/>
        <v>1266500</v>
      </c>
      <c r="BQ135" s="94">
        <f t="shared" si="352"/>
        <v>2805000</v>
      </c>
      <c r="BR135" s="94">
        <f t="shared" si="353"/>
        <v>3060000</v>
      </c>
      <c r="BS135" s="9">
        <f t="shared" si="354"/>
        <v>17703700</v>
      </c>
    </row>
    <row r="136" spans="1:71" ht="31.5">
      <c r="A136" s="186"/>
      <c r="B136" s="8">
        <v>5</v>
      </c>
      <c r="C136" s="1" t="s">
        <v>250</v>
      </c>
      <c r="D136" s="4" t="s">
        <v>251</v>
      </c>
      <c r="E136" s="4" t="s">
        <v>61</v>
      </c>
      <c r="F136" s="4"/>
      <c r="G136" s="4"/>
      <c r="H136" s="5"/>
      <c r="I136" s="4"/>
      <c r="J136" s="4"/>
      <c r="K136" s="4"/>
      <c r="L136" s="4"/>
      <c r="M136" s="4"/>
      <c r="N136" s="9">
        <f t="shared" si="339"/>
        <v>0</v>
      </c>
      <c r="O136" s="76"/>
      <c r="P136" s="76">
        <v>290000</v>
      </c>
      <c r="Q136" s="76"/>
      <c r="R136" s="76"/>
      <c r="S136" s="4"/>
      <c r="T136" s="4"/>
      <c r="U136" s="4"/>
      <c r="V136" s="4">
        <f>360000+110000+110000+130000+130000+310000+380000</f>
        <v>1530000</v>
      </c>
      <c r="W136" s="9">
        <f t="shared" si="340"/>
        <v>1820000</v>
      </c>
      <c r="X136" s="20"/>
      <c r="Y136" s="20"/>
      <c r="Z136" s="4"/>
      <c r="AA136" s="20"/>
      <c r="AB136" s="20"/>
      <c r="AC136" s="20"/>
      <c r="AD136" s="20"/>
      <c r="AE136" s="20"/>
      <c r="AF136" s="9">
        <f t="shared" si="341"/>
        <v>0</v>
      </c>
      <c r="AG136" s="20"/>
      <c r="AH136" s="25"/>
      <c r="AI136" s="25"/>
      <c r="AJ136" s="24"/>
      <c r="AK136" s="20"/>
      <c r="AL136" s="20"/>
      <c r="AM136" s="20"/>
      <c r="AN136" s="20"/>
      <c r="AO136" s="21">
        <f t="shared" si="342"/>
        <v>0</v>
      </c>
      <c r="AP136" s="25"/>
      <c r="AQ136" s="20"/>
      <c r="AR136" s="20"/>
      <c r="AS136" s="20"/>
      <c r="AT136" s="20"/>
      <c r="AU136" s="21">
        <f t="shared" si="343"/>
        <v>0</v>
      </c>
      <c r="AV136" s="25"/>
      <c r="AW136" s="20"/>
      <c r="AX136" s="20"/>
      <c r="AY136" s="20"/>
      <c r="AZ136" s="20"/>
      <c r="BA136" s="21">
        <f t="shared" si="344"/>
        <v>0</v>
      </c>
      <c r="BB136" s="25"/>
      <c r="BC136" s="25"/>
      <c r="BD136" s="25"/>
      <c r="BE136" s="25"/>
      <c r="BF136" s="20"/>
      <c r="BG136" s="20"/>
      <c r="BH136" s="20"/>
      <c r="BI136" s="20"/>
      <c r="BJ136" s="21">
        <f t="shared" si="345"/>
        <v>0</v>
      </c>
      <c r="BK136" s="4">
        <f t="shared" si="346"/>
        <v>0</v>
      </c>
      <c r="BL136" s="4">
        <f t="shared" si="347"/>
        <v>290000</v>
      </c>
      <c r="BM136" s="4">
        <f t="shared" si="348"/>
        <v>0</v>
      </c>
      <c r="BN136" s="4">
        <f t="shared" si="349"/>
        <v>0</v>
      </c>
      <c r="BO136" s="94">
        <f t="shared" si="350"/>
        <v>0</v>
      </c>
      <c r="BP136" s="94">
        <f t="shared" si="351"/>
        <v>0</v>
      </c>
      <c r="BQ136" s="94">
        <f t="shared" si="352"/>
        <v>0</v>
      </c>
      <c r="BR136" s="94">
        <f t="shared" si="353"/>
        <v>1530000</v>
      </c>
      <c r="BS136" s="9">
        <f t="shared" si="354"/>
        <v>1820000</v>
      </c>
    </row>
    <row r="137" spans="1:71" ht="47.25">
      <c r="A137" s="186"/>
      <c r="B137" s="8">
        <v>6</v>
      </c>
      <c r="C137" s="1" t="s">
        <v>252</v>
      </c>
      <c r="D137" s="4" t="s">
        <v>253</v>
      </c>
      <c r="E137" s="4" t="s">
        <v>61</v>
      </c>
      <c r="F137" s="4">
        <v>155000</v>
      </c>
      <c r="G137" s="4"/>
      <c r="H137" s="4">
        <f>891000+110000</f>
        <v>1001000</v>
      </c>
      <c r="I137" s="4"/>
      <c r="J137" s="4"/>
      <c r="K137" s="4"/>
      <c r="L137" s="4"/>
      <c r="M137" s="4"/>
      <c r="N137" s="9">
        <f t="shared" si="339"/>
        <v>1156000</v>
      </c>
      <c r="O137" s="76">
        <v>290000</v>
      </c>
      <c r="P137" s="76"/>
      <c r="Q137" s="76">
        <v>1800000</v>
      </c>
      <c r="R137" s="76"/>
      <c r="S137" s="4"/>
      <c r="T137" s="4"/>
      <c r="U137" s="4"/>
      <c r="V137" s="4"/>
      <c r="W137" s="9">
        <f t="shared" si="340"/>
        <v>2090000</v>
      </c>
      <c r="X137" s="20"/>
      <c r="Y137" s="20"/>
      <c r="Z137" s="4"/>
      <c r="AA137" s="20"/>
      <c r="AB137" s="20"/>
      <c r="AC137" s="20"/>
      <c r="AD137" s="20"/>
      <c r="AE137" s="20"/>
      <c r="AF137" s="9">
        <f t="shared" si="341"/>
        <v>0</v>
      </c>
      <c r="AG137" s="20"/>
      <c r="AH137" s="20"/>
      <c r="AI137" s="20"/>
      <c r="AJ137" s="20"/>
      <c r="AK137" s="20"/>
      <c r="AL137" s="20"/>
      <c r="AM137" s="20"/>
      <c r="AN137" s="20"/>
      <c r="AO137" s="21">
        <f t="shared" si="342"/>
        <v>0</v>
      </c>
      <c r="AP137" s="25"/>
      <c r="AQ137" s="20"/>
      <c r="AR137" s="20"/>
      <c r="AS137" s="20"/>
      <c r="AT137" s="20"/>
      <c r="AU137" s="21">
        <f t="shared" si="343"/>
        <v>0</v>
      </c>
      <c r="AV137" s="25"/>
      <c r="AW137" s="20"/>
      <c r="AX137" s="20"/>
      <c r="AY137" s="20"/>
      <c r="AZ137" s="20"/>
      <c r="BA137" s="21">
        <f t="shared" si="344"/>
        <v>0</v>
      </c>
      <c r="BB137" s="25"/>
      <c r="BC137" s="24">
        <v>100000</v>
      </c>
      <c r="BD137" s="25"/>
      <c r="BE137" s="25"/>
      <c r="BF137" s="20"/>
      <c r="BG137" s="20"/>
      <c r="BH137" s="20"/>
      <c r="BI137" s="20"/>
      <c r="BJ137" s="21">
        <f t="shared" si="345"/>
        <v>100000</v>
      </c>
      <c r="BK137" s="4">
        <f t="shared" si="346"/>
        <v>445000</v>
      </c>
      <c r="BL137" s="4">
        <f t="shared" si="347"/>
        <v>100000</v>
      </c>
      <c r="BM137" s="4">
        <f t="shared" si="348"/>
        <v>2801000</v>
      </c>
      <c r="BN137" s="4">
        <f t="shared" si="349"/>
        <v>0</v>
      </c>
      <c r="BO137" s="94">
        <f t="shared" si="350"/>
        <v>0</v>
      </c>
      <c r="BP137" s="94">
        <f t="shared" si="351"/>
        <v>0</v>
      </c>
      <c r="BQ137" s="94">
        <f t="shared" si="352"/>
        <v>0</v>
      </c>
      <c r="BR137" s="94">
        <f t="shared" si="353"/>
        <v>0</v>
      </c>
      <c r="BS137" s="9">
        <f t="shared" si="354"/>
        <v>3346000</v>
      </c>
    </row>
    <row r="138" spans="1:71" ht="31.5">
      <c r="A138" s="186"/>
      <c r="B138" s="8">
        <v>7</v>
      </c>
      <c r="C138" s="1" t="s">
        <v>2</v>
      </c>
      <c r="D138" s="43" t="s">
        <v>243</v>
      </c>
      <c r="E138" s="4" t="s">
        <v>61</v>
      </c>
      <c r="F138" s="4"/>
      <c r="G138" s="4"/>
      <c r="H138" s="4"/>
      <c r="I138" s="4"/>
      <c r="J138" s="4"/>
      <c r="K138" s="4"/>
      <c r="L138" s="4"/>
      <c r="M138" s="4"/>
      <c r="N138" s="9">
        <f t="shared" si="339"/>
        <v>0</v>
      </c>
      <c r="O138" s="4"/>
      <c r="P138" s="72"/>
      <c r="Q138" s="4"/>
      <c r="R138" s="4"/>
      <c r="S138" s="4"/>
      <c r="T138" s="4"/>
      <c r="U138" s="4"/>
      <c r="V138" s="4"/>
      <c r="W138" s="9">
        <f t="shared" si="340"/>
        <v>0</v>
      </c>
      <c r="X138" s="20"/>
      <c r="Y138" s="20">
        <v>290000</v>
      </c>
      <c r="Z138" s="4">
        <v>-290000</v>
      </c>
      <c r="AA138" s="20"/>
      <c r="AB138" s="20"/>
      <c r="AC138" s="20"/>
      <c r="AD138" s="20"/>
      <c r="AE138" s="20"/>
      <c r="AF138" s="9">
        <f t="shared" si="341"/>
        <v>0</v>
      </c>
      <c r="AG138" s="20"/>
      <c r="AH138" s="25">
        <v>195000</v>
      </c>
      <c r="AI138" s="20"/>
      <c r="AJ138" s="20"/>
      <c r="AK138" s="20"/>
      <c r="AL138" s="20"/>
      <c r="AM138" s="20"/>
      <c r="AN138" s="20"/>
      <c r="AO138" s="21">
        <f t="shared" si="342"/>
        <v>195000</v>
      </c>
      <c r="AP138" s="25"/>
      <c r="AQ138" s="20"/>
      <c r="AR138" s="20"/>
      <c r="AS138" s="20"/>
      <c r="AT138" s="20"/>
      <c r="AU138" s="21">
        <f t="shared" si="343"/>
        <v>0</v>
      </c>
      <c r="AV138" s="25"/>
      <c r="AW138" s="20"/>
      <c r="AX138" s="20"/>
      <c r="AY138" s="20"/>
      <c r="AZ138" s="20"/>
      <c r="BA138" s="21">
        <f t="shared" si="344"/>
        <v>0</v>
      </c>
      <c r="BB138" s="25"/>
      <c r="BC138" s="25"/>
      <c r="BD138" s="25"/>
      <c r="BE138" s="25"/>
      <c r="BF138" s="20"/>
      <c r="BG138" s="20"/>
      <c r="BH138" s="20"/>
      <c r="BI138" s="20"/>
      <c r="BJ138" s="21">
        <f t="shared" si="345"/>
        <v>0</v>
      </c>
      <c r="BK138" s="4">
        <f t="shared" si="346"/>
        <v>0</v>
      </c>
      <c r="BL138" s="4">
        <f t="shared" si="347"/>
        <v>485000</v>
      </c>
      <c r="BM138" s="4">
        <f t="shared" si="348"/>
        <v>-290000</v>
      </c>
      <c r="BN138" s="4">
        <f t="shared" si="349"/>
        <v>0</v>
      </c>
      <c r="BO138" s="94">
        <f t="shared" si="350"/>
        <v>0</v>
      </c>
      <c r="BP138" s="94">
        <f t="shared" si="351"/>
        <v>0</v>
      </c>
      <c r="BQ138" s="94">
        <f t="shared" si="352"/>
        <v>0</v>
      </c>
      <c r="BR138" s="94">
        <f t="shared" si="353"/>
        <v>0</v>
      </c>
      <c r="BS138" s="9">
        <f t="shared" si="354"/>
        <v>195000</v>
      </c>
    </row>
    <row r="139" spans="1:71">
      <c r="A139" s="186"/>
      <c r="B139" s="8">
        <v>8</v>
      </c>
      <c r="C139" s="1" t="s">
        <v>254</v>
      </c>
      <c r="D139" s="41" t="s">
        <v>255</v>
      </c>
      <c r="E139" s="4" t="s">
        <v>61</v>
      </c>
      <c r="F139" s="4"/>
      <c r="G139" s="4"/>
      <c r="H139" s="4"/>
      <c r="I139" s="4"/>
      <c r="J139" s="4"/>
      <c r="K139" s="4"/>
      <c r="L139" s="4"/>
      <c r="M139" s="4"/>
      <c r="N139" s="9">
        <f t="shared" si="339"/>
        <v>0</v>
      </c>
      <c r="O139" s="76">
        <v>290000</v>
      </c>
      <c r="P139" s="76">
        <v>1200000</v>
      </c>
      <c r="Q139" s="76">
        <v>2060000</v>
      </c>
      <c r="R139" s="76">
        <v>250000</v>
      </c>
      <c r="S139" s="4"/>
      <c r="T139" s="4"/>
      <c r="U139" s="4"/>
      <c r="V139" s="4"/>
      <c r="W139" s="9">
        <f t="shared" si="340"/>
        <v>3800000</v>
      </c>
      <c r="X139" s="20"/>
      <c r="Y139" s="20">
        <v>290000</v>
      </c>
      <c r="Z139" s="4">
        <v>1008000</v>
      </c>
      <c r="AA139" s="22">
        <v>360000</v>
      </c>
      <c r="AB139" s="22"/>
      <c r="AC139" s="22"/>
      <c r="AD139" s="22"/>
      <c r="AE139" s="22"/>
      <c r="AF139" s="9">
        <f t="shared" si="341"/>
        <v>1658000</v>
      </c>
      <c r="AG139" s="20"/>
      <c r="AH139" s="25"/>
      <c r="AI139" s="20"/>
      <c r="AJ139" s="20"/>
      <c r="AK139" s="20"/>
      <c r="AL139" s="20"/>
      <c r="AM139" s="20"/>
      <c r="AN139" s="20"/>
      <c r="AO139" s="21">
        <f t="shared" si="342"/>
        <v>0</v>
      </c>
      <c r="AP139" s="25"/>
      <c r="AQ139" s="20"/>
      <c r="AR139" s="20"/>
      <c r="AS139" s="20"/>
      <c r="AT139" s="20"/>
      <c r="AU139" s="21">
        <f t="shared" si="343"/>
        <v>0</v>
      </c>
      <c r="AV139" s="24">
        <v>900000</v>
      </c>
      <c r="AW139" s="20">
        <f>300000+300000+300000+300000+200000</f>
        <v>1400000</v>
      </c>
      <c r="AX139" s="20">
        <v>1975000</v>
      </c>
      <c r="AY139" s="20">
        <f>1275000+765000+510000+255000+255000+255000+510000</f>
        <v>3825000</v>
      </c>
      <c r="AZ139" s="20">
        <f>765000+510000+255000+255000+510000+255000+510000</f>
        <v>3060000</v>
      </c>
      <c r="BA139" s="21">
        <f t="shared" si="344"/>
        <v>11160000</v>
      </c>
      <c r="BB139" s="25"/>
      <c r="BC139" s="25"/>
      <c r="BD139" s="25"/>
      <c r="BE139" s="25"/>
      <c r="BF139" s="20"/>
      <c r="BG139" s="20"/>
      <c r="BH139" s="20"/>
      <c r="BI139" s="20"/>
      <c r="BJ139" s="21">
        <f t="shared" si="345"/>
        <v>0</v>
      </c>
      <c r="BK139" s="4">
        <f t="shared" si="346"/>
        <v>290000</v>
      </c>
      <c r="BL139" s="4">
        <f t="shared" si="347"/>
        <v>1490000</v>
      </c>
      <c r="BM139" s="4">
        <f t="shared" si="348"/>
        <v>3068000</v>
      </c>
      <c r="BN139" s="4">
        <f t="shared" si="349"/>
        <v>1510000</v>
      </c>
      <c r="BO139" s="94">
        <f t="shared" si="350"/>
        <v>1400000</v>
      </c>
      <c r="BP139" s="94">
        <f t="shared" si="351"/>
        <v>1975000</v>
      </c>
      <c r="BQ139" s="94">
        <f t="shared" si="352"/>
        <v>3825000</v>
      </c>
      <c r="BR139" s="94">
        <f t="shared" si="353"/>
        <v>3060000</v>
      </c>
      <c r="BS139" s="9">
        <f t="shared" si="354"/>
        <v>16618000</v>
      </c>
    </row>
    <row r="140" spans="1:71">
      <c r="A140" s="186"/>
      <c r="B140" s="8"/>
      <c r="C140" s="1" t="s">
        <v>474</v>
      </c>
      <c r="D140" s="41"/>
      <c r="E140" s="4" t="s">
        <v>61</v>
      </c>
      <c r="F140" s="4"/>
      <c r="G140" s="4"/>
      <c r="H140" s="4"/>
      <c r="I140" s="4"/>
      <c r="J140" s="4"/>
      <c r="K140" s="4"/>
      <c r="L140" s="4"/>
      <c r="M140" s="4"/>
      <c r="N140" s="9">
        <f t="shared" si="339"/>
        <v>0</v>
      </c>
      <c r="O140" s="76"/>
      <c r="P140" s="76"/>
      <c r="Q140" s="76">
        <v>-200000</v>
      </c>
      <c r="R140" s="76"/>
      <c r="S140" s="4"/>
      <c r="T140" s="4"/>
      <c r="U140" s="4"/>
      <c r="V140" s="4"/>
      <c r="W140" s="9">
        <f t="shared" si="340"/>
        <v>-200000</v>
      </c>
      <c r="X140" s="20"/>
      <c r="Y140" s="20"/>
      <c r="Z140" s="4"/>
      <c r="AA140" s="22"/>
      <c r="AB140" s="22"/>
      <c r="AC140" s="22"/>
      <c r="AD140" s="22"/>
      <c r="AE140" s="22"/>
      <c r="AF140" s="9">
        <f t="shared" si="341"/>
        <v>0</v>
      </c>
      <c r="AG140" s="20"/>
      <c r="AH140" s="25"/>
      <c r="AI140" s="20"/>
      <c r="AJ140" s="20"/>
      <c r="AK140" s="20"/>
      <c r="AL140" s="20"/>
      <c r="AM140" s="20"/>
      <c r="AN140" s="20"/>
      <c r="AO140" s="21">
        <f t="shared" si="342"/>
        <v>0</v>
      </c>
      <c r="AP140" s="25"/>
      <c r="AQ140" s="20"/>
      <c r="AR140" s="20"/>
      <c r="AS140" s="20"/>
      <c r="AT140" s="20"/>
      <c r="AU140" s="21">
        <f t="shared" si="343"/>
        <v>0</v>
      </c>
      <c r="AV140" s="24"/>
      <c r="AW140" s="20"/>
      <c r="AX140" s="20"/>
      <c r="AY140" s="20"/>
      <c r="AZ140" s="20"/>
      <c r="BA140" s="21">
        <f t="shared" si="344"/>
        <v>0</v>
      </c>
      <c r="BB140" s="25"/>
      <c r="BC140" s="25"/>
      <c r="BD140" s="25"/>
      <c r="BE140" s="25"/>
      <c r="BF140" s="20"/>
      <c r="BG140" s="20"/>
      <c r="BH140" s="20"/>
      <c r="BI140" s="20"/>
      <c r="BJ140" s="21">
        <f t="shared" si="345"/>
        <v>0</v>
      </c>
      <c r="BK140" s="4">
        <f t="shared" si="346"/>
        <v>0</v>
      </c>
      <c r="BL140" s="4">
        <f t="shared" si="347"/>
        <v>0</v>
      </c>
      <c r="BM140" s="4">
        <f t="shared" si="348"/>
        <v>-200000</v>
      </c>
      <c r="BN140" s="4">
        <f t="shared" si="349"/>
        <v>0</v>
      </c>
      <c r="BO140" s="94">
        <f t="shared" si="350"/>
        <v>0</v>
      </c>
      <c r="BP140" s="94">
        <f t="shared" si="351"/>
        <v>0</v>
      </c>
      <c r="BQ140" s="94">
        <f t="shared" si="352"/>
        <v>0</v>
      </c>
      <c r="BR140" s="94">
        <f t="shared" si="353"/>
        <v>0</v>
      </c>
      <c r="BS140" s="9">
        <f t="shared" si="354"/>
        <v>-200000</v>
      </c>
    </row>
    <row r="141" spans="1:71" ht="31.5">
      <c r="A141" s="186"/>
      <c r="B141" s="8">
        <v>9</v>
      </c>
      <c r="C141" s="1" t="s">
        <v>256</v>
      </c>
      <c r="D141" s="4" t="s">
        <v>257</v>
      </c>
      <c r="E141" s="4" t="s">
        <v>61</v>
      </c>
      <c r="F141" s="4"/>
      <c r="G141" s="4">
        <v>298000</v>
      </c>
      <c r="H141" s="4">
        <v>60000</v>
      </c>
      <c r="I141" s="4">
        <v>200000</v>
      </c>
      <c r="J141" s="4"/>
      <c r="K141" s="4"/>
      <c r="L141" s="4"/>
      <c r="M141" s="4"/>
      <c r="N141" s="9">
        <f t="shared" si="339"/>
        <v>558000</v>
      </c>
      <c r="O141" s="4"/>
      <c r="P141" s="72"/>
      <c r="Q141" s="4"/>
      <c r="R141" s="4"/>
      <c r="S141" s="4"/>
      <c r="T141" s="4"/>
      <c r="U141" s="4"/>
      <c r="V141" s="4"/>
      <c r="W141" s="9">
        <f t="shared" si="340"/>
        <v>0</v>
      </c>
      <c r="X141" s="20"/>
      <c r="Y141" s="20"/>
      <c r="Z141" s="20"/>
      <c r="AA141" s="20"/>
      <c r="AB141" s="20"/>
      <c r="AC141" s="20"/>
      <c r="AD141" s="20"/>
      <c r="AE141" s="20"/>
      <c r="AF141" s="9">
        <f t="shared" si="341"/>
        <v>0</v>
      </c>
      <c r="AG141" s="20"/>
      <c r="AH141" s="25">
        <v>330800</v>
      </c>
      <c r="AI141" s="20"/>
      <c r="AJ141" s="20">
        <v>450000</v>
      </c>
      <c r="AK141" s="20"/>
      <c r="AL141" s="20"/>
      <c r="AM141" s="20"/>
      <c r="AN141" s="20"/>
      <c r="AO141" s="21">
        <f t="shared" si="342"/>
        <v>780800</v>
      </c>
      <c r="AP141" s="25">
        <v>315000</v>
      </c>
      <c r="AQ141" s="20">
        <v>105000</v>
      </c>
      <c r="AR141" s="20"/>
      <c r="AS141" s="20"/>
      <c r="AT141" s="20"/>
      <c r="AU141" s="21">
        <f t="shared" si="343"/>
        <v>420000</v>
      </c>
      <c r="AV141" s="25"/>
      <c r="AW141" s="20"/>
      <c r="AX141" s="20"/>
      <c r="AY141" s="20"/>
      <c r="AZ141" s="20"/>
      <c r="BA141" s="21">
        <f t="shared" si="344"/>
        <v>0</v>
      </c>
      <c r="BB141" s="25"/>
      <c r="BC141" s="25"/>
      <c r="BD141" s="25"/>
      <c r="BE141" s="25"/>
      <c r="BF141" s="20"/>
      <c r="BG141" s="20"/>
      <c r="BH141" s="20"/>
      <c r="BI141" s="20"/>
      <c r="BJ141" s="21">
        <f t="shared" si="345"/>
        <v>0</v>
      </c>
      <c r="BK141" s="4">
        <f t="shared" si="346"/>
        <v>0</v>
      </c>
      <c r="BL141" s="4">
        <f t="shared" si="347"/>
        <v>628800</v>
      </c>
      <c r="BM141" s="4">
        <f t="shared" si="348"/>
        <v>60000</v>
      </c>
      <c r="BN141" s="4">
        <f t="shared" si="349"/>
        <v>965000</v>
      </c>
      <c r="BO141" s="94">
        <f t="shared" si="350"/>
        <v>105000</v>
      </c>
      <c r="BP141" s="94">
        <f t="shared" si="351"/>
        <v>0</v>
      </c>
      <c r="BQ141" s="94">
        <f t="shared" si="352"/>
        <v>0</v>
      </c>
      <c r="BR141" s="94">
        <f t="shared" si="353"/>
        <v>0</v>
      </c>
      <c r="BS141" s="9">
        <f t="shared" si="354"/>
        <v>1758800</v>
      </c>
    </row>
    <row r="142" spans="1:71" ht="31.5">
      <c r="A142" s="186"/>
      <c r="B142" s="8">
        <v>10</v>
      </c>
      <c r="C142" s="1" t="s">
        <v>259</v>
      </c>
      <c r="D142" s="4" t="s">
        <v>260</v>
      </c>
      <c r="E142" s="4" t="s">
        <v>61</v>
      </c>
      <c r="F142" s="4">
        <v>155000</v>
      </c>
      <c r="G142" s="4">
        <v>789000</v>
      </c>
      <c r="H142" s="4">
        <f>71500+71500</f>
        <v>143000</v>
      </c>
      <c r="I142" s="4">
        <f>100000+120000+20000</f>
        <v>240000</v>
      </c>
      <c r="J142" s="4"/>
      <c r="K142" s="4"/>
      <c r="L142" s="4"/>
      <c r="M142" s="4"/>
      <c r="N142" s="9">
        <f t="shared" si="339"/>
        <v>1327000</v>
      </c>
      <c r="O142" s="4"/>
      <c r="P142" s="72"/>
      <c r="Q142" s="4"/>
      <c r="R142" s="4"/>
      <c r="S142" s="4"/>
      <c r="T142" s="4"/>
      <c r="U142" s="4"/>
      <c r="V142" s="4"/>
      <c r="W142" s="9">
        <f t="shared" si="340"/>
        <v>0</v>
      </c>
      <c r="X142" s="20"/>
      <c r="Y142" s="20"/>
      <c r="Z142" s="20"/>
      <c r="AA142" s="20"/>
      <c r="AB142" s="20"/>
      <c r="AC142" s="20"/>
      <c r="AD142" s="20"/>
      <c r="AE142" s="20"/>
      <c r="AF142" s="9">
        <f t="shared" si="341"/>
        <v>0</v>
      </c>
      <c r="AG142" s="20"/>
      <c r="AH142" s="25">
        <v>1145600</v>
      </c>
      <c r="AI142" s="25">
        <v>916650</v>
      </c>
      <c r="AJ142" s="20"/>
      <c r="AK142" s="20"/>
      <c r="AL142" s="20"/>
      <c r="AM142" s="20"/>
      <c r="AN142" s="20"/>
      <c r="AO142" s="21">
        <f t="shared" si="342"/>
        <v>2062250</v>
      </c>
      <c r="AP142" s="25">
        <v>1155000</v>
      </c>
      <c r="AQ142" s="20">
        <f>105000+315000+315000+315000+210000</f>
        <v>1260000</v>
      </c>
      <c r="AR142" s="20">
        <f>632574+1061188+156000</f>
        <v>1849762</v>
      </c>
      <c r="AS142" s="20">
        <v>1816511</v>
      </c>
      <c r="AT142" s="20">
        <v>1716000</v>
      </c>
      <c r="AU142" s="21">
        <f t="shared" si="343"/>
        <v>7797273</v>
      </c>
      <c r="AV142" s="25"/>
      <c r="AW142" s="20"/>
      <c r="AX142" s="20"/>
      <c r="AY142" s="20"/>
      <c r="AZ142" s="20"/>
      <c r="BA142" s="21">
        <f t="shared" si="344"/>
        <v>0</v>
      </c>
      <c r="BB142" s="25"/>
      <c r="BC142" s="25"/>
      <c r="BD142" s="25">
        <v>100000</v>
      </c>
      <c r="BE142" s="25"/>
      <c r="BF142" s="20"/>
      <c r="BG142" s="20"/>
      <c r="BH142" s="20"/>
      <c r="BI142" s="20"/>
      <c r="BJ142" s="21">
        <f t="shared" si="345"/>
        <v>100000</v>
      </c>
      <c r="BK142" s="4">
        <f t="shared" si="346"/>
        <v>155000</v>
      </c>
      <c r="BL142" s="4">
        <f t="shared" si="347"/>
        <v>1934600</v>
      </c>
      <c r="BM142" s="4">
        <f t="shared" si="348"/>
        <v>1159650</v>
      </c>
      <c r="BN142" s="4">
        <f t="shared" si="349"/>
        <v>1395000</v>
      </c>
      <c r="BO142" s="94">
        <f t="shared" si="350"/>
        <v>1260000</v>
      </c>
      <c r="BP142" s="94">
        <f t="shared" si="351"/>
        <v>1849762</v>
      </c>
      <c r="BQ142" s="94">
        <f t="shared" si="352"/>
        <v>1816511</v>
      </c>
      <c r="BR142" s="94">
        <f t="shared" si="353"/>
        <v>1716000</v>
      </c>
      <c r="BS142" s="9">
        <f t="shared" si="354"/>
        <v>11286523</v>
      </c>
    </row>
    <row r="143" spans="1:71" ht="31.5">
      <c r="A143" s="186"/>
      <c r="B143" s="8">
        <v>11</v>
      </c>
      <c r="C143" s="1" t="s">
        <v>259</v>
      </c>
      <c r="D143" s="4" t="s">
        <v>246</v>
      </c>
      <c r="E143" s="4" t="s">
        <v>61</v>
      </c>
      <c r="F143" s="4"/>
      <c r="G143" s="4"/>
      <c r="H143" s="4">
        <f>155000+453000</f>
        <v>608000</v>
      </c>
      <c r="I143" s="4"/>
      <c r="J143" s="4"/>
      <c r="K143" s="4"/>
      <c r="L143" s="4"/>
      <c r="M143" s="4"/>
      <c r="N143" s="9">
        <f t="shared" si="339"/>
        <v>608000</v>
      </c>
      <c r="O143" s="4"/>
      <c r="P143" s="72"/>
      <c r="Q143" s="4"/>
      <c r="R143" s="4"/>
      <c r="S143" s="4"/>
      <c r="T143" s="4"/>
      <c r="U143" s="4"/>
      <c r="V143" s="4"/>
      <c r="W143" s="9">
        <f t="shared" si="340"/>
        <v>0</v>
      </c>
      <c r="X143" s="20"/>
      <c r="Y143" s="20"/>
      <c r="Z143" s="20"/>
      <c r="AA143" s="20"/>
      <c r="AB143" s="20"/>
      <c r="AC143" s="20"/>
      <c r="AD143" s="20"/>
      <c r="AE143" s="20"/>
      <c r="AF143" s="9">
        <f t="shared" si="341"/>
        <v>0</v>
      </c>
      <c r="AG143" s="20"/>
      <c r="AH143" s="20"/>
      <c r="AI143" s="20"/>
      <c r="AJ143" s="20">
        <v>180000</v>
      </c>
      <c r="AK143" s="20"/>
      <c r="AL143" s="20"/>
      <c r="AM143" s="20"/>
      <c r="AN143" s="20"/>
      <c r="AO143" s="21">
        <f t="shared" si="342"/>
        <v>180000</v>
      </c>
      <c r="AP143" s="25"/>
      <c r="AQ143" s="20"/>
      <c r="AR143" s="20"/>
      <c r="AS143" s="20"/>
      <c r="AT143" s="20"/>
      <c r="AU143" s="21">
        <f t="shared" si="343"/>
        <v>0</v>
      </c>
      <c r="AV143" s="25"/>
      <c r="AW143" s="20"/>
      <c r="AX143" s="20"/>
      <c r="AY143" s="20"/>
      <c r="AZ143" s="20"/>
      <c r="BA143" s="21">
        <f t="shared" si="344"/>
        <v>0</v>
      </c>
      <c r="BB143" s="25"/>
      <c r="BC143" s="25"/>
      <c r="BD143" s="25"/>
      <c r="BE143" s="25"/>
      <c r="BF143" s="20"/>
      <c r="BG143" s="20"/>
      <c r="BH143" s="20"/>
      <c r="BI143" s="20"/>
      <c r="BJ143" s="21">
        <f t="shared" si="345"/>
        <v>0</v>
      </c>
      <c r="BK143" s="4">
        <f t="shared" si="346"/>
        <v>0</v>
      </c>
      <c r="BL143" s="4">
        <f t="shared" si="347"/>
        <v>0</v>
      </c>
      <c r="BM143" s="4">
        <f t="shared" si="348"/>
        <v>608000</v>
      </c>
      <c r="BN143" s="4">
        <f t="shared" si="349"/>
        <v>180000</v>
      </c>
      <c r="BO143" s="94">
        <f t="shared" si="350"/>
        <v>0</v>
      </c>
      <c r="BP143" s="94">
        <f t="shared" si="351"/>
        <v>0</v>
      </c>
      <c r="BQ143" s="94">
        <f t="shared" si="352"/>
        <v>0</v>
      </c>
      <c r="BR143" s="94">
        <f t="shared" si="353"/>
        <v>0</v>
      </c>
      <c r="BS143" s="9">
        <f t="shared" si="354"/>
        <v>788000</v>
      </c>
    </row>
    <row r="144" spans="1:71">
      <c r="A144" s="186"/>
      <c r="B144" s="8">
        <v>12</v>
      </c>
      <c r="C144" s="42" t="s">
        <v>261</v>
      </c>
      <c r="D144" s="43" t="s">
        <v>262</v>
      </c>
      <c r="E144" s="4" t="s">
        <v>61</v>
      </c>
      <c r="F144" s="4"/>
      <c r="G144" s="4"/>
      <c r="H144" s="4"/>
      <c r="I144" s="4"/>
      <c r="J144" s="4"/>
      <c r="K144" s="4"/>
      <c r="L144" s="4"/>
      <c r="M144" s="4"/>
      <c r="N144" s="9">
        <f t="shared" si="339"/>
        <v>0</v>
      </c>
      <c r="O144" s="4"/>
      <c r="P144" s="72"/>
      <c r="Q144" s="4"/>
      <c r="R144" s="4"/>
      <c r="S144" s="4"/>
      <c r="T144" s="4"/>
      <c r="U144" s="4"/>
      <c r="V144" s="4"/>
      <c r="W144" s="9">
        <f t="shared" si="340"/>
        <v>0</v>
      </c>
      <c r="X144" s="20"/>
      <c r="Y144" s="20"/>
      <c r="Z144" s="4">
        <v>290000</v>
      </c>
      <c r="AA144" s="20">
        <v>1080000</v>
      </c>
      <c r="AB144" s="20">
        <f>225000+225000+225000+225000+150000</f>
        <v>1050000</v>
      </c>
      <c r="AC144" s="20">
        <f>1965000+630000</f>
        <v>2595000</v>
      </c>
      <c r="AD144" s="20">
        <f>210000+420000+630000+210000+210000+420000+210000</f>
        <v>2310000</v>
      </c>
      <c r="AE144" s="4">
        <f>630000+210000+210000+210000+210000+420000+630000</f>
        <v>2520000</v>
      </c>
      <c r="AF144" s="9">
        <f t="shared" si="341"/>
        <v>9845000</v>
      </c>
      <c r="AG144" s="20"/>
      <c r="AH144" s="20"/>
      <c r="AI144" s="20"/>
      <c r="AJ144" s="20"/>
      <c r="AK144" s="20"/>
      <c r="AL144" s="20"/>
      <c r="AM144" s="20"/>
      <c r="AN144" s="20"/>
      <c r="AO144" s="21">
        <f t="shared" si="342"/>
        <v>0</v>
      </c>
      <c r="AP144" s="25"/>
      <c r="AQ144" s="20"/>
      <c r="AR144" s="20"/>
      <c r="AS144" s="20"/>
      <c r="AT144" s="20"/>
      <c r="AU144" s="21">
        <f t="shared" si="343"/>
        <v>0</v>
      </c>
      <c r="AV144" s="25"/>
      <c r="AW144" s="20"/>
      <c r="AX144" s="20"/>
      <c r="AY144" s="20"/>
      <c r="AZ144" s="20"/>
      <c r="BA144" s="21">
        <f t="shared" si="344"/>
        <v>0</v>
      </c>
      <c r="BB144" s="25"/>
      <c r="BC144" s="25"/>
      <c r="BD144" s="25"/>
      <c r="BE144" s="25"/>
      <c r="BF144" s="20"/>
      <c r="BG144" s="20"/>
      <c r="BH144" s="20"/>
      <c r="BI144" s="20"/>
      <c r="BJ144" s="21">
        <f t="shared" si="345"/>
        <v>0</v>
      </c>
      <c r="BK144" s="4">
        <f t="shared" si="346"/>
        <v>0</v>
      </c>
      <c r="BL144" s="4">
        <f t="shared" si="347"/>
        <v>0</v>
      </c>
      <c r="BM144" s="4">
        <f t="shared" si="348"/>
        <v>290000</v>
      </c>
      <c r="BN144" s="4">
        <f t="shared" si="349"/>
        <v>1080000</v>
      </c>
      <c r="BO144" s="94">
        <f t="shared" si="350"/>
        <v>1050000</v>
      </c>
      <c r="BP144" s="94">
        <f t="shared" si="351"/>
        <v>2595000</v>
      </c>
      <c r="BQ144" s="94">
        <f t="shared" si="352"/>
        <v>2310000</v>
      </c>
      <c r="BR144" s="94">
        <f t="shared" si="353"/>
        <v>2520000</v>
      </c>
      <c r="BS144" s="9">
        <f t="shared" si="354"/>
        <v>9845000</v>
      </c>
    </row>
    <row r="145" spans="1:71">
      <c r="A145" s="186"/>
      <c r="B145" s="8">
        <v>13</v>
      </c>
      <c r="C145" s="44" t="s">
        <v>263</v>
      </c>
      <c r="D145" s="45" t="s">
        <v>264</v>
      </c>
      <c r="E145" s="4" t="s">
        <v>61</v>
      </c>
      <c r="F145" s="4"/>
      <c r="G145" s="4"/>
      <c r="H145" s="4"/>
      <c r="I145" s="4"/>
      <c r="J145" s="4"/>
      <c r="K145" s="4"/>
      <c r="L145" s="4"/>
      <c r="M145" s="4"/>
      <c r="N145" s="9">
        <f t="shared" si="339"/>
        <v>0</v>
      </c>
      <c r="O145" s="76"/>
      <c r="P145" s="76"/>
      <c r="Q145" s="76">
        <v>430000</v>
      </c>
      <c r="R145" s="76">
        <v>250000</v>
      </c>
      <c r="S145" s="4">
        <f>890000+225000+225000+225000+150000</f>
        <v>1715000</v>
      </c>
      <c r="T145" s="4">
        <f>1665000+570000</f>
        <v>2235000</v>
      </c>
      <c r="U145" s="4">
        <f>800000+400000+200000+200000+390000+200000+200000</f>
        <v>2390000</v>
      </c>
      <c r="V145" s="4">
        <f>400000+200000+200000+200000+200000+390000+580000</f>
        <v>2170000</v>
      </c>
      <c r="W145" s="9">
        <f t="shared" si="340"/>
        <v>9190000</v>
      </c>
      <c r="X145" s="20"/>
      <c r="Y145" s="20"/>
      <c r="Z145" s="20"/>
      <c r="AA145" s="20"/>
      <c r="AB145" s="20"/>
      <c r="AC145" s="20"/>
      <c r="AD145" s="20"/>
      <c r="AE145" s="20"/>
      <c r="AF145" s="9">
        <f t="shared" si="341"/>
        <v>0</v>
      </c>
      <c r="AG145" s="20"/>
      <c r="AH145" s="20"/>
      <c r="AI145" s="20"/>
      <c r="AJ145" s="20"/>
      <c r="AK145" s="20"/>
      <c r="AL145" s="20"/>
      <c r="AM145" s="20"/>
      <c r="AN145" s="20"/>
      <c r="AO145" s="21">
        <f t="shared" si="342"/>
        <v>0</v>
      </c>
      <c r="AP145" s="25"/>
      <c r="AQ145" s="20"/>
      <c r="AR145" s="20"/>
      <c r="AS145" s="20"/>
      <c r="AT145" s="20"/>
      <c r="AU145" s="21">
        <f t="shared" si="343"/>
        <v>0</v>
      </c>
      <c r="AV145" s="25"/>
      <c r="AW145" s="20"/>
      <c r="AX145" s="20"/>
      <c r="AY145" s="20"/>
      <c r="AZ145" s="20"/>
      <c r="BA145" s="21">
        <f t="shared" si="344"/>
        <v>0</v>
      </c>
      <c r="BB145" s="25"/>
      <c r="BC145" s="25"/>
      <c r="BD145" s="25"/>
      <c r="BE145" s="25"/>
      <c r="BF145" s="20"/>
      <c r="BG145" s="20"/>
      <c r="BH145" s="20"/>
      <c r="BI145" s="20"/>
      <c r="BJ145" s="21">
        <f t="shared" si="345"/>
        <v>0</v>
      </c>
      <c r="BK145" s="4">
        <f t="shared" si="346"/>
        <v>0</v>
      </c>
      <c r="BL145" s="4">
        <f t="shared" si="347"/>
        <v>0</v>
      </c>
      <c r="BM145" s="4">
        <f t="shared" si="348"/>
        <v>430000</v>
      </c>
      <c r="BN145" s="4">
        <f t="shared" si="349"/>
        <v>250000</v>
      </c>
      <c r="BO145" s="94">
        <f t="shared" si="350"/>
        <v>1715000</v>
      </c>
      <c r="BP145" s="94">
        <f t="shared" si="351"/>
        <v>2235000</v>
      </c>
      <c r="BQ145" s="94">
        <f t="shared" si="352"/>
        <v>2390000</v>
      </c>
      <c r="BR145" s="94">
        <f t="shared" si="353"/>
        <v>2170000</v>
      </c>
      <c r="BS145" s="9">
        <f t="shared" si="354"/>
        <v>9190000</v>
      </c>
    </row>
    <row r="146" spans="1:71">
      <c r="A146" s="186"/>
      <c r="B146" s="8">
        <v>14</v>
      </c>
      <c r="C146" s="40" t="s">
        <v>265</v>
      </c>
      <c r="D146" s="47" t="s">
        <v>266</v>
      </c>
      <c r="E146" s="4" t="s">
        <v>61</v>
      </c>
      <c r="F146" s="4"/>
      <c r="G146" s="4"/>
      <c r="H146" s="4"/>
      <c r="I146" s="4"/>
      <c r="J146" s="4"/>
      <c r="K146" s="4"/>
      <c r="L146" s="4"/>
      <c r="M146" s="4"/>
      <c r="N146" s="9">
        <f t="shared" si="339"/>
        <v>0</v>
      </c>
      <c r="O146" s="76"/>
      <c r="P146" s="76">
        <v>1890000</v>
      </c>
      <c r="Q146" s="76">
        <v>200000</v>
      </c>
      <c r="R146" s="76"/>
      <c r="S146" s="4"/>
      <c r="T146" s="4"/>
      <c r="U146" s="4">
        <f>975000+400000+200000</f>
        <v>1575000</v>
      </c>
      <c r="V146" s="4">
        <f>400000+200000+200000+200000+200000+400000+600000</f>
        <v>2200000</v>
      </c>
      <c r="W146" s="9">
        <f t="shared" si="340"/>
        <v>5865000</v>
      </c>
      <c r="X146" s="20"/>
      <c r="Y146" s="20"/>
      <c r="Z146" s="20"/>
      <c r="AA146" s="20"/>
      <c r="AB146" s="20"/>
      <c r="AC146" s="20"/>
      <c r="AD146" s="20"/>
      <c r="AE146" s="20"/>
      <c r="AF146" s="9">
        <f t="shared" si="341"/>
        <v>0</v>
      </c>
      <c r="AG146" s="20"/>
      <c r="AH146" s="20"/>
      <c r="AI146" s="20"/>
      <c r="AJ146" s="20"/>
      <c r="AK146" s="20"/>
      <c r="AL146" s="20"/>
      <c r="AM146" s="20"/>
      <c r="AN146" s="20"/>
      <c r="AO146" s="21">
        <f t="shared" si="342"/>
        <v>0</v>
      </c>
      <c r="AP146" s="25"/>
      <c r="AQ146" s="20"/>
      <c r="AR146" s="20"/>
      <c r="AS146" s="20"/>
      <c r="AT146" s="20"/>
      <c r="AU146" s="21">
        <f t="shared" si="343"/>
        <v>0</v>
      </c>
      <c r="AV146" s="25"/>
      <c r="AW146" s="20"/>
      <c r="AX146" s="20"/>
      <c r="AY146" s="20"/>
      <c r="AZ146" s="20"/>
      <c r="BA146" s="21">
        <f t="shared" si="344"/>
        <v>0</v>
      </c>
      <c r="BB146" s="25"/>
      <c r="BC146" s="25"/>
      <c r="BD146" s="25">
        <v>100000</v>
      </c>
      <c r="BE146" s="25"/>
      <c r="BF146" s="20"/>
      <c r="BG146" s="20"/>
      <c r="BH146" s="20"/>
      <c r="BI146" s="20"/>
      <c r="BJ146" s="21">
        <f t="shared" si="345"/>
        <v>100000</v>
      </c>
      <c r="BK146" s="4">
        <f t="shared" si="346"/>
        <v>0</v>
      </c>
      <c r="BL146" s="4">
        <f t="shared" si="347"/>
        <v>1890000</v>
      </c>
      <c r="BM146" s="4">
        <f t="shared" si="348"/>
        <v>300000</v>
      </c>
      <c r="BN146" s="4">
        <f t="shared" si="349"/>
        <v>0</v>
      </c>
      <c r="BO146" s="94">
        <f t="shared" si="350"/>
        <v>0</v>
      </c>
      <c r="BP146" s="94">
        <f t="shared" si="351"/>
        <v>0</v>
      </c>
      <c r="BQ146" s="94">
        <f t="shared" si="352"/>
        <v>1575000</v>
      </c>
      <c r="BR146" s="94">
        <f t="shared" si="353"/>
        <v>2200000</v>
      </c>
      <c r="BS146" s="9">
        <f t="shared" si="354"/>
        <v>5965000</v>
      </c>
    </row>
    <row r="147" spans="1:71" ht="31.5">
      <c r="A147" s="187"/>
      <c r="B147" s="8">
        <v>15</v>
      </c>
      <c r="C147" s="1" t="s">
        <v>267</v>
      </c>
      <c r="D147" s="4" t="s">
        <v>268</v>
      </c>
      <c r="E147" s="4" t="s">
        <v>61</v>
      </c>
      <c r="F147" s="4"/>
      <c r="G147" s="4">
        <v>776500</v>
      </c>
      <c r="H147" s="4">
        <f>82500+159500+341000</f>
        <v>583000</v>
      </c>
      <c r="I147" s="4">
        <v>100000</v>
      </c>
      <c r="J147" s="4"/>
      <c r="K147" s="4"/>
      <c r="L147" s="4"/>
      <c r="M147" s="4"/>
      <c r="N147" s="9">
        <f t="shared" si="339"/>
        <v>1459500</v>
      </c>
      <c r="O147" s="76"/>
      <c r="P147" s="76">
        <v>1510000</v>
      </c>
      <c r="Q147" s="76">
        <v>1530000</v>
      </c>
      <c r="R147" s="76">
        <f>(250000)-140000</f>
        <v>110000</v>
      </c>
      <c r="S147" s="4"/>
      <c r="T147" s="4"/>
      <c r="U147" s="4"/>
      <c r="V147" s="4"/>
      <c r="W147" s="9">
        <f t="shared" si="340"/>
        <v>3150000</v>
      </c>
      <c r="X147" s="20"/>
      <c r="Y147" s="20"/>
      <c r="Z147" s="20"/>
      <c r="AA147" s="20"/>
      <c r="AB147" s="20"/>
      <c r="AC147" s="20"/>
      <c r="AD147" s="20"/>
      <c r="AE147" s="20"/>
      <c r="AF147" s="9">
        <f t="shared" si="341"/>
        <v>0</v>
      </c>
      <c r="AG147" s="20"/>
      <c r="AH147" s="25">
        <v>898250</v>
      </c>
      <c r="AI147" s="25">
        <v>572300</v>
      </c>
      <c r="AJ147" s="25">
        <v>150000</v>
      </c>
      <c r="AK147" s="20"/>
      <c r="AL147" s="20"/>
      <c r="AM147" s="20"/>
      <c r="AN147" s="20"/>
      <c r="AO147" s="21">
        <f t="shared" si="342"/>
        <v>1620550</v>
      </c>
      <c r="AP147" s="25"/>
      <c r="AQ147" s="20"/>
      <c r="AR147" s="20"/>
      <c r="AS147" s="20"/>
      <c r="AT147" s="20"/>
      <c r="AU147" s="21">
        <f t="shared" si="343"/>
        <v>0</v>
      </c>
      <c r="AV147" s="25"/>
      <c r="AW147" s="20"/>
      <c r="AX147" s="20"/>
      <c r="AY147" s="20"/>
      <c r="AZ147" s="20"/>
      <c r="BA147" s="21">
        <f t="shared" si="344"/>
        <v>0</v>
      </c>
      <c r="BB147" s="25"/>
      <c r="BC147" s="25"/>
      <c r="BD147" s="25"/>
      <c r="BE147" s="25"/>
      <c r="BF147" s="20"/>
      <c r="BG147" s="20"/>
      <c r="BH147" s="20"/>
      <c r="BI147" s="20"/>
      <c r="BJ147" s="21">
        <f t="shared" si="345"/>
        <v>0</v>
      </c>
      <c r="BK147" s="4">
        <f t="shared" si="346"/>
        <v>0</v>
      </c>
      <c r="BL147" s="4">
        <f t="shared" si="347"/>
        <v>3184750</v>
      </c>
      <c r="BM147" s="4">
        <f t="shared" si="348"/>
        <v>2685300</v>
      </c>
      <c r="BN147" s="4">
        <f t="shared" si="349"/>
        <v>360000</v>
      </c>
      <c r="BO147" s="94">
        <f t="shared" si="350"/>
        <v>0</v>
      </c>
      <c r="BP147" s="94">
        <f t="shared" si="351"/>
        <v>0</v>
      </c>
      <c r="BQ147" s="94">
        <f t="shared" si="352"/>
        <v>0</v>
      </c>
      <c r="BR147" s="94">
        <f t="shared" si="353"/>
        <v>0</v>
      </c>
      <c r="BS147" s="9">
        <f t="shared" si="354"/>
        <v>6230050</v>
      </c>
    </row>
    <row r="148" spans="1:71" s="38" customFormat="1">
      <c r="A148" s="34"/>
      <c r="B148" s="85"/>
      <c r="C148" s="35" t="s">
        <v>269</v>
      </c>
      <c r="D148" s="37"/>
      <c r="E148" s="37"/>
      <c r="F148" s="37">
        <f>SUM(F132:F147)</f>
        <v>310000</v>
      </c>
      <c r="G148" s="37">
        <f t="shared" ref="G148:BS148" si="355">SUM(G132:G147)</f>
        <v>1863500</v>
      </c>
      <c r="H148" s="37">
        <f t="shared" si="355"/>
        <v>2550000</v>
      </c>
      <c r="I148" s="37">
        <f t="shared" si="355"/>
        <v>540000</v>
      </c>
      <c r="J148" s="37">
        <f t="shared" si="355"/>
        <v>0</v>
      </c>
      <c r="K148" s="37">
        <f t="shared" si="355"/>
        <v>0</v>
      </c>
      <c r="L148" s="37">
        <f t="shared" si="355"/>
        <v>0</v>
      </c>
      <c r="M148" s="37">
        <f t="shared" ref="M148" si="356">SUM(M132:M147)</f>
        <v>0</v>
      </c>
      <c r="N148" s="37">
        <f t="shared" si="355"/>
        <v>5263500</v>
      </c>
      <c r="O148" s="37">
        <f t="shared" si="355"/>
        <v>870000</v>
      </c>
      <c r="P148" s="37">
        <f t="shared" si="355"/>
        <v>8410000</v>
      </c>
      <c r="Q148" s="37">
        <f t="shared" si="355"/>
        <v>8610000</v>
      </c>
      <c r="R148" s="37">
        <f t="shared" si="355"/>
        <v>1010000</v>
      </c>
      <c r="S148" s="37">
        <f t="shared" si="355"/>
        <v>1715000</v>
      </c>
      <c r="T148" s="37">
        <f t="shared" si="355"/>
        <v>2235000</v>
      </c>
      <c r="U148" s="37">
        <f t="shared" si="355"/>
        <v>3965000</v>
      </c>
      <c r="V148" s="37">
        <f t="shared" ref="V148" si="357">SUM(V132:V147)</f>
        <v>5900000</v>
      </c>
      <c r="W148" s="37">
        <f t="shared" si="355"/>
        <v>32715000</v>
      </c>
      <c r="X148" s="37">
        <f t="shared" si="355"/>
        <v>290000</v>
      </c>
      <c r="Y148" s="37">
        <f t="shared" si="355"/>
        <v>4111000</v>
      </c>
      <c r="Z148" s="37">
        <f t="shared" si="355"/>
        <v>3218000</v>
      </c>
      <c r="AA148" s="37">
        <f t="shared" si="355"/>
        <v>2400000</v>
      </c>
      <c r="AB148" s="37">
        <f t="shared" si="355"/>
        <v>1050000</v>
      </c>
      <c r="AC148" s="37">
        <f t="shared" si="355"/>
        <v>2595000</v>
      </c>
      <c r="AD148" s="37">
        <f t="shared" si="355"/>
        <v>2310000</v>
      </c>
      <c r="AE148" s="37">
        <f t="shared" ref="AE148" si="358">SUM(AE132:AE147)</f>
        <v>2520000</v>
      </c>
      <c r="AF148" s="37">
        <f t="shared" si="355"/>
        <v>18494000</v>
      </c>
      <c r="AG148" s="37">
        <f t="shared" si="355"/>
        <v>195000</v>
      </c>
      <c r="AH148" s="37">
        <f t="shared" si="355"/>
        <v>4428900</v>
      </c>
      <c r="AI148" s="37">
        <f t="shared" si="355"/>
        <v>2370400</v>
      </c>
      <c r="AJ148" s="37">
        <f t="shared" si="355"/>
        <v>1979000</v>
      </c>
      <c r="AK148" s="37">
        <f t="shared" si="355"/>
        <v>490000</v>
      </c>
      <c r="AL148" s="37">
        <f t="shared" si="355"/>
        <v>1912175</v>
      </c>
      <c r="AM148" s="37">
        <f t="shared" si="355"/>
        <v>1629600</v>
      </c>
      <c r="AN148" s="37">
        <f t="shared" ref="AN148" si="359">SUM(AN132:AN147)</f>
        <v>1746000</v>
      </c>
      <c r="AO148" s="37">
        <f t="shared" si="355"/>
        <v>14751075</v>
      </c>
      <c r="AP148" s="37">
        <f t="shared" si="355"/>
        <v>1470000</v>
      </c>
      <c r="AQ148" s="37">
        <f t="shared" si="355"/>
        <v>1365000</v>
      </c>
      <c r="AR148" s="37">
        <f t="shared" si="355"/>
        <v>1849762</v>
      </c>
      <c r="AS148" s="37">
        <f t="shared" si="355"/>
        <v>1816511</v>
      </c>
      <c r="AT148" s="37">
        <f t="shared" ref="AT148" si="360">SUM(AT132:AT147)</f>
        <v>1716000</v>
      </c>
      <c r="AU148" s="37">
        <f t="shared" si="355"/>
        <v>8217273</v>
      </c>
      <c r="AV148" s="37">
        <f t="shared" si="355"/>
        <v>1800000</v>
      </c>
      <c r="AW148" s="37">
        <f t="shared" si="355"/>
        <v>2800000</v>
      </c>
      <c r="AX148" s="37">
        <f t="shared" si="355"/>
        <v>6231500</v>
      </c>
      <c r="AY148" s="37">
        <f t="shared" si="355"/>
        <v>9690000</v>
      </c>
      <c r="AZ148" s="37">
        <f t="shared" ref="AZ148" si="361">SUM(AZ132:AZ147)</f>
        <v>9180000</v>
      </c>
      <c r="BA148" s="37">
        <f t="shared" si="355"/>
        <v>29701500</v>
      </c>
      <c r="BB148" s="37">
        <f t="shared" si="355"/>
        <v>0</v>
      </c>
      <c r="BC148" s="37">
        <f t="shared" si="355"/>
        <v>757600</v>
      </c>
      <c r="BD148" s="37">
        <f t="shared" si="355"/>
        <v>1262000</v>
      </c>
      <c r="BE148" s="37">
        <f t="shared" si="355"/>
        <v>120000</v>
      </c>
      <c r="BF148" s="37">
        <f t="shared" si="355"/>
        <v>0</v>
      </c>
      <c r="BG148" s="37">
        <f t="shared" si="355"/>
        <v>0</v>
      </c>
      <c r="BH148" s="37">
        <f t="shared" si="355"/>
        <v>0</v>
      </c>
      <c r="BI148" s="37">
        <f t="shared" ref="BI148" si="362">SUM(BI132:BI147)</f>
        <v>0</v>
      </c>
      <c r="BJ148" s="37">
        <f t="shared" si="355"/>
        <v>2139600</v>
      </c>
      <c r="BK148" s="37">
        <f t="shared" si="355"/>
        <v>1665000</v>
      </c>
      <c r="BL148" s="37">
        <f t="shared" si="355"/>
        <v>19571000</v>
      </c>
      <c r="BM148" s="37">
        <f t="shared" si="355"/>
        <v>18010400</v>
      </c>
      <c r="BN148" s="37">
        <f t="shared" si="355"/>
        <v>9319000</v>
      </c>
      <c r="BO148" s="37">
        <f t="shared" si="355"/>
        <v>7420000</v>
      </c>
      <c r="BP148" s="37">
        <f t="shared" si="355"/>
        <v>14823437</v>
      </c>
      <c r="BQ148" s="37">
        <f t="shared" si="355"/>
        <v>19411111</v>
      </c>
      <c r="BR148" s="37">
        <f t="shared" ref="BR148" si="363">SUM(BR132:BR147)</f>
        <v>21062000</v>
      </c>
      <c r="BS148" s="37">
        <f t="shared" si="355"/>
        <v>111281948</v>
      </c>
    </row>
    <row r="149" spans="1:71">
      <c r="A149" s="185" t="s">
        <v>38</v>
      </c>
      <c r="B149" s="8">
        <v>1</v>
      </c>
      <c r="C149" s="1" t="s">
        <v>1</v>
      </c>
      <c r="D149" s="5" t="s">
        <v>415</v>
      </c>
      <c r="E149" s="4" t="s">
        <v>38</v>
      </c>
      <c r="F149" s="4"/>
      <c r="G149" s="4"/>
      <c r="H149" s="4"/>
      <c r="I149" s="4"/>
      <c r="J149" s="4"/>
      <c r="K149" s="4"/>
      <c r="L149" s="4"/>
      <c r="M149" s="4"/>
      <c r="N149" s="9">
        <f t="shared" ref="N149:N150" si="364">SUM(F149:M149)</f>
        <v>0</v>
      </c>
      <c r="O149" s="4"/>
      <c r="P149" s="4"/>
      <c r="Q149" s="4"/>
      <c r="R149" s="4"/>
      <c r="S149" s="4"/>
      <c r="T149" s="4"/>
      <c r="U149" s="4"/>
      <c r="V149" s="4"/>
      <c r="W149" s="9">
        <f t="shared" ref="W149:W150" si="365">SUM(O149:V149)</f>
        <v>0</v>
      </c>
      <c r="X149" s="20"/>
      <c r="Y149" s="20"/>
      <c r="Z149" s="20"/>
      <c r="AA149" s="20"/>
      <c r="AB149" s="20"/>
      <c r="AC149" s="20"/>
      <c r="AD149" s="20"/>
      <c r="AE149" s="20"/>
      <c r="AF149" s="9">
        <f t="shared" ref="AF149:AF150" si="366">SUM(X149:AE149)</f>
        <v>0</v>
      </c>
      <c r="AG149" s="20"/>
      <c r="AH149" s="25">
        <v>694100</v>
      </c>
      <c r="AI149" s="25">
        <v>478450</v>
      </c>
      <c r="AJ149" s="24">
        <v>570000</v>
      </c>
      <c r="AK149" s="20">
        <f>458500+304000</f>
        <v>762500</v>
      </c>
      <c r="AL149" s="20">
        <f>450450+114910+61860</f>
        <v>627220</v>
      </c>
      <c r="AM149" s="20">
        <v>407400</v>
      </c>
      <c r="AN149" s="20">
        <v>543200</v>
      </c>
      <c r="AO149" s="21">
        <f t="shared" ref="AO149:AO150" si="367">SUM(AG149:AN149)</f>
        <v>4082870</v>
      </c>
      <c r="AP149" s="25"/>
      <c r="AQ149" s="20"/>
      <c r="AR149" s="20"/>
      <c r="AS149" s="20"/>
      <c r="AT149" s="20"/>
      <c r="AU149" s="21">
        <f t="shared" ref="AU149:AU150" si="368">SUM(AP149:AT149)</f>
        <v>0</v>
      </c>
      <c r="AV149" s="25"/>
      <c r="AW149" s="20"/>
      <c r="AX149" s="20"/>
      <c r="AY149" s="20"/>
      <c r="AZ149" s="20"/>
      <c r="BA149" s="21">
        <f t="shared" ref="BA149:BA150" si="369">SUM(AV149:AZ149)</f>
        <v>0</v>
      </c>
      <c r="BB149" s="25"/>
      <c r="BC149" s="25"/>
      <c r="BD149" s="25"/>
      <c r="BE149" s="25"/>
      <c r="BF149" s="20"/>
      <c r="BG149" s="20"/>
      <c r="BH149" s="20"/>
      <c r="BI149" s="20"/>
      <c r="BJ149" s="21">
        <f t="shared" ref="BJ149:BJ150" si="370">SUM(BB149:BI149)</f>
        <v>0</v>
      </c>
      <c r="BK149" s="4">
        <f t="shared" ref="BK149:BM150" si="371">F149+O149+X149+AG149+BB149</f>
        <v>0</v>
      </c>
      <c r="BL149" s="4">
        <f t="shared" si="371"/>
        <v>694100</v>
      </c>
      <c r="BM149" s="4">
        <f t="shared" si="371"/>
        <v>478450</v>
      </c>
      <c r="BN149" s="4">
        <f t="shared" ref="BN149:BQ150" si="372">I149+R149+AA149+AJ149+AP149+AV149+BE149</f>
        <v>570000</v>
      </c>
      <c r="BO149" s="94">
        <f t="shared" si="372"/>
        <v>762500</v>
      </c>
      <c r="BP149" s="94">
        <f t="shared" si="372"/>
        <v>627220</v>
      </c>
      <c r="BQ149" s="94">
        <f t="shared" si="372"/>
        <v>407400</v>
      </c>
      <c r="BR149" s="94">
        <f t="shared" ref="BR149:BR150" si="373">M149+V149+AE149+AN149+AT149+AZ149+BI149</f>
        <v>543200</v>
      </c>
      <c r="BS149" s="9">
        <f t="shared" ref="BS149:BS150" si="374">SUM(BK149:BR149)</f>
        <v>4082870</v>
      </c>
    </row>
    <row r="150" spans="1:71">
      <c r="A150" s="187"/>
      <c r="B150" s="8">
        <v>2</v>
      </c>
      <c r="C150" s="1" t="s">
        <v>6</v>
      </c>
      <c r="D150" s="4" t="s">
        <v>37</v>
      </c>
      <c r="E150" s="4" t="s">
        <v>38</v>
      </c>
      <c r="F150" s="4"/>
      <c r="G150" s="4">
        <v>155000</v>
      </c>
      <c r="H150" s="4">
        <v>354000</v>
      </c>
      <c r="I150" s="4">
        <f>80000+20000+20000</f>
        <v>120000</v>
      </c>
      <c r="J150" s="4"/>
      <c r="K150" s="4"/>
      <c r="L150" s="4"/>
      <c r="M150" s="4"/>
      <c r="N150" s="9">
        <f t="shared" si="364"/>
        <v>629000</v>
      </c>
      <c r="O150" s="4"/>
      <c r="P150" s="4"/>
      <c r="Q150" s="4"/>
      <c r="R150" s="4"/>
      <c r="S150" s="4"/>
      <c r="T150" s="4"/>
      <c r="U150" s="4"/>
      <c r="V150" s="4"/>
      <c r="W150" s="9">
        <f t="shared" si="365"/>
        <v>0</v>
      </c>
      <c r="X150" s="20"/>
      <c r="Y150" s="20"/>
      <c r="Z150" s="20"/>
      <c r="AA150" s="20"/>
      <c r="AB150" s="20"/>
      <c r="AC150" s="20"/>
      <c r="AD150" s="20"/>
      <c r="AE150" s="20"/>
      <c r="AF150" s="9">
        <f t="shared" si="366"/>
        <v>0</v>
      </c>
      <c r="AG150" s="20"/>
      <c r="AH150" s="20">
        <v>287625</v>
      </c>
      <c r="AI150" s="25">
        <v>488550</v>
      </c>
      <c r="AJ150" s="24">
        <v>180000</v>
      </c>
      <c r="AK150" s="20"/>
      <c r="AL150" s="20"/>
      <c r="AM150" s="20"/>
      <c r="AN150" s="20"/>
      <c r="AO150" s="21">
        <f t="shared" si="367"/>
        <v>956175</v>
      </c>
      <c r="AP150" s="25">
        <f>315000+210000+105000</f>
        <v>630000</v>
      </c>
      <c r="AQ150" s="20">
        <f>542500+261000+274500+291500+207000</f>
        <v>1576500</v>
      </c>
      <c r="AR150" s="20">
        <f>1398500+312000+156000</f>
        <v>1866500</v>
      </c>
      <c r="AS150" s="20">
        <v>1872000</v>
      </c>
      <c r="AT150" s="20">
        <v>1248000</v>
      </c>
      <c r="AU150" s="21">
        <f t="shared" si="368"/>
        <v>7193000</v>
      </c>
      <c r="AV150" s="25"/>
      <c r="AW150" s="20"/>
      <c r="AX150" s="20"/>
      <c r="AY150" s="20"/>
      <c r="AZ150" s="20"/>
      <c r="BA150" s="21">
        <f t="shared" si="369"/>
        <v>0</v>
      </c>
      <c r="BB150" s="25"/>
      <c r="BC150" s="25"/>
      <c r="BD150" s="25"/>
      <c r="BE150" s="25"/>
      <c r="BF150" s="20"/>
      <c r="BG150" s="20"/>
      <c r="BH150" s="20"/>
      <c r="BI150" s="20"/>
      <c r="BJ150" s="21">
        <f t="shared" si="370"/>
        <v>0</v>
      </c>
      <c r="BK150" s="4">
        <f t="shared" si="371"/>
        <v>0</v>
      </c>
      <c r="BL150" s="4">
        <f t="shared" si="371"/>
        <v>442625</v>
      </c>
      <c r="BM150" s="4">
        <f t="shared" si="371"/>
        <v>842550</v>
      </c>
      <c r="BN150" s="4">
        <f t="shared" si="372"/>
        <v>930000</v>
      </c>
      <c r="BO150" s="94">
        <f t="shared" si="372"/>
        <v>1576500</v>
      </c>
      <c r="BP150" s="94">
        <f t="shared" si="372"/>
        <v>1866500</v>
      </c>
      <c r="BQ150" s="94">
        <f t="shared" si="372"/>
        <v>1872000</v>
      </c>
      <c r="BR150" s="94">
        <f t="shared" si="373"/>
        <v>1248000</v>
      </c>
      <c r="BS150" s="9">
        <f t="shared" si="374"/>
        <v>8778175</v>
      </c>
    </row>
    <row r="151" spans="1:71" s="38" customFormat="1">
      <c r="A151" s="34"/>
      <c r="B151" s="34"/>
      <c r="C151" s="35" t="s">
        <v>270</v>
      </c>
      <c r="D151" s="37"/>
      <c r="E151" s="37"/>
      <c r="F151" s="37">
        <f>SUM(F149:F150)</f>
        <v>0</v>
      </c>
      <c r="G151" s="37">
        <f t="shared" ref="G151:BS151" si="375">SUM(G149:G150)</f>
        <v>155000</v>
      </c>
      <c r="H151" s="37">
        <f t="shared" si="375"/>
        <v>354000</v>
      </c>
      <c r="I151" s="37">
        <f t="shared" si="375"/>
        <v>120000</v>
      </c>
      <c r="J151" s="37">
        <f t="shared" si="375"/>
        <v>0</v>
      </c>
      <c r="K151" s="37">
        <f t="shared" si="375"/>
        <v>0</v>
      </c>
      <c r="L151" s="37">
        <f t="shared" si="375"/>
        <v>0</v>
      </c>
      <c r="M151" s="37">
        <f t="shared" ref="M151" si="376">SUM(M149:M150)</f>
        <v>0</v>
      </c>
      <c r="N151" s="37">
        <f t="shared" si="375"/>
        <v>629000</v>
      </c>
      <c r="O151" s="37">
        <f t="shared" si="375"/>
        <v>0</v>
      </c>
      <c r="P151" s="37">
        <f t="shared" si="375"/>
        <v>0</v>
      </c>
      <c r="Q151" s="37">
        <f t="shared" si="375"/>
        <v>0</v>
      </c>
      <c r="R151" s="37">
        <f t="shared" si="375"/>
        <v>0</v>
      </c>
      <c r="S151" s="37">
        <f t="shared" si="375"/>
        <v>0</v>
      </c>
      <c r="T151" s="37">
        <f t="shared" si="375"/>
        <v>0</v>
      </c>
      <c r="U151" s="37">
        <f t="shared" si="375"/>
        <v>0</v>
      </c>
      <c r="V151" s="37">
        <f t="shared" ref="V151" si="377">SUM(V149:V150)</f>
        <v>0</v>
      </c>
      <c r="W151" s="37">
        <f t="shared" si="375"/>
        <v>0</v>
      </c>
      <c r="X151" s="37">
        <f t="shared" si="375"/>
        <v>0</v>
      </c>
      <c r="Y151" s="37">
        <f t="shared" si="375"/>
        <v>0</v>
      </c>
      <c r="Z151" s="37">
        <f t="shared" si="375"/>
        <v>0</v>
      </c>
      <c r="AA151" s="37">
        <f t="shared" si="375"/>
        <v>0</v>
      </c>
      <c r="AB151" s="37">
        <f t="shared" si="375"/>
        <v>0</v>
      </c>
      <c r="AC151" s="37">
        <f t="shared" si="375"/>
        <v>0</v>
      </c>
      <c r="AD151" s="37">
        <f t="shared" si="375"/>
        <v>0</v>
      </c>
      <c r="AE151" s="37">
        <f t="shared" ref="AE151" si="378">SUM(AE149:AE150)</f>
        <v>0</v>
      </c>
      <c r="AF151" s="37">
        <f t="shared" si="375"/>
        <v>0</v>
      </c>
      <c r="AG151" s="37">
        <f t="shared" si="375"/>
        <v>0</v>
      </c>
      <c r="AH151" s="37">
        <f t="shared" si="375"/>
        <v>981725</v>
      </c>
      <c r="AI151" s="37">
        <f t="shared" si="375"/>
        <v>967000</v>
      </c>
      <c r="AJ151" s="37">
        <f t="shared" si="375"/>
        <v>750000</v>
      </c>
      <c r="AK151" s="37">
        <f t="shared" si="375"/>
        <v>762500</v>
      </c>
      <c r="AL151" s="37">
        <f t="shared" si="375"/>
        <v>627220</v>
      </c>
      <c r="AM151" s="37">
        <f t="shared" si="375"/>
        <v>407400</v>
      </c>
      <c r="AN151" s="37">
        <f t="shared" ref="AN151" si="379">SUM(AN149:AN150)</f>
        <v>543200</v>
      </c>
      <c r="AO151" s="37">
        <f t="shared" si="375"/>
        <v>5039045</v>
      </c>
      <c r="AP151" s="37">
        <f t="shared" si="375"/>
        <v>630000</v>
      </c>
      <c r="AQ151" s="37">
        <f t="shared" si="375"/>
        <v>1576500</v>
      </c>
      <c r="AR151" s="37">
        <f t="shared" si="375"/>
        <v>1866500</v>
      </c>
      <c r="AS151" s="37">
        <f t="shared" si="375"/>
        <v>1872000</v>
      </c>
      <c r="AT151" s="37">
        <f t="shared" ref="AT151" si="380">SUM(AT149:AT150)</f>
        <v>1248000</v>
      </c>
      <c r="AU151" s="37">
        <f t="shared" si="375"/>
        <v>7193000</v>
      </c>
      <c r="AV151" s="37">
        <f t="shared" si="375"/>
        <v>0</v>
      </c>
      <c r="AW151" s="37">
        <f t="shared" si="375"/>
        <v>0</v>
      </c>
      <c r="AX151" s="37">
        <f t="shared" si="375"/>
        <v>0</v>
      </c>
      <c r="AY151" s="37">
        <f t="shared" si="375"/>
        <v>0</v>
      </c>
      <c r="AZ151" s="37">
        <f t="shared" ref="AZ151" si="381">SUM(AZ149:AZ150)</f>
        <v>0</v>
      </c>
      <c r="BA151" s="37">
        <f t="shared" si="375"/>
        <v>0</v>
      </c>
      <c r="BB151" s="37">
        <f t="shared" si="375"/>
        <v>0</v>
      </c>
      <c r="BC151" s="37">
        <f t="shared" si="375"/>
        <v>0</v>
      </c>
      <c r="BD151" s="37">
        <f t="shared" si="375"/>
        <v>0</v>
      </c>
      <c r="BE151" s="37">
        <f t="shared" si="375"/>
        <v>0</v>
      </c>
      <c r="BF151" s="37">
        <f t="shared" si="375"/>
        <v>0</v>
      </c>
      <c r="BG151" s="37">
        <f t="shared" si="375"/>
        <v>0</v>
      </c>
      <c r="BH151" s="37">
        <f t="shared" si="375"/>
        <v>0</v>
      </c>
      <c r="BI151" s="37">
        <f t="shared" ref="BI151" si="382">SUM(BI149:BI150)</f>
        <v>0</v>
      </c>
      <c r="BJ151" s="37">
        <f t="shared" si="375"/>
        <v>0</v>
      </c>
      <c r="BK151" s="37">
        <f t="shared" si="375"/>
        <v>0</v>
      </c>
      <c r="BL151" s="37">
        <f t="shared" si="375"/>
        <v>1136725</v>
      </c>
      <c r="BM151" s="37">
        <f t="shared" si="375"/>
        <v>1321000</v>
      </c>
      <c r="BN151" s="37">
        <f t="shared" si="375"/>
        <v>1500000</v>
      </c>
      <c r="BO151" s="37">
        <f t="shared" si="375"/>
        <v>2339000</v>
      </c>
      <c r="BP151" s="37">
        <f t="shared" si="375"/>
        <v>2493720</v>
      </c>
      <c r="BQ151" s="37">
        <f t="shared" si="375"/>
        <v>2279400</v>
      </c>
      <c r="BR151" s="37">
        <f t="shared" ref="BR151" si="383">SUM(BR149:BR150)</f>
        <v>1791200</v>
      </c>
      <c r="BS151" s="37">
        <f t="shared" si="375"/>
        <v>12861045</v>
      </c>
    </row>
    <row r="152" spans="1:71" ht="31.5">
      <c r="A152" s="151" t="s">
        <v>271</v>
      </c>
      <c r="B152" s="8">
        <v>1</v>
      </c>
      <c r="C152" s="44" t="s">
        <v>272</v>
      </c>
      <c r="D152" s="45" t="s">
        <v>271</v>
      </c>
      <c r="E152" s="45" t="s">
        <v>273</v>
      </c>
      <c r="F152" s="4"/>
      <c r="G152" s="4"/>
      <c r="H152" s="5"/>
      <c r="I152" s="4"/>
      <c r="J152" s="4"/>
      <c r="K152" s="4"/>
      <c r="L152" s="4"/>
      <c r="M152" s="4"/>
      <c r="N152" s="9">
        <f>SUM(F152:M152)</f>
        <v>0</v>
      </c>
      <c r="O152" s="76"/>
      <c r="P152" s="76"/>
      <c r="Q152" s="76">
        <v>290000</v>
      </c>
      <c r="R152" s="76"/>
      <c r="S152" s="4"/>
      <c r="T152" s="4">
        <f>1725000+570000</f>
        <v>2295000</v>
      </c>
      <c r="U152" s="4">
        <f>570000+570000+190000+760000+190000</f>
        <v>2280000</v>
      </c>
      <c r="V152" s="4">
        <f>380000+190000+190000+190000+190000+380000+570000</f>
        <v>2090000</v>
      </c>
      <c r="W152" s="9">
        <f t="shared" ref="W152" si="384">SUM(O152:V152)</f>
        <v>6955000</v>
      </c>
      <c r="X152" s="20"/>
      <c r="Y152" s="20"/>
      <c r="Z152" s="20"/>
      <c r="AA152" s="20"/>
      <c r="AB152" s="20"/>
      <c r="AC152" s="20"/>
      <c r="AD152" s="20"/>
      <c r="AE152" s="20"/>
      <c r="AF152" s="9">
        <f>SUM(X152:AE152)</f>
        <v>0</v>
      </c>
      <c r="AG152" s="20"/>
      <c r="AH152" s="20"/>
      <c r="AI152" s="25"/>
      <c r="AJ152" s="25"/>
      <c r="AK152" s="20"/>
      <c r="AL152" s="20"/>
      <c r="AM152" s="20"/>
      <c r="AN152" s="20"/>
      <c r="AO152" s="21">
        <f>SUM(AG152:AN152)</f>
        <v>0</v>
      </c>
      <c r="AP152" s="25"/>
      <c r="AQ152" s="20"/>
      <c r="AR152" s="20"/>
      <c r="AS152" s="20"/>
      <c r="AT152" s="20"/>
      <c r="AU152" s="21">
        <f>SUM(AP152:AT152)</f>
        <v>0</v>
      </c>
      <c r="AV152" s="25"/>
      <c r="AW152" s="20"/>
      <c r="AX152" s="20"/>
      <c r="AY152" s="20"/>
      <c r="AZ152" s="20"/>
      <c r="BA152" s="21">
        <f>SUM(AV152:AZ152)</f>
        <v>0</v>
      </c>
      <c r="BB152" s="25"/>
      <c r="BC152" s="25"/>
      <c r="BD152" s="25"/>
      <c r="BE152" s="25"/>
      <c r="BF152" s="20"/>
      <c r="BG152" s="20"/>
      <c r="BH152" s="20"/>
      <c r="BI152" s="20"/>
      <c r="BJ152" s="21">
        <f>SUM(BB152:BI152)</f>
        <v>0</v>
      </c>
      <c r="BK152" s="4">
        <f>F152+O152+X152+AG152+BB152</f>
        <v>0</v>
      </c>
      <c r="BL152" s="4">
        <f>G152+P152+Y152+AH152+BC152</f>
        <v>0</v>
      </c>
      <c r="BM152" s="4">
        <f>H152+Q152+Z152+AI152+BD152</f>
        <v>290000</v>
      </c>
      <c r="BN152" s="4">
        <f>I152+R152+AA152+AJ152+AP152+AV152+BE152</f>
        <v>0</v>
      </c>
      <c r="BO152" s="94">
        <f>J152+S152+AB152+AK152+AQ152+AW152+BF152</f>
        <v>0</v>
      </c>
      <c r="BP152" s="94">
        <f>K152+T152+AC152+AL152+AR152+AX152+BG152</f>
        <v>2295000</v>
      </c>
      <c r="BQ152" s="94">
        <f>L152+U152+AD152+AM152+AS152+AY152+BH152</f>
        <v>2280000</v>
      </c>
      <c r="BR152" s="94">
        <f>M152+V152+AE152+AN152+AT152+AZ152+BI152</f>
        <v>2090000</v>
      </c>
      <c r="BS152" s="9">
        <f>SUM(BK152:BR152)</f>
        <v>6955000</v>
      </c>
    </row>
    <row r="153" spans="1:71" s="38" customFormat="1">
      <c r="A153" s="34"/>
      <c r="B153" s="34"/>
      <c r="C153" s="48" t="s">
        <v>274</v>
      </c>
      <c r="D153" s="49"/>
      <c r="E153" s="49"/>
      <c r="F153" s="37">
        <f>F152</f>
        <v>0</v>
      </c>
      <c r="G153" s="37">
        <f t="shared" ref="G153:BS153" si="385">G152</f>
        <v>0</v>
      </c>
      <c r="H153" s="37">
        <f t="shared" si="385"/>
        <v>0</v>
      </c>
      <c r="I153" s="37">
        <f t="shared" ref="I153" si="386">SUM(I152)</f>
        <v>0</v>
      </c>
      <c r="J153" s="37">
        <f t="shared" si="385"/>
        <v>0</v>
      </c>
      <c r="K153" s="37">
        <f t="shared" si="385"/>
        <v>0</v>
      </c>
      <c r="L153" s="37">
        <f t="shared" si="385"/>
        <v>0</v>
      </c>
      <c r="M153" s="37">
        <f t="shared" ref="M153" si="387">M152</f>
        <v>0</v>
      </c>
      <c r="N153" s="37">
        <f t="shared" si="385"/>
        <v>0</v>
      </c>
      <c r="O153" s="37">
        <f t="shared" si="385"/>
        <v>0</v>
      </c>
      <c r="P153" s="37">
        <f t="shared" si="385"/>
        <v>0</v>
      </c>
      <c r="Q153" s="37">
        <f t="shared" si="385"/>
        <v>290000</v>
      </c>
      <c r="R153" s="37">
        <f t="shared" ref="R153" si="388">SUM(R152)</f>
        <v>0</v>
      </c>
      <c r="S153" s="37">
        <f t="shared" si="385"/>
        <v>0</v>
      </c>
      <c r="T153" s="37">
        <f t="shared" si="385"/>
        <v>2295000</v>
      </c>
      <c r="U153" s="37">
        <f t="shared" si="385"/>
        <v>2280000</v>
      </c>
      <c r="V153" s="37">
        <f t="shared" ref="V153" si="389">V152</f>
        <v>2090000</v>
      </c>
      <c r="W153" s="37">
        <f t="shared" si="385"/>
        <v>6955000</v>
      </c>
      <c r="X153" s="37">
        <f t="shared" si="385"/>
        <v>0</v>
      </c>
      <c r="Y153" s="37">
        <f t="shared" si="385"/>
        <v>0</v>
      </c>
      <c r="Z153" s="37">
        <f t="shared" si="385"/>
        <v>0</v>
      </c>
      <c r="AA153" s="37">
        <f t="shared" ref="AA153:AD153" si="390">SUM(AA152)</f>
        <v>0</v>
      </c>
      <c r="AB153" s="37">
        <f t="shared" si="390"/>
        <v>0</v>
      </c>
      <c r="AC153" s="37">
        <f t="shared" si="390"/>
        <v>0</v>
      </c>
      <c r="AD153" s="37">
        <f t="shared" si="390"/>
        <v>0</v>
      </c>
      <c r="AE153" s="37">
        <f t="shared" ref="AE153" si="391">SUM(AE152)</f>
        <v>0</v>
      </c>
      <c r="AF153" s="37">
        <f t="shared" si="385"/>
        <v>0</v>
      </c>
      <c r="AG153" s="37">
        <f t="shared" si="385"/>
        <v>0</v>
      </c>
      <c r="AH153" s="37">
        <f t="shared" si="385"/>
        <v>0</v>
      </c>
      <c r="AI153" s="37">
        <f t="shared" si="385"/>
        <v>0</v>
      </c>
      <c r="AJ153" s="37">
        <f t="shared" ref="AJ153" si="392">SUM(AJ152)</f>
        <v>0</v>
      </c>
      <c r="AK153" s="37">
        <f t="shared" si="385"/>
        <v>0</v>
      </c>
      <c r="AL153" s="37">
        <f t="shared" si="385"/>
        <v>0</v>
      </c>
      <c r="AM153" s="37">
        <f t="shared" si="385"/>
        <v>0</v>
      </c>
      <c r="AN153" s="37">
        <f t="shared" ref="AN153" si="393">AN152</f>
        <v>0</v>
      </c>
      <c r="AO153" s="37">
        <f t="shared" si="385"/>
        <v>0</v>
      </c>
      <c r="AP153" s="37">
        <f t="shared" ref="AP153" si="394">SUM(AP152)</f>
        <v>0</v>
      </c>
      <c r="AQ153" s="37">
        <f t="shared" si="385"/>
        <v>0</v>
      </c>
      <c r="AR153" s="37">
        <f t="shared" si="385"/>
        <v>0</v>
      </c>
      <c r="AS153" s="37">
        <f t="shared" si="385"/>
        <v>0</v>
      </c>
      <c r="AT153" s="37">
        <f t="shared" ref="AT153" si="395">AT152</f>
        <v>0</v>
      </c>
      <c r="AU153" s="37">
        <f t="shared" si="385"/>
        <v>0</v>
      </c>
      <c r="AV153" s="37">
        <f t="shared" ref="AV153" si="396">SUM(AV152)</f>
        <v>0</v>
      </c>
      <c r="AW153" s="37">
        <f t="shared" si="385"/>
        <v>0</v>
      </c>
      <c r="AX153" s="37">
        <f t="shared" si="385"/>
        <v>0</v>
      </c>
      <c r="AY153" s="37">
        <f t="shared" si="385"/>
        <v>0</v>
      </c>
      <c r="AZ153" s="37">
        <f t="shared" ref="AZ153" si="397">AZ152</f>
        <v>0</v>
      </c>
      <c r="BA153" s="37">
        <f t="shared" si="385"/>
        <v>0</v>
      </c>
      <c r="BB153" s="37">
        <f t="shared" si="385"/>
        <v>0</v>
      </c>
      <c r="BC153" s="37">
        <f t="shared" si="385"/>
        <v>0</v>
      </c>
      <c r="BD153" s="37">
        <f t="shared" si="385"/>
        <v>0</v>
      </c>
      <c r="BE153" s="37">
        <f t="shared" ref="BE153" si="398">SUM(BE152)</f>
        <v>0</v>
      </c>
      <c r="BF153" s="37">
        <f t="shared" si="385"/>
        <v>0</v>
      </c>
      <c r="BG153" s="37">
        <f t="shared" si="385"/>
        <v>0</v>
      </c>
      <c r="BH153" s="37">
        <f t="shared" si="385"/>
        <v>0</v>
      </c>
      <c r="BI153" s="37">
        <f t="shared" ref="BI153" si="399">BI152</f>
        <v>0</v>
      </c>
      <c r="BJ153" s="37">
        <f t="shared" si="385"/>
        <v>0</v>
      </c>
      <c r="BK153" s="37">
        <f t="shared" si="385"/>
        <v>0</v>
      </c>
      <c r="BL153" s="37">
        <f t="shared" si="385"/>
        <v>0</v>
      </c>
      <c r="BM153" s="37">
        <f t="shared" si="385"/>
        <v>290000</v>
      </c>
      <c r="BN153" s="37">
        <f t="shared" si="385"/>
        <v>0</v>
      </c>
      <c r="BO153" s="37">
        <f t="shared" si="385"/>
        <v>0</v>
      </c>
      <c r="BP153" s="37">
        <f t="shared" si="385"/>
        <v>2295000</v>
      </c>
      <c r="BQ153" s="37">
        <f t="shared" si="385"/>
        <v>2280000</v>
      </c>
      <c r="BR153" s="37">
        <f t="shared" ref="BR153" si="400">BR152</f>
        <v>2090000</v>
      </c>
      <c r="BS153" s="37">
        <f t="shared" si="385"/>
        <v>6955000</v>
      </c>
    </row>
    <row r="154" spans="1:71">
      <c r="A154" s="185" t="s">
        <v>275</v>
      </c>
      <c r="B154" s="8">
        <v>1</v>
      </c>
      <c r="C154" s="1" t="s">
        <v>276</v>
      </c>
      <c r="D154" s="4" t="s">
        <v>277</v>
      </c>
      <c r="E154" s="4" t="s">
        <v>275</v>
      </c>
      <c r="F154" s="4"/>
      <c r="G154" s="4">
        <v>705000</v>
      </c>
      <c r="H154" s="4">
        <f>110000+65000+265000</f>
        <v>440000</v>
      </c>
      <c r="I154" s="4"/>
      <c r="J154" s="4"/>
      <c r="K154" s="4"/>
      <c r="L154" s="4"/>
      <c r="M154" s="4"/>
      <c r="N154" s="9">
        <f t="shared" ref="N154:N158" si="401">SUM(F154:M154)</f>
        <v>1145000</v>
      </c>
      <c r="O154" s="4"/>
      <c r="P154" s="4"/>
      <c r="Q154" s="4"/>
      <c r="R154" s="4"/>
      <c r="S154" s="4"/>
      <c r="T154" s="4"/>
      <c r="U154" s="4"/>
      <c r="V154" s="4"/>
      <c r="W154" s="9">
        <f t="shared" ref="W154:W158" si="402">SUM(O154:V154)</f>
        <v>0</v>
      </c>
      <c r="X154" s="20"/>
      <c r="Y154" s="20">
        <v>1340000</v>
      </c>
      <c r="Z154" s="4">
        <v>826000</v>
      </c>
      <c r="AA154" s="22"/>
      <c r="AB154" s="22"/>
      <c r="AC154" s="22"/>
      <c r="AD154" s="22"/>
      <c r="AE154" s="32">
        <v>660000</v>
      </c>
      <c r="AF154" s="9">
        <f t="shared" ref="AF154:AF158" si="403">SUM(X154:AE154)</f>
        <v>2826000</v>
      </c>
      <c r="AG154" s="20"/>
      <c r="AH154" s="25">
        <v>1068000</v>
      </c>
      <c r="AI154" s="25">
        <v>582000</v>
      </c>
      <c r="AJ154" s="25"/>
      <c r="AK154" s="20"/>
      <c r="AL154" s="20"/>
      <c r="AM154" s="20"/>
      <c r="AN154" s="20">
        <v>270000</v>
      </c>
      <c r="AO154" s="21">
        <f t="shared" ref="AO154:AO158" si="404">SUM(AG154:AN154)</f>
        <v>1920000</v>
      </c>
      <c r="AP154" s="25"/>
      <c r="AQ154" s="20"/>
      <c r="AR154" s="20"/>
      <c r="AS154" s="20"/>
      <c r="AT154" s="20"/>
      <c r="AU154" s="21">
        <f t="shared" ref="AU154:AU158" si="405">SUM(AP154:AT154)</f>
        <v>0</v>
      </c>
      <c r="AV154" s="25"/>
      <c r="AW154" s="20"/>
      <c r="AX154" s="20"/>
      <c r="AY154" s="20"/>
      <c r="AZ154" s="20"/>
      <c r="BA154" s="21">
        <f t="shared" ref="BA154:BA158" si="406">SUM(AV154:AZ154)</f>
        <v>0</v>
      </c>
      <c r="BB154" s="25"/>
      <c r="BC154" s="25"/>
      <c r="BD154" s="25"/>
      <c r="BE154" s="25"/>
      <c r="BF154" s="20"/>
      <c r="BG154" s="20"/>
      <c r="BH154" s="20"/>
      <c r="BI154" s="20"/>
      <c r="BJ154" s="21">
        <f t="shared" ref="BJ154:BJ158" si="407">SUM(BB154:BI154)</f>
        <v>0</v>
      </c>
      <c r="BK154" s="4">
        <f t="shared" ref="BK154:BM158" si="408">F154+O154+X154+AG154+BB154</f>
        <v>0</v>
      </c>
      <c r="BL154" s="4">
        <f t="shared" si="408"/>
        <v>3113000</v>
      </c>
      <c r="BM154" s="4">
        <f t="shared" si="408"/>
        <v>1848000</v>
      </c>
      <c r="BN154" s="4">
        <f t="shared" ref="BN154:BQ158" si="409">I154+R154+AA154+AJ154+AP154+AV154+BE154</f>
        <v>0</v>
      </c>
      <c r="BO154" s="94">
        <f t="shared" si="409"/>
        <v>0</v>
      </c>
      <c r="BP154" s="94">
        <f t="shared" si="409"/>
        <v>0</v>
      </c>
      <c r="BQ154" s="94">
        <f t="shared" si="409"/>
        <v>0</v>
      </c>
      <c r="BR154" s="94">
        <f t="shared" ref="BR154:BR158" si="410">M154+V154+AE154+AN154+AT154+AZ154+BI154</f>
        <v>930000</v>
      </c>
      <c r="BS154" s="9">
        <f t="shared" ref="BS154:BS158" si="411">SUM(BK154:BR154)</f>
        <v>5891000</v>
      </c>
    </row>
    <row r="155" spans="1:71" ht="31.5">
      <c r="A155" s="186"/>
      <c r="B155" s="8">
        <v>2</v>
      </c>
      <c r="C155" s="40" t="s">
        <v>278</v>
      </c>
      <c r="D155" s="41" t="s">
        <v>279</v>
      </c>
      <c r="E155" s="4" t="s">
        <v>275</v>
      </c>
      <c r="F155" s="4"/>
      <c r="G155" s="4"/>
      <c r="H155" s="4"/>
      <c r="I155" s="4"/>
      <c r="J155" s="4"/>
      <c r="K155" s="4"/>
      <c r="L155" s="4"/>
      <c r="M155" s="4"/>
      <c r="N155" s="9">
        <f t="shared" si="401"/>
        <v>0</v>
      </c>
      <c r="O155" s="76"/>
      <c r="P155" s="76"/>
      <c r="Q155" s="76">
        <v>360000</v>
      </c>
      <c r="R155" s="76">
        <v>705000</v>
      </c>
      <c r="S155" s="4">
        <f>130000+225000+135000+120000+90000</f>
        <v>700000</v>
      </c>
      <c r="T155" s="4">
        <f>895000+330000</f>
        <v>1225000</v>
      </c>
      <c r="U155" s="4">
        <f>110000+440000+220000+110000</f>
        <v>880000</v>
      </c>
      <c r="V155" s="4">
        <f>110000+110000+220000+110000+110000+550000</f>
        <v>1210000</v>
      </c>
      <c r="W155" s="9">
        <f t="shared" si="402"/>
        <v>5080000</v>
      </c>
      <c r="X155" s="20"/>
      <c r="Y155" s="20"/>
      <c r="Z155" s="20"/>
      <c r="AA155" s="20"/>
      <c r="AB155" s="20"/>
      <c r="AC155" s="20"/>
      <c r="AD155" s="20"/>
      <c r="AE155" s="20"/>
      <c r="AF155" s="9">
        <f t="shared" si="403"/>
        <v>0</v>
      </c>
      <c r="AG155" s="20"/>
      <c r="AH155" s="25"/>
      <c r="AI155" s="25"/>
      <c r="AJ155" s="25"/>
      <c r="AK155" s="20"/>
      <c r="AL155" s="20"/>
      <c r="AM155" s="20"/>
      <c r="AN155" s="20"/>
      <c r="AO155" s="21">
        <f t="shared" si="404"/>
        <v>0</v>
      </c>
      <c r="AP155" s="25"/>
      <c r="AQ155" s="20"/>
      <c r="AR155" s="20"/>
      <c r="AS155" s="20"/>
      <c r="AT155" s="20"/>
      <c r="AU155" s="21">
        <f t="shared" si="405"/>
        <v>0</v>
      </c>
      <c r="AV155" s="25"/>
      <c r="AW155" s="20"/>
      <c r="AX155" s="20"/>
      <c r="AY155" s="20"/>
      <c r="AZ155" s="20"/>
      <c r="BA155" s="21">
        <f t="shared" si="406"/>
        <v>0</v>
      </c>
      <c r="BB155" s="25"/>
      <c r="BC155" s="25"/>
      <c r="BD155" s="25"/>
      <c r="BE155" s="25"/>
      <c r="BF155" s="20"/>
      <c r="BG155" s="20"/>
      <c r="BH155" s="20"/>
      <c r="BI155" s="20"/>
      <c r="BJ155" s="21">
        <f t="shared" si="407"/>
        <v>0</v>
      </c>
      <c r="BK155" s="4">
        <f t="shared" si="408"/>
        <v>0</v>
      </c>
      <c r="BL155" s="4">
        <f t="shared" si="408"/>
        <v>0</v>
      </c>
      <c r="BM155" s="4">
        <f t="shared" si="408"/>
        <v>360000</v>
      </c>
      <c r="BN155" s="4">
        <f t="shared" si="409"/>
        <v>705000</v>
      </c>
      <c r="BO155" s="94">
        <f t="shared" si="409"/>
        <v>700000</v>
      </c>
      <c r="BP155" s="94">
        <f t="shared" si="409"/>
        <v>1225000</v>
      </c>
      <c r="BQ155" s="94">
        <f t="shared" si="409"/>
        <v>880000</v>
      </c>
      <c r="BR155" s="94">
        <f t="shared" si="410"/>
        <v>1210000</v>
      </c>
      <c r="BS155" s="9">
        <f t="shared" si="411"/>
        <v>5080000</v>
      </c>
    </row>
    <row r="156" spans="1:71">
      <c r="A156" s="186"/>
      <c r="B156" s="8">
        <v>3</v>
      </c>
      <c r="C156" s="1" t="s">
        <v>280</v>
      </c>
      <c r="D156" s="41" t="s">
        <v>416</v>
      </c>
      <c r="E156" s="4" t="s">
        <v>275</v>
      </c>
      <c r="F156" s="4"/>
      <c r="G156" s="4"/>
      <c r="H156" s="4">
        <v>-155000</v>
      </c>
      <c r="I156" s="4"/>
      <c r="J156" s="4"/>
      <c r="K156" s="4"/>
      <c r="L156" s="4"/>
      <c r="M156" s="4"/>
      <c r="N156" s="9">
        <f t="shared" si="401"/>
        <v>-155000</v>
      </c>
      <c r="O156" s="4"/>
      <c r="P156" s="4"/>
      <c r="Q156" s="4"/>
      <c r="R156" s="4"/>
      <c r="S156" s="4"/>
      <c r="T156" s="4"/>
      <c r="U156" s="4"/>
      <c r="V156" s="4"/>
      <c r="W156" s="9">
        <f t="shared" si="402"/>
        <v>0</v>
      </c>
      <c r="X156" s="20"/>
      <c r="Y156" s="22">
        <v>290000</v>
      </c>
      <c r="Z156" s="20">
        <v>0</v>
      </c>
      <c r="AA156" s="20">
        <v>-135000</v>
      </c>
      <c r="AB156" s="20"/>
      <c r="AC156" s="20"/>
      <c r="AD156" s="20"/>
      <c r="AE156" s="20"/>
      <c r="AF156" s="9">
        <f t="shared" si="403"/>
        <v>155000</v>
      </c>
      <c r="AG156" s="20"/>
      <c r="AH156" s="25">
        <f>195000-(195000)</f>
        <v>0</v>
      </c>
      <c r="AI156" s="20"/>
      <c r="AJ156" s="20"/>
      <c r="AK156" s="20"/>
      <c r="AL156" s="20"/>
      <c r="AM156" s="20"/>
      <c r="AN156" s="20"/>
      <c r="AO156" s="21">
        <f t="shared" si="404"/>
        <v>0</v>
      </c>
      <c r="AP156" s="25"/>
      <c r="AQ156" s="20"/>
      <c r="AR156" s="20"/>
      <c r="AS156" s="20"/>
      <c r="AT156" s="20"/>
      <c r="AU156" s="21">
        <f t="shared" si="405"/>
        <v>0</v>
      </c>
      <c r="AV156" s="25"/>
      <c r="AW156" s="20"/>
      <c r="AX156" s="20"/>
      <c r="AY156" s="20"/>
      <c r="AZ156" s="20"/>
      <c r="BA156" s="21">
        <f t="shared" si="406"/>
        <v>0</v>
      </c>
      <c r="BB156" s="25"/>
      <c r="BC156" s="25"/>
      <c r="BD156" s="25"/>
      <c r="BE156" s="25"/>
      <c r="BF156" s="20"/>
      <c r="BG156" s="20"/>
      <c r="BH156" s="20"/>
      <c r="BI156" s="20"/>
      <c r="BJ156" s="21">
        <f t="shared" si="407"/>
        <v>0</v>
      </c>
      <c r="BK156" s="4">
        <f t="shared" si="408"/>
        <v>0</v>
      </c>
      <c r="BL156" s="4">
        <f t="shared" si="408"/>
        <v>290000</v>
      </c>
      <c r="BM156" s="4">
        <f t="shared" si="408"/>
        <v>-155000</v>
      </c>
      <c r="BN156" s="4">
        <f t="shared" si="409"/>
        <v>-135000</v>
      </c>
      <c r="BO156" s="94">
        <f t="shared" si="409"/>
        <v>0</v>
      </c>
      <c r="BP156" s="94">
        <f t="shared" si="409"/>
        <v>0</v>
      </c>
      <c r="BQ156" s="94">
        <f t="shared" si="409"/>
        <v>0</v>
      </c>
      <c r="BR156" s="94">
        <f t="shared" si="410"/>
        <v>0</v>
      </c>
      <c r="BS156" s="9">
        <f t="shared" si="411"/>
        <v>0</v>
      </c>
    </row>
    <row r="157" spans="1:71">
      <c r="A157" s="186"/>
      <c r="B157" s="8">
        <v>4</v>
      </c>
      <c r="C157" s="1" t="s">
        <v>281</v>
      </c>
      <c r="D157" s="4" t="s">
        <v>282</v>
      </c>
      <c r="E157" s="4" t="s">
        <v>275</v>
      </c>
      <c r="F157" s="4"/>
      <c r="G157" s="4">
        <v>155000</v>
      </c>
      <c r="H157" s="4"/>
      <c r="I157" s="4">
        <v>72000</v>
      </c>
      <c r="J157" s="4"/>
      <c r="K157" s="4"/>
      <c r="L157" s="4"/>
      <c r="M157" s="4"/>
      <c r="N157" s="9">
        <f t="shared" si="401"/>
        <v>227000</v>
      </c>
      <c r="O157" s="4"/>
      <c r="P157" s="4"/>
      <c r="Q157" s="4"/>
      <c r="R157" s="4"/>
      <c r="S157" s="4"/>
      <c r="T157" s="4"/>
      <c r="U157" s="4"/>
      <c r="V157" s="4"/>
      <c r="W157" s="9">
        <f t="shared" si="402"/>
        <v>0</v>
      </c>
      <c r="X157" s="20"/>
      <c r="Y157" s="20"/>
      <c r="Z157" s="20"/>
      <c r="AA157" s="20"/>
      <c r="AB157" s="20"/>
      <c r="AC157" s="20"/>
      <c r="AD157" s="20"/>
      <c r="AE157" s="20"/>
      <c r="AF157" s="9">
        <f t="shared" si="403"/>
        <v>0</v>
      </c>
      <c r="AG157" s="20"/>
      <c r="AH157" s="20"/>
      <c r="AI157" s="20"/>
      <c r="AJ157" s="20"/>
      <c r="AK157" s="20"/>
      <c r="AL157" s="20"/>
      <c r="AM157" s="20"/>
      <c r="AN157" s="20"/>
      <c r="AO157" s="21">
        <f t="shared" si="404"/>
        <v>0</v>
      </c>
      <c r="AP157" s="25"/>
      <c r="AQ157" s="20"/>
      <c r="AR157" s="20"/>
      <c r="AS157" s="20"/>
      <c r="AT157" s="20"/>
      <c r="AU157" s="21">
        <f t="shared" si="405"/>
        <v>0</v>
      </c>
      <c r="AV157" s="25"/>
      <c r="AW157" s="20"/>
      <c r="AX157" s="20"/>
      <c r="AY157" s="20"/>
      <c r="AZ157" s="20"/>
      <c r="BA157" s="21">
        <f t="shared" si="406"/>
        <v>0</v>
      </c>
      <c r="BB157" s="25"/>
      <c r="BC157" s="25"/>
      <c r="BD157" s="25"/>
      <c r="BE157" s="25"/>
      <c r="BF157" s="20"/>
      <c r="BG157" s="20"/>
      <c r="BH157" s="20"/>
      <c r="BI157" s="20"/>
      <c r="BJ157" s="21">
        <f t="shared" si="407"/>
        <v>0</v>
      </c>
      <c r="BK157" s="4">
        <f t="shared" si="408"/>
        <v>0</v>
      </c>
      <c r="BL157" s="4">
        <f t="shared" si="408"/>
        <v>155000</v>
      </c>
      <c r="BM157" s="4">
        <f t="shared" si="408"/>
        <v>0</v>
      </c>
      <c r="BN157" s="4">
        <f t="shared" si="409"/>
        <v>72000</v>
      </c>
      <c r="BO157" s="94">
        <f t="shared" si="409"/>
        <v>0</v>
      </c>
      <c r="BP157" s="94">
        <f t="shared" si="409"/>
        <v>0</v>
      </c>
      <c r="BQ157" s="94">
        <f t="shared" si="409"/>
        <v>0</v>
      </c>
      <c r="BR157" s="94">
        <f t="shared" si="410"/>
        <v>0</v>
      </c>
      <c r="BS157" s="9">
        <f t="shared" si="411"/>
        <v>227000</v>
      </c>
    </row>
    <row r="158" spans="1:71" ht="31.5">
      <c r="A158" s="187"/>
      <c r="B158" s="8">
        <v>5</v>
      </c>
      <c r="C158" s="1" t="s">
        <v>283</v>
      </c>
      <c r="D158" s="4" t="s">
        <v>284</v>
      </c>
      <c r="E158" s="4" t="s">
        <v>275</v>
      </c>
      <c r="F158" s="4">
        <v>155000</v>
      </c>
      <c r="G158" s="4">
        <v>152000</v>
      </c>
      <c r="H158" s="4">
        <v>514500</v>
      </c>
      <c r="I158" s="4">
        <v>508000</v>
      </c>
      <c r="J158" s="4">
        <f>24500+73000+101000+91000+71000</f>
        <v>360500</v>
      </c>
      <c r="K158" s="4">
        <f>422500+81000+40500</f>
        <v>544000</v>
      </c>
      <c r="L158" s="4">
        <v>549000</v>
      </c>
      <c r="M158" s="4">
        <v>556000</v>
      </c>
      <c r="N158" s="9">
        <f t="shared" si="401"/>
        <v>3339000</v>
      </c>
      <c r="O158" s="4"/>
      <c r="P158" s="4"/>
      <c r="Q158" s="4"/>
      <c r="R158" s="4"/>
      <c r="S158" s="4"/>
      <c r="T158" s="4"/>
      <c r="U158" s="4"/>
      <c r="V158" s="4"/>
      <c r="W158" s="9">
        <f t="shared" si="402"/>
        <v>0</v>
      </c>
      <c r="X158" s="20"/>
      <c r="Y158" s="20"/>
      <c r="Z158" s="20"/>
      <c r="AA158" s="20"/>
      <c r="AB158" s="20"/>
      <c r="AC158" s="20"/>
      <c r="AD158" s="20"/>
      <c r="AE158" s="20"/>
      <c r="AF158" s="9">
        <f t="shared" si="403"/>
        <v>0</v>
      </c>
      <c r="AG158" s="20"/>
      <c r="AH158" s="20"/>
      <c r="AI158" s="25"/>
      <c r="AJ158" s="25"/>
      <c r="AK158" s="20"/>
      <c r="AL158" s="20"/>
      <c r="AM158" s="20"/>
      <c r="AN158" s="20"/>
      <c r="AO158" s="21">
        <f t="shared" si="404"/>
        <v>0</v>
      </c>
      <c r="AP158" s="25"/>
      <c r="AQ158" s="20"/>
      <c r="AR158" s="20"/>
      <c r="AS158" s="20"/>
      <c r="AT158" s="20"/>
      <c r="AU158" s="21">
        <f t="shared" si="405"/>
        <v>0</v>
      </c>
      <c r="AV158" s="25"/>
      <c r="AW158" s="20"/>
      <c r="AX158" s="20"/>
      <c r="AY158" s="20"/>
      <c r="AZ158" s="20"/>
      <c r="BA158" s="21">
        <f t="shared" si="406"/>
        <v>0</v>
      </c>
      <c r="BB158" s="25"/>
      <c r="BC158" s="25"/>
      <c r="BD158" s="25"/>
      <c r="BE158" s="25"/>
      <c r="BF158" s="20"/>
      <c r="BG158" s="20"/>
      <c r="BH158" s="20"/>
      <c r="BI158" s="20"/>
      <c r="BJ158" s="21">
        <f t="shared" si="407"/>
        <v>0</v>
      </c>
      <c r="BK158" s="4">
        <f t="shared" si="408"/>
        <v>155000</v>
      </c>
      <c r="BL158" s="4">
        <f t="shared" si="408"/>
        <v>152000</v>
      </c>
      <c r="BM158" s="4">
        <f t="shared" si="408"/>
        <v>514500</v>
      </c>
      <c r="BN158" s="4">
        <f t="shared" si="409"/>
        <v>508000</v>
      </c>
      <c r="BO158" s="94">
        <f t="shared" si="409"/>
        <v>360500</v>
      </c>
      <c r="BP158" s="94">
        <f t="shared" si="409"/>
        <v>544000</v>
      </c>
      <c r="BQ158" s="94">
        <f t="shared" si="409"/>
        <v>549000</v>
      </c>
      <c r="BR158" s="94">
        <f t="shared" si="410"/>
        <v>556000</v>
      </c>
      <c r="BS158" s="9">
        <f t="shared" si="411"/>
        <v>3339000</v>
      </c>
    </row>
    <row r="159" spans="1:71" s="36" customFormat="1">
      <c r="A159" s="34"/>
      <c r="B159" s="34"/>
      <c r="C159" s="35" t="s">
        <v>287</v>
      </c>
      <c r="D159" s="37"/>
      <c r="E159" s="37"/>
      <c r="F159" s="37">
        <f t="shared" ref="F159:BS159" si="412">SUM(F154:F158)</f>
        <v>155000</v>
      </c>
      <c r="G159" s="37">
        <f t="shared" si="412"/>
        <v>1012000</v>
      </c>
      <c r="H159" s="37">
        <f t="shared" si="412"/>
        <v>799500</v>
      </c>
      <c r="I159" s="37">
        <f t="shared" si="412"/>
        <v>580000</v>
      </c>
      <c r="J159" s="37">
        <f t="shared" si="412"/>
        <v>360500</v>
      </c>
      <c r="K159" s="37">
        <f t="shared" si="412"/>
        <v>544000</v>
      </c>
      <c r="L159" s="37">
        <f t="shared" ref="L159:M159" si="413">SUM(L154:L158)</f>
        <v>549000</v>
      </c>
      <c r="M159" s="37">
        <f t="shared" si="413"/>
        <v>556000</v>
      </c>
      <c r="N159" s="37">
        <f t="shared" si="412"/>
        <v>4556000</v>
      </c>
      <c r="O159" s="37">
        <f t="shared" si="412"/>
        <v>0</v>
      </c>
      <c r="P159" s="37">
        <f t="shared" si="412"/>
        <v>0</v>
      </c>
      <c r="Q159" s="37">
        <f t="shared" si="412"/>
        <v>360000</v>
      </c>
      <c r="R159" s="37">
        <f t="shared" si="412"/>
        <v>705000</v>
      </c>
      <c r="S159" s="37">
        <f t="shared" si="412"/>
        <v>700000</v>
      </c>
      <c r="T159" s="37">
        <f t="shared" si="412"/>
        <v>1225000</v>
      </c>
      <c r="U159" s="37">
        <f t="shared" ref="U159:V159" si="414">SUM(U154:U158)</f>
        <v>880000</v>
      </c>
      <c r="V159" s="37">
        <f t="shared" si="414"/>
        <v>1210000</v>
      </c>
      <c r="W159" s="37">
        <f t="shared" si="412"/>
        <v>5080000</v>
      </c>
      <c r="X159" s="37">
        <f t="shared" si="412"/>
        <v>0</v>
      </c>
      <c r="Y159" s="37">
        <f t="shared" si="412"/>
        <v>1630000</v>
      </c>
      <c r="Z159" s="37">
        <f t="shared" si="412"/>
        <v>826000</v>
      </c>
      <c r="AA159" s="37">
        <f t="shared" si="412"/>
        <v>-135000</v>
      </c>
      <c r="AB159" s="37">
        <f t="shared" si="412"/>
        <v>0</v>
      </c>
      <c r="AC159" s="37">
        <f t="shared" si="412"/>
        <v>0</v>
      </c>
      <c r="AD159" s="37">
        <f t="shared" ref="AD159:AE159" si="415">SUM(AD154:AD158)</f>
        <v>0</v>
      </c>
      <c r="AE159" s="37">
        <f t="shared" si="415"/>
        <v>660000</v>
      </c>
      <c r="AF159" s="37">
        <f t="shared" si="412"/>
        <v>2981000</v>
      </c>
      <c r="AG159" s="37">
        <f t="shared" si="412"/>
        <v>0</v>
      </c>
      <c r="AH159" s="37">
        <f t="shared" si="412"/>
        <v>1068000</v>
      </c>
      <c r="AI159" s="37">
        <f t="shared" si="412"/>
        <v>582000</v>
      </c>
      <c r="AJ159" s="37">
        <f t="shared" si="412"/>
        <v>0</v>
      </c>
      <c r="AK159" s="37">
        <f t="shared" si="412"/>
        <v>0</v>
      </c>
      <c r="AL159" s="37">
        <f t="shared" si="412"/>
        <v>0</v>
      </c>
      <c r="AM159" s="37">
        <f t="shared" ref="AM159:AN159" si="416">SUM(AM154:AM158)</f>
        <v>0</v>
      </c>
      <c r="AN159" s="37">
        <f t="shared" si="416"/>
        <v>270000</v>
      </c>
      <c r="AO159" s="37">
        <f t="shared" si="412"/>
        <v>1920000</v>
      </c>
      <c r="AP159" s="37">
        <f t="shared" si="412"/>
        <v>0</v>
      </c>
      <c r="AQ159" s="37">
        <f t="shared" si="412"/>
        <v>0</v>
      </c>
      <c r="AR159" s="37">
        <f t="shared" si="412"/>
        <v>0</v>
      </c>
      <c r="AS159" s="37">
        <f t="shared" ref="AS159:AT159" si="417">SUM(AS154:AS158)</f>
        <v>0</v>
      </c>
      <c r="AT159" s="37">
        <f t="shared" si="417"/>
        <v>0</v>
      </c>
      <c r="AU159" s="37">
        <f t="shared" si="412"/>
        <v>0</v>
      </c>
      <c r="AV159" s="37">
        <f t="shared" si="412"/>
        <v>0</v>
      </c>
      <c r="AW159" s="37">
        <f t="shared" si="412"/>
        <v>0</v>
      </c>
      <c r="AX159" s="37">
        <f t="shared" si="412"/>
        <v>0</v>
      </c>
      <c r="AY159" s="37">
        <f t="shared" ref="AY159:AZ159" si="418">SUM(AY154:AY158)</f>
        <v>0</v>
      </c>
      <c r="AZ159" s="37">
        <f t="shared" si="418"/>
        <v>0</v>
      </c>
      <c r="BA159" s="37">
        <f t="shared" si="412"/>
        <v>0</v>
      </c>
      <c r="BB159" s="37">
        <f t="shared" si="412"/>
        <v>0</v>
      </c>
      <c r="BC159" s="37">
        <f t="shared" si="412"/>
        <v>0</v>
      </c>
      <c r="BD159" s="37">
        <f t="shared" si="412"/>
        <v>0</v>
      </c>
      <c r="BE159" s="37">
        <f t="shared" si="412"/>
        <v>0</v>
      </c>
      <c r="BF159" s="37">
        <f t="shared" si="412"/>
        <v>0</v>
      </c>
      <c r="BG159" s="37">
        <f t="shared" si="412"/>
        <v>0</v>
      </c>
      <c r="BH159" s="37">
        <f t="shared" ref="BH159:BI159" si="419">SUM(BH154:BH158)</f>
        <v>0</v>
      </c>
      <c r="BI159" s="37">
        <f t="shared" si="419"/>
        <v>0</v>
      </c>
      <c r="BJ159" s="37">
        <f t="shared" si="412"/>
        <v>0</v>
      </c>
      <c r="BK159" s="37">
        <f t="shared" si="412"/>
        <v>155000</v>
      </c>
      <c r="BL159" s="37">
        <f t="shared" si="412"/>
        <v>3710000</v>
      </c>
      <c r="BM159" s="37">
        <f t="shared" si="412"/>
        <v>2567500</v>
      </c>
      <c r="BN159" s="37">
        <f t="shared" si="412"/>
        <v>1150000</v>
      </c>
      <c r="BO159" s="37">
        <f t="shared" si="412"/>
        <v>1060500</v>
      </c>
      <c r="BP159" s="144">
        <f>SUM(BP154:BP158)</f>
        <v>1769000</v>
      </c>
      <c r="BQ159" s="37">
        <f t="shared" ref="BQ159:BR159" si="420">SUM(BQ154:BQ158)</f>
        <v>1429000</v>
      </c>
      <c r="BR159" s="37">
        <f t="shared" si="420"/>
        <v>2696000</v>
      </c>
      <c r="BS159" s="37">
        <f t="shared" si="412"/>
        <v>14537000</v>
      </c>
    </row>
    <row r="160" spans="1:71" ht="31.5">
      <c r="A160" s="185" t="s">
        <v>21</v>
      </c>
      <c r="B160" s="8">
        <v>1</v>
      </c>
      <c r="C160" s="55" t="s">
        <v>288</v>
      </c>
      <c r="D160" s="56" t="s">
        <v>289</v>
      </c>
      <c r="E160" s="56" t="s">
        <v>21</v>
      </c>
      <c r="F160" s="56"/>
      <c r="G160" s="56">
        <v>155000</v>
      </c>
      <c r="H160" s="56">
        <f>100000+50000</f>
        <v>150000</v>
      </c>
      <c r="I160" s="56">
        <v>651500</v>
      </c>
      <c r="J160" s="4">
        <f>157500+180500+175000+133000+110500</f>
        <v>756500</v>
      </c>
      <c r="K160" s="4">
        <f>725500+164000+87000</f>
        <v>976500</v>
      </c>
      <c r="L160" s="4">
        <v>224500</v>
      </c>
      <c r="M160" s="4">
        <v>979000</v>
      </c>
      <c r="N160" s="9">
        <f t="shared" ref="N160:N167" si="421">SUM(F160:M160)</f>
        <v>3893000</v>
      </c>
      <c r="O160" s="56"/>
      <c r="P160" s="56"/>
      <c r="Q160" s="56"/>
      <c r="R160" s="56"/>
      <c r="S160" s="4"/>
      <c r="T160" s="4"/>
      <c r="U160" s="4"/>
      <c r="V160" s="4"/>
      <c r="W160" s="9">
        <f t="shared" ref="W160:W167" si="422">SUM(O160:V160)</f>
        <v>0</v>
      </c>
      <c r="X160" s="57"/>
      <c r="Y160" s="57"/>
      <c r="Z160" s="57"/>
      <c r="AA160" s="57"/>
      <c r="AB160" s="57"/>
      <c r="AC160" s="57"/>
      <c r="AD160" s="57"/>
      <c r="AE160" s="57"/>
      <c r="AF160" s="9">
        <f t="shared" ref="AF160:AF167" si="423">SUM(X160:AE160)</f>
        <v>0</v>
      </c>
      <c r="AG160" s="57"/>
      <c r="AH160" s="57"/>
      <c r="AI160" s="57"/>
      <c r="AJ160" s="57"/>
      <c r="AK160" s="20"/>
      <c r="AL160" s="20"/>
      <c r="AM160" s="20"/>
      <c r="AN160" s="20"/>
      <c r="AO160" s="21">
        <f t="shared" ref="AO160:AO167" si="424">SUM(AG160:AN160)</f>
        <v>0</v>
      </c>
      <c r="AP160" s="58"/>
      <c r="AQ160" s="20"/>
      <c r="AR160" s="20"/>
      <c r="AS160" s="20"/>
      <c r="AT160" s="20"/>
      <c r="AU160" s="21">
        <f t="shared" ref="AU160:AU167" si="425">SUM(AP160:AT160)</f>
        <v>0</v>
      </c>
      <c r="AV160" s="58"/>
      <c r="AW160" s="57"/>
      <c r="AX160" s="57"/>
      <c r="AY160" s="57"/>
      <c r="AZ160" s="57"/>
      <c r="BA160" s="21">
        <f t="shared" ref="BA160:BA167" si="426">SUM(AV160:AZ160)</f>
        <v>0</v>
      </c>
      <c r="BB160" s="58"/>
      <c r="BC160" s="58"/>
      <c r="BD160" s="58">
        <v>100000</v>
      </c>
      <c r="BE160" s="58">
        <v>125000</v>
      </c>
      <c r="BF160" s="20"/>
      <c r="BG160" s="20"/>
      <c r="BH160" s="20"/>
      <c r="BI160" s="20"/>
      <c r="BJ160" s="21">
        <f t="shared" ref="BJ160:BJ167" si="427">SUM(BB160:BI160)</f>
        <v>225000</v>
      </c>
      <c r="BK160" s="4">
        <f t="shared" ref="BK160:BM167" si="428">F160+O160+X160+AG160+BB160</f>
        <v>0</v>
      </c>
      <c r="BL160" s="4">
        <f t="shared" si="428"/>
        <v>155000</v>
      </c>
      <c r="BM160" s="4">
        <f t="shared" si="428"/>
        <v>250000</v>
      </c>
      <c r="BN160" s="4">
        <f t="shared" ref="BN160:BQ167" si="429">I160+R160+AA160+AJ160+AP160+AV160+BE160</f>
        <v>776500</v>
      </c>
      <c r="BO160" s="94">
        <f t="shared" si="429"/>
        <v>756500</v>
      </c>
      <c r="BP160" s="94">
        <f t="shared" si="429"/>
        <v>976500</v>
      </c>
      <c r="BQ160" s="94">
        <f t="shared" si="429"/>
        <v>224500</v>
      </c>
      <c r="BR160" s="94">
        <f t="shared" ref="BR160:BR167" si="430">M160+V160+AE160+AN160+AT160+AZ160+BI160</f>
        <v>979000</v>
      </c>
      <c r="BS160" s="9">
        <f t="shared" ref="BS160:BS167" si="431">SUM(BK160:BR160)</f>
        <v>4118000</v>
      </c>
    </row>
    <row r="161" spans="1:71" ht="31.5">
      <c r="A161" s="186"/>
      <c r="B161" s="8">
        <v>2</v>
      </c>
      <c r="C161" s="1" t="s">
        <v>290</v>
      </c>
      <c r="D161" s="91" t="s">
        <v>417</v>
      </c>
      <c r="E161" s="4" t="s">
        <v>21</v>
      </c>
      <c r="F161" s="4"/>
      <c r="G161" s="4"/>
      <c r="H161" s="4"/>
      <c r="I161" s="4"/>
      <c r="J161" s="4"/>
      <c r="K161" s="4"/>
      <c r="L161" s="4"/>
      <c r="M161" s="4"/>
      <c r="N161" s="9">
        <f t="shared" si="421"/>
        <v>0</v>
      </c>
      <c r="O161" s="4"/>
      <c r="P161" s="4"/>
      <c r="Q161" s="4"/>
      <c r="R161" s="4"/>
      <c r="S161" s="4"/>
      <c r="T161" s="4"/>
      <c r="U161" s="4"/>
      <c r="V161" s="4"/>
      <c r="W161" s="9">
        <f t="shared" si="422"/>
        <v>0</v>
      </c>
      <c r="X161" s="20"/>
      <c r="Y161" s="20"/>
      <c r="Z161" s="20"/>
      <c r="AA161" s="20"/>
      <c r="AB161" s="20"/>
      <c r="AC161" s="20"/>
      <c r="AD161" s="20"/>
      <c r="AE161" s="20"/>
      <c r="AF161" s="9">
        <f t="shared" si="423"/>
        <v>0</v>
      </c>
      <c r="AG161" s="20"/>
      <c r="AH161" s="20">
        <v>256750</v>
      </c>
      <c r="AI161" s="25">
        <v>340750</v>
      </c>
      <c r="AJ161" s="24">
        <v>950000</v>
      </c>
      <c r="AK161" s="20">
        <f>70000+210000+420000+140000</f>
        <v>840000</v>
      </c>
      <c r="AL161" s="20">
        <f>889200+197100+98550</f>
        <v>1184850</v>
      </c>
      <c r="AM161" s="20">
        <v>1331550</v>
      </c>
      <c r="AN161" s="20">
        <v>1399050</v>
      </c>
      <c r="AO161" s="21">
        <f t="shared" si="424"/>
        <v>6302950</v>
      </c>
      <c r="AP161" s="25"/>
      <c r="AQ161" s="20"/>
      <c r="AR161" s="20"/>
      <c r="AS161" s="20"/>
      <c r="AT161" s="20"/>
      <c r="AU161" s="21">
        <f t="shared" si="425"/>
        <v>0</v>
      </c>
      <c r="AV161" s="25"/>
      <c r="AW161" s="20"/>
      <c r="AX161" s="20"/>
      <c r="AY161" s="20"/>
      <c r="AZ161" s="20"/>
      <c r="BA161" s="21">
        <f t="shared" si="426"/>
        <v>0</v>
      </c>
      <c r="BB161" s="25"/>
      <c r="BC161" s="25"/>
      <c r="BD161" s="25"/>
      <c r="BE161" s="25"/>
      <c r="BF161" s="20"/>
      <c r="BG161" s="20"/>
      <c r="BH161" s="20"/>
      <c r="BI161" s="20"/>
      <c r="BJ161" s="21">
        <f t="shared" si="427"/>
        <v>0</v>
      </c>
      <c r="BK161" s="4">
        <f t="shared" si="428"/>
        <v>0</v>
      </c>
      <c r="BL161" s="4">
        <f t="shared" si="428"/>
        <v>256750</v>
      </c>
      <c r="BM161" s="4">
        <f t="shared" si="428"/>
        <v>340750</v>
      </c>
      <c r="BN161" s="4">
        <f t="shared" si="429"/>
        <v>950000</v>
      </c>
      <c r="BO161" s="94">
        <f t="shared" si="429"/>
        <v>840000</v>
      </c>
      <c r="BP161" s="94">
        <f t="shared" si="429"/>
        <v>1184850</v>
      </c>
      <c r="BQ161" s="94">
        <f t="shared" si="429"/>
        <v>1331550</v>
      </c>
      <c r="BR161" s="94">
        <f t="shared" si="430"/>
        <v>1399050</v>
      </c>
      <c r="BS161" s="9">
        <f t="shared" si="431"/>
        <v>6302950</v>
      </c>
    </row>
    <row r="162" spans="1:71" ht="47.25">
      <c r="A162" s="186"/>
      <c r="B162" s="8">
        <v>3</v>
      </c>
      <c r="C162" s="42" t="s">
        <v>291</v>
      </c>
      <c r="D162" s="43" t="s">
        <v>292</v>
      </c>
      <c r="E162" s="4" t="s">
        <v>21</v>
      </c>
      <c r="F162" s="4"/>
      <c r="G162" s="4"/>
      <c r="H162" s="4"/>
      <c r="I162" s="4"/>
      <c r="J162" s="4"/>
      <c r="K162" s="4"/>
      <c r="L162" s="4"/>
      <c r="M162" s="4"/>
      <c r="N162" s="9">
        <f t="shared" si="421"/>
        <v>0</v>
      </c>
      <c r="O162" s="4"/>
      <c r="P162" s="4"/>
      <c r="Q162" s="4"/>
      <c r="R162" s="4"/>
      <c r="S162" s="4"/>
      <c r="T162" s="4"/>
      <c r="U162" s="4"/>
      <c r="V162" s="4"/>
      <c r="W162" s="9">
        <f t="shared" si="422"/>
        <v>0</v>
      </c>
      <c r="X162" s="20"/>
      <c r="Y162" s="20"/>
      <c r="Z162" s="4">
        <v>471935</v>
      </c>
      <c r="AA162" s="22">
        <v>360000</v>
      </c>
      <c r="AB162" s="22">
        <f>825000+225000+225000+225000+150000</f>
        <v>1650000</v>
      </c>
      <c r="AC162" s="22">
        <f>1391000+812000</f>
        <v>2203000</v>
      </c>
      <c r="AD162" s="22">
        <f>203000+406000+406000+203000+203000+406000+203000</f>
        <v>2030000</v>
      </c>
      <c r="AE162" s="4">
        <f>819000+406000+203000+203000+203000+609000</f>
        <v>2443000</v>
      </c>
      <c r="AF162" s="9">
        <f t="shared" si="423"/>
        <v>9157935</v>
      </c>
      <c r="AG162" s="20"/>
      <c r="AH162" s="20"/>
      <c r="AI162" s="25"/>
      <c r="AJ162" s="25"/>
      <c r="AK162" s="20"/>
      <c r="AL162" s="20"/>
      <c r="AM162" s="20"/>
      <c r="AN162" s="20"/>
      <c r="AO162" s="21">
        <f t="shared" si="424"/>
        <v>0</v>
      </c>
      <c r="AP162" s="25"/>
      <c r="AQ162" s="20"/>
      <c r="AR162" s="20"/>
      <c r="AS162" s="20"/>
      <c r="AT162" s="20"/>
      <c r="AU162" s="21">
        <f t="shared" si="425"/>
        <v>0</v>
      </c>
      <c r="AV162" s="25"/>
      <c r="AW162" s="20"/>
      <c r="AX162" s="20"/>
      <c r="AY162" s="20"/>
      <c r="AZ162" s="20"/>
      <c r="BA162" s="21">
        <f t="shared" si="426"/>
        <v>0</v>
      </c>
      <c r="BB162" s="25"/>
      <c r="BC162" s="25"/>
      <c r="BD162" s="25"/>
      <c r="BE162" s="25"/>
      <c r="BF162" s="20"/>
      <c r="BG162" s="20"/>
      <c r="BH162" s="20"/>
      <c r="BI162" s="20"/>
      <c r="BJ162" s="21">
        <f t="shared" si="427"/>
        <v>0</v>
      </c>
      <c r="BK162" s="4">
        <f t="shared" si="428"/>
        <v>0</v>
      </c>
      <c r="BL162" s="4">
        <f t="shared" si="428"/>
        <v>0</v>
      </c>
      <c r="BM162" s="4">
        <f t="shared" si="428"/>
        <v>471935</v>
      </c>
      <c r="BN162" s="4">
        <f t="shared" si="429"/>
        <v>360000</v>
      </c>
      <c r="BO162" s="94">
        <f t="shared" si="429"/>
        <v>1650000</v>
      </c>
      <c r="BP162" s="94">
        <f t="shared" si="429"/>
        <v>2203000</v>
      </c>
      <c r="BQ162" s="94">
        <f t="shared" si="429"/>
        <v>2030000</v>
      </c>
      <c r="BR162" s="94">
        <f t="shared" si="430"/>
        <v>2443000</v>
      </c>
      <c r="BS162" s="9">
        <f t="shared" si="431"/>
        <v>9157935</v>
      </c>
    </row>
    <row r="163" spans="1:71" ht="30">
      <c r="A163" s="186"/>
      <c r="B163" s="8">
        <v>5</v>
      </c>
      <c r="C163" s="2" t="s">
        <v>15</v>
      </c>
      <c r="D163" s="13" t="s">
        <v>41</v>
      </c>
      <c r="E163" s="4" t="s">
        <v>21</v>
      </c>
      <c r="F163" s="4"/>
      <c r="G163" s="4"/>
      <c r="H163" s="4"/>
      <c r="I163" s="4"/>
      <c r="J163" s="4"/>
      <c r="K163" s="4"/>
      <c r="L163" s="4"/>
      <c r="M163" s="4"/>
      <c r="N163" s="9">
        <f t="shared" si="421"/>
        <v>0</v>
      </c>
      <c r="O163" s="4"/>
      <c r="P163" s="4"/>
      <c r="Q163" s="4"/>
      <c r="R163" s="4"/>
      <c r="S163" s="4"/>
      <c r="T163" s="4"/>
      <c r="U163" s="4"/>
      <c r="V163" s="4"/>
      <c r="W163" s="9">
        <f t="shared" si="422"/>
        <v>0</v>
      </c>
      <c r="X163" s="20"/>
      <c r="Y163" s="20"/>
      <c r="Z163" s="4"/>
      <c r="AA163" s="20"/>
      <c r="AB163" s="20"/>
      <c r="AC163" s="20"/>
      <c r="AD163" s="20"/>
      <c r="AE163" s="20"/>
      <c r="AF163" s="9">
        <f t="shared" si="423"/>
        <v>0</v>
      </c>
      <c r="AG163" s="20"/>
      <c r="AH163" s="20"/>
      <c r="AI163" s="25"/>
      <c r="AJ163" s="25"/>
      <c r="AK163" s="20"/>
      <c r="AL163" s="20"/>
      <c r="AM163" s="20"/>
      <c r="AN163" s="20"/>
      <c r="AO163" s="21">
        <f t="shared" si="424"/>
        <v>0</v>
      </c>
      <c r="AP163" s="25"/>
      <c r="AQ163" s="20"/>
      <c r="AR163" s="20"/>
      <c r="AS163" s="20"/>
      <c r="AT163" s="20"/>
      <c r="AU163" s="21">
        <f t="shared" si="425"/>
        <v>0</v>
      </c>
      <c r="AV163" s="25"/>
      <c r="AW163" s="20"/>
      <c r="AX163" s="20"/>
      <c r="AY163" s="20"/>
      <c r="AZ163" s="20"/>
      <c r="BA163" s="21">
        <f t="shared" si="426"/>
        <v>0</v>
      </c>
      <c r="BB163" s="25"/>
      <c r="BC163" s="25">
        <v>100000</v>
      </c>
      <c r="BD163" s="25">
        <v>248400</v>
      </c>
      <c r="BE163" s="25">
        <v>240000</v>
      </c>
      <c r="BF163" s="20"/>
      <c r="BG163" s="20"/>
      <c r="BH163" s="20"/>
      <c r="BI163" s="20"/>
      <c r="BJ163" s="21">
        <f t="shared" si="427"/>
        <v>588400</v>
      </c>
      <c r="BK163" s="4">
        <f t="shared" si="428"/>
        <v>0</v>
      </c>
      <c r="BL163" s="4">
        <f t="shared" si="428"/>
        <v>100000</v>
      </c>
      <c r="BM163" s="4">
        <f t="shared" si="428"/>
        <v>248400</v>
      </c>
      <c r="BN163" s="4">
        <f t="shared" si="429"/>
        <v>240000</v>
      </c>
      <c r="BO163" s="94">
        <f t="shared" si="429"/>
        <v>0</v>
      </c>
      <c r="BP163" s="94">
        <f t="shared" si="429"/>
        <v>0</v>
      </c>
      <c r="BQ163" s="94">
        <f t="shared" si="429"/>
        <v>0</v>
      </c>
      <c r="BR163" s="94">
        <f t="shared" si="430"/>
        <v>0</v>
      </c>
      <c r="BS163" s="9">
        <f t="shared" si="431"/>
        <v>588400</v>
      </c>
    </row>
    <row r="164" spans="1:71" ht="31.5">
      <c r="A164" s="186"/>
      <c r="B164" s="8">
        <v>6</v>
      </c>
      <c r="C164" s="1" t="s">
        <v>294</v>
      </c>
      <c r="D164" s="91" t="s">
        <v>419</v>
      </c>
      <c r="E164" s="4" t="s">
        <v>21</v>
      </c>
      <c r="F164" s="4"/>
      <c r="G164" s="4"/>
      <c r="H164" s="4"/>
      <c r="I164" s="4"/>
      <c r="J164" s="4"/>
      <c r="K164" s="4"/>
      <c r="L164" s="4"/>
      <c r="M164" s="4"/>
      <c r="N164" s="9">
        <f t="shared" si="421"/>
        <v>0</v>
      </c>
      <c r="O164" s="4"/>
      <c r="P164" s="4"/>
      <c r="Q164" s="4"/>
      <c r="R164" s="4"/>
      <c r="S164" s="4"/>
      <c r="T164" s="4"/>
      <c r="U164" s="4"/>
      <c r="V164" s="4"/>
      <c r="W164" s="9">
        <f t="shared" si="422"/>
        <v>0</v>
      </c>
      <c r="X164" s="20"/>
      <c r="Y164" s="20"/>
      <c r="Z164" s="4"/>
      <c r="AA164" s="20"/>
      <c r="AB164" s="20"/>
      <c r="AC164" s="20"/>
      <c r="AD164" s="20"/>
      <c r="AE164" s="20"/>
      <c r="AF164" s="9">
        <f t="shared" si="423"/>
        <v>0</v>
      </c>
      <c r="AG164" s="20"/>
      <c r="AH164" s="25">
        <v>394250</v>
      </c>
      <c r="AI164" s="25">
        <v>480150</v>
      </c>
      <c r="AJ164" s="25">
        <v>736500</v>
      </c>
      <c r="AK164" s="20">
        <f>133000+210000+210000+210000+140000</f>
        <v>903000</v>
      </c>
      <c r="AL164" s="20">
        <f>973700+203282+98000</f>
        <v>1274982</v>
      </c>
      <c r="AM164" s="20">
        <v>1457009</v>
      </c>
      <c r="AN164" s="20">
        <v>1600500</v>
      </c>
      <c r="AO164" s="21">
        <f t="shared" si="424"/>
        <v>6846391</v>
      </c>
      <c r="AP164" s="25"/>
      <c r="AQ164" s="20"/>
      <c r="AR164" s="20"/>
      <c r="AS164" s="20"/>
      <c r="AT164" s="20"/>
      <c r="AU164" s="21">
        <f t="shared" si="425"/>
        <v>0</v>
      </c>
      <c r="AV164" s="25"/>
      <c r="AW164" s="20"/>
      <c r="AX164" s="20"/>
      <c r="AY164" s="20"/>
      <c r="AZ164" s="20"/>
      <c r="BA164" s="21">
        <f t="shared" si="426"/>
        <v>0</v>
      </c>
      <c r="BB164" s="25"/>
      <c r="BC164" s="25"/>
      <c r="BD164" s="25"/>
      <c r="BE164" s="25"/>
      <c r="BF164" s="20"/>
      <c r="BG164" s="20"/>
      <c r="BH164" s="20"/>
      <c r="BI164" s="20"/>
      <c r="BJ164" s="21">
        <f t="shared" si="427"/>
        <v>0</v>
      </c>
      <c r="BK164" s="4">
        <f t="shared" si="428"/>
        <v>0</v>
      </c>
      <c r="BL164" s="4">
        <f t="shared" si="428"/>
        <v>394250</v>
      </c>
      <c r="BM164" s="4">
        <f t="shared" si="428"/>
        <v>480150</v>
      </c>
      <c r="BN164" s="4">
        <f t="shared" si="429"/>
        <v>736500</v>
      </c>
      <c r="BO164" s="94">
        <f t="shared" si="429"/>
        <v>903000</v>
      </c>
      <c r="BP164" s="94">
        <f t="shared" si="429"/>
        <v>1274982</v>
      </c>
      <c r="BQ164" s="94">
        <f t="shared" si="429"/>
        <v>1457009</v>
      </c>
      <c r="BR164" s="94">
        <f t="shared" si="430"/>
        <v>1600500</v>
      </c>
      <c r="BS164" s="9">
        <f t="shared" si="431"/>
        <v>6846391</v>
      </c>
    </row>
    <row r="165" spans="1:71" ht="31.5">
      <c r="A165" s="186"/>
      <c r="B165" s="8">
        <v>7</v>
      </c>
      <c r="C165" s="40" t="s">
        <v>295</v>
      </c>
      <c r="D165" s="41" t="s">
        <v>296</v>
      </c>
      <c r="E165" s="4" t="s">
        <v>21</v>
      </c>
      <c r="F165" s="4"/>
      <c r="G165" s="4"/>
      <c r="H165" s="4"/>
      <c r="I165" s="4"/>
      <c r="J165" s="4"/>
      <c r="K165" s="4"/>
      <c r="L165" s="4"/>
      <c r="M165" s="4"/>
      <c r="N165" s="9">
        <f t="shared" si="421"/>
        <v>0</v>
      </c>
      <c r="O165" s="76">
        <v>290000</v>
      </c>
      <c r="P165" s="76">
        <v>1230000</v>
      </c>
      <c r="Q165" s="76">
        <v>1610000</v>
      </c>
      <c r="R165" s="76">
        <v>300000</v>
      </c>
      <c r="S165" s="4"/>
      <c r="T165" s="4"/>
      <c r="U165" s="4"/>
      <c r="V165" s="4"/>
      <c r="W165" s="9">
        <f t="shared" si="422"/>
        <v>3430000</v>
      </c>
      <c r="X165" s="20">
        <v>290000</v>
      </c>
      <c r="Y165" s="22">
        <v>609000</v>
      </c>
      <c r="Z165" s="4">
        <v>2842000</v>
      </c>
      <c r="AA165" s="22">
        <v>360000</v>
      </c>
      <c r="AB165" s="22"/>
      <c r="AC165" s="22"/>
      <c r="AD165" s="22"/>
      <c r="AE165" s="32"/>
      <c r="AF165" s="9">
        <f t="shared" si="423"/>
        <v>4101000</v>
      </c>
      <c r="AG165" s="20"/>
      <c r="AH165" s="25"/>
      <c r="AI165" s="25"/>
      <c r="AJ165" s="25"/>
      <c r="AK165" s="20"/>
      <c r="AL165" s="20"/>
      <c r="AM165" s="20"/>
      <c r="AN165" s="20"/>
      <c r="AO165" s="21">
        <f t="shared" si="424"/>
        <v>0</v>
      </c>
      <c r="AP165" s="25"/>
      <c r="AQ165" s="20"/>
      <c r="AR165" s="20"/>
      <c r="AS165" s="20"/>
      <c r="AT165" s="20"/>
      <c r="AU165" s="21">
        <f t="shared" si="425"/>
        <v>0</v>
      </c>
      <c r="AV165" s="25">
        <v>800000</v>
      </c>
      <c r="AW165" s="20">
        <f>300000+300000+300000+300000+200000</f>
        <v>1400000</v>
      </c>
      <c r="AX165" s="20">
        <f>1876500+255000</f>
        <v>2131500</v>
      </c>
      <c r="AY165" s="20">
        <f>509500+306000+765000+255000+255000+510000+255000</f>
        <v>2855500</v>
      </c>
      <c r="AZ165" s="20">
        <f>765000+510000+255000+1003000+493000+246500</f>
        <v>3272500</v>
      </c>
      <c r="BA165" s="21">
        <f t="shared" si="426"/>
        <v>10459500</v>
      </c>
      <c r="BB165" s="25"/>
      <c r="BC165" s="25"/>
      <c r="BD165" s="25"/>
      <c r="BE165" s="25"/>
      <c r="BF165" s="20"/>
      <c r="BG165" s="20"/>
      <c r="BH165" s="20"/>
      <c r="BI165" s="20"/>
      <c r="BJ165" s="21">
        <f t="shared" si="427"/>
        <v>0</v>
      </c>
      <c r="BK165" s="4">
        <f t="shared" si="428"/>
        <v>580000</v>
      </c>
      <c r="BL165" s="4">
        <f t="shared" si="428"/>
        <v>1839000</v>
      </c>
      <c r="BM165" s="4">
        <f t="shared" si="428"/>
        <v>4452000</v>
      </c>
      <c r="BN165" s="4">
        <f t="shared" si="429"/>
        <v>1460000</v>
      </c>
      <c r="BO165" s="94">
        <f t="shared" si="429"/>
        <v>1400000</v>
      </c>
      <c r="BP165" s="94">
        <f t="shared" si="429"/>
        <v>2131500</v>
      </c>
      <c r="BQ165" s="94">
        <f t="shared" si="429"/>
        <v>2855500</v>
      </c>
      <c r="BR165" s="94">
        <f t="shared" si="430"/>
        <v>3272500</v>
      </c>
      <c r="BS165" s="9">
        <f t="shared" si="431"/>
        <v>17990500</v>
      </c>
    </row>
    <row r="166" spans="1:71" ht="37.5">
      <c r="A166" s="186"/>
      <c r="B166" s="8">
        <v>8</v>
      </c>
      <c r="C166" s="1" t="s">
        <v>297</v>
      </c>
      <c r="D166" s="91" t="s">
        <v>418</v>
      </c>
      <c r="E166" s="4" t="s">
        <v>21</v>
      </c>
      <c r="F166" s="4"/>
      <c r="G166" s="4"/>
      <c r="H166" s="4"/>
      <c r="I166" s="4"/>
      <c r="J166" s="4"/>
      <c r="K166" s="4"/>
      <c r="L166" s="4"/>
      <c r="M166" s="4"/>
      <c r="N166" s="9">
        <f t="shared" si="421"/>
        <v>0</v>
      </c>
      <c r="O166" s="76"/>
      <c r="P166" s="76"/>
      <c r="Q166" s="76"/>
      <c r="R166" s="76"/>
      <c r="S166" s="4"/>
      <c r="T166" s="4"/>
      <c r="U166" s="4"/>
      <c r="V166" s="4"/>
      <c r="W166" s="9">
        <f t="shared" si="422"/>
        <v>0</v>
      </c>
      <c r="X166" s="20"/>
      <c r="Y166" s="20"/>
      <c r="Z166" s="4"/>
      <c r="AA166" s="20"/>
      <c r="AB166" s="20"/>
      <c r="AC166" s="20"/>
      <c r="AD166" s="20"/>
      <c r="AE166" s="20"/>
      <c r="AF166" s="9">
        <f t="shared" si="423"/>
        <v>0</v>
      </c>
      <c r="AG166" s="20"/>
      <c r="AH166" s="25">
        <v>195000</v>
      </c>
      <c r="AI166" s="25">
        <f>238250+30000</f>
        <v>268250</v>
      </c>
      <c r="AJ166" s="25">
        <v>706500</v>
      </c>
      <c r="AK166" s="20">
        <v>56000</v>
      </c>
      <c r="AL166" s="20"/>
      <c r="AM166" s="20"/>
      <c r="AN166" s="20"/>
      <c r="AO166" s="21">
        <f t="shared" si="424"/>
        <v>1225750</v>
      </c>
      <c r="AP166" s="25"/>
      <c r="AQ166" s="20"/>
      <c r="AR166" s="20"/>
      <c r="AS166" s="20"/>
      <c r="AT166" s="20"/>
      <c r="AU166" s="21">
        <f t="shared" si="425"/>
        <v>0</v>
      </c>
      <c r="AV166" s="25"/>
      <c r="AW166" s="20"/>
      <c r="AX166" s="20"/>
      <c r="AY166" s="20"/>
      <c r="AZ166" s="20"/>
      <c r="BA166" s="21">
        <f t="shared" si="426"/>
        <v>0</v>
      </c>
      <c r="BB166" s="25"/>
      <c r="BC166" s="25"/>
      <c r="BD166" s="25"/>
      <c r="BE166" s="25"/>
      <c r="BF166" s="20"/>
      <c r="BG166" s="20"/>
      <c r="BH166" s="20"/>
      <c r="BI166" s="20"/>
      <c r="BJ166" s="21">
        <f t="shared" si="427"/>
        <v>0</v>
      </c>
      <c r="BK166" s="4">
        <f t="shared" si="428"/>
        <v>0</v>
      </c>
      <c r="BL166" s="4">
        <f t="shared" si="428"/>
        <v>195000</v>
      </c>
      <c r="BM166" s="4">
        <f t="shared" si="428"/>
        <v>268250</v>
      </c>
      <c r="BN166" s="4">
        <f t="shared" si="429"/>
        <v>706500</v>
      </c>
      <c r="BO166" s="94">
        <f t="shared" si="429"/>
        <v>56000</v>
      </c>
      <c r="BP166" s="94">
        <f t="shared" si="429"/>
        <v>0</v>
      </c>
      <c r="BQ166" s="94">
        <f t="shared" si="429"/>
        <v>0</v>
      </c>
      <c r="BR166" s="94">
        <f t="shared" si="430"/>
        <v>0</v>
      </c>
      <c r="BS166" s="9">
        <f t="shared" si="431"/>
        <v>1225750</v>
      </c>
    </row>
    <row r="167" spans="1:71" ht="31.5">
      <c r="A167" s="187"/>
      <c r="B167" s="8">
        <v>9</v>
      </c>
      <c r="C167" s="42" t="s">
        <v>298</v>
      </c>
      <c r="D167" s="43" t="s">
        <v>299</v>
      </c>
      <c r="E167" s="4" t="s">
        <v>21</v>
      </c>
      <c r="F167" s="4"/>
      <c r="G167" s="4"/>
      <c r="H167" s="4"/>
      <c r="I167" s="4"/>
      <c r="J167" s="4"/>
      <c r="K167" s="4"/>
      <c r="L167" s="4"/>
      <c r="M167" s="4"/>
      <c r="N167" s="9">
        <f t="shared" si="421"/>
        <v>0</v>
      </c>
      <c r="O167" s="4"/>
      <c r="P167" s="4"/>
      <c r="Q167" s="4"/>
      <c r="R167" s="4"/>
      <c r="S167" s="4"/>
      <c r="T167" s="4"/>
      <c r="U167" s="4"/>
      <c r="V167" s="4"/>
      <c r="W167" s="9">
        <f t="shared" si="422"/>
        <v>0</v>
      </c>
      <c r="X167" s="20"/>
      <c r="Y167" s="20"/>
      <c r="Z167" s="4">
        <v>439000</v>
      </c>
      <c r="AA167" s="22">
        <v>376000</v>
      </c>
      <c r="AB167" s="22">
        <f>1105000+225000+225000+150000</f>
        <v>1705000</v>
      </c>
      <c r="AC167" s="22">
        <f>903000+420000</f>
        <v>1323000</v>
      </c>
      <c r="AD167" s="22">
        <f>140000+420000+154000+308000+147000+154000+308000</f>
        <v>1631000</v>
      </c>
      <c r="AE167" s="4">
        <f>462000+161000+161000+161000+175000+350000+546000</f>
        <v>2016000</v>
      </c>
      <c r="AF167" s="9">
        <f t="shared" si="423"/>
        <v>7490000</v>
      </c>
      <c r="AG167" s="20"/>
      <c r="AH167" s="25"/>
      <c r="AI167" s="25"/>
      <c r="AJ167" s="25"/>
      <c r="AK167" s="20"/>
      <c r="AL167" s="20"/>
      <c r="AM167" s="20"/>
      <c r="AN167" s="20"/>
      <c r="AO167" s="21">
        <f t="shared" si="424"/>
        <v>0</v>
      </c>
      <c r="AP167" s="25"/>
      <c r="AQ167" s="20"/>
      <c r="AR167" s="20"/>
      <c r="AS167" s="20"/>
      <c r="AT167" s="20"/>
      <c r="AU167" s="21">
        <f t="shared" si="425"/>
        <v>0</v>
      </c>
      <c r="AV167" s="25"/>
      <c r="AW167" s="20"/>
      <c r="AX167" s="20"/>
      <c r="AY167" s="20"/>
      <c r="AZ167" s="20"/>
      <c r="BA167" s="21">
        <f t="shared" si="426"/>
        <v>0</v>
      </c>
      <c r="BB167" s="25"/>
      <c r="BC167" s="25"/>
      <c r="BD167" s="25"/>
      <c r="BE167" s="25"/>
      <c r="BF167" s="20"/>
      <c r="BG167" s="20"/>
      <c r="BH167" s="20"/>
      <c r="BI167" s="20"/>
      <c r="BJ167" s="21">
        <f t="shared" si="427"/>
        <v>0</v>
      </c>
      <c r="BK167" s="4">
        <f t="shared" si="428"/>
        <v>0</v>
      </c>
      <c r="BL167" s="4">
        <f t="shared" si="428"/>
        <v>0</v>
      </c>
      <c r="BM167" s="4">
        <f t="shared" si="428"/>
        <v>439000</v>
      </c>
      <c r="BN167" s="4">
        <f t="shared" si="429"/>
        <v>376000</v>
      </c>
      <c r="BO167" s="94">
        <f t="shared" si="429"/>
        <v>1705000</v>
      </c>
      <c r="BP167" s="94">
        <f t="shared" si="429"/>
        <v>1323000</v>
      </c>
      <c r="BQ167" s="94">
        <f t="shared" si="429"/>
        <v>1631000</v>
      </c>
      <c r="BR167" s="94">
        <f t="shared" si="430"/>
        <v>2016000</v>
      </c>
      <c r="BS167" s="9">
        <f t="shared" si="431"/>
        <v>7490000</v>
      </c>
    </row>
    <row r="168" spans="1:71" s="38" customFormat="1">
      <c r="A168" s="34"/>
      <c r="B168" s="34"/>
      <c r="C168" s="59" t="s">
        <v>300</v>
      </c>
      <c r="D168" s="60"/>
      <c r="E168" s="37"/>
      <c r="F168" s="37">
        <f>SUM(F160:F167)</f>
        <v>0</v>
      </c>
      <c r="G168" s="37">
        <f t="shared" ref="G168:BS168" si="432">SUM(G160:G167)</f>
        <v>155000</v>
      </c>
      <c r="H168" s="37">
        <f t="shared" si="432"/>
        <v>150000</v>
      </c>
      <c r="I168" s="37">
        <f t="shared" si="432"/>
        <v>651500</v>
      </c>
      <c r="J168" s="37">
        <f t="shared" si="432"/>
        <v>756500</v>
      </c>
      <c r="K168" s="37">
        <f t="shared" si="432"/>
        <v>976500</v>
      </c>
      <c r="L168" s="37">
        <f t="shared" si="432"/>
        <v>224500</v>
      </c>
      <c r="M168" s="37">
        <f t="shared" ref="M168" si="433">SUM(M160:M167)</f>
        <v>979000</v>
      </c>
      <c r="N168" s="37">
        <f t="shared" si="432"/>
        <v>3893000</v>
      </c>
      <c r="O168" s="37">
        <f t="shared" si="432"/>
        <v>290000</v>
      </c>
      <c r="P168" s="37">
        <f t="shared" si="432"/>
        <v>1230000</v>
      </c>
      <c r="Q168" s="37">
        <f t="shared" si="432"/>
        <v>1610000</v>
      </c>
      <c r="R168" s="37">
        <f t="shared" si="432"/>
        <v>300000</v>
      </c>
      <c r="S168" s="37">
        <f t="shared" si="432"/>
        <v>0</v>
      </c>
      <c r="T168" s="37">
        <f t="shared" si="432"/>
        <v>0</v>
      </c>
      <c r="U168" s="37">
        <f t="shared" si="432"/>
        <v>0</v>
      </c>
      <c r="V168" s="37">
        <f t="shared" ref="V168" si="434">SUM(V160:V167)</f>
        <v>0</v>
      </c>
      <c r="W168" s="37">
        <f t="shared" si="432"/>
        <v>3430000</v>
      </c>
      <c r="X168" s="37">
        <f t="shared" si="432"/>
        <v>290000</v>
      </c>
      <c r="Y168" s="37">
        <f t="shared" si="432"/>
        <v>609000</v>
      </c>
      <c r="Z168" s="37">
        <f t="shared" si="432"/>
        <v>3752935</v>
      </c>
      <c r="AA168" s="37">
        <f t="shared" si="432"/>
        <v>1096000</v>
      </c>
      <c r="AB168" s="37">
        <f t="shared" si="432"/>
        <v>3355000</v>
      </c>
      <c r="AC168" s="37">
        <f t="shared" si="432"/>
        <v>3526000</v>
      </c>
      <c r="AD168" s="37">
        <f t="shared" si="432"/>
        <v>3661000</v>
      </c>
      <c r="AE168" s="37">
        <f t="shared" ref="AE168" si="435">SUM(AE160:AE167)</f>
        <v>4459000</v>
      </c>
      <c r="AF168" s="37">
        <f t="shared" si="432"/>
        <v>20748935</v>
      </c>
      <c r="AG168" s="37">
        <f t="shared" si="432"/>
        <v>0</v>
      </c>
      <c r="AH168" s="37">
        <f t="shared" si="432"/>
        <v>846000</v>
      </c>
      <c r="AI168" s="37">
        <f t="shared" si="432"/>
        <v>1089150</v>
      </c>
      <c r="AJ168" s="37">
        <f t="shared" si="432"/>
        <v>2393000</v>
      </c>
      <c r="AK168" s="37">
        <f t="shared" si="432"/>
        <v>1799000</v>
      </c>
      <c r="AL168" s="37">
        <f t="shared" si="432"/>
        <v>2459832</v>
      </c>
      <c r="AM168" s="37">
        <f t="shared" si="432"/>
        <v>2788559</v>
      </c>
      <c r="AN168" s="37">
        <f t="shared" ref="AN168" si="436">SUM(AN160:AN167)</f>
        <v>2999550</v>
      </c>
      <c r="AO168" s="37">
        <f t="shared" si="432"/>
        <v>14375091</v>
      </c>
      <c r="AP168" s="37">
        <f t="shared" si="432"/>
        <v>0</v>
      </c>
      <c r="AQ168" s="37">
        <f t="shared" si="432"/>
        <v>0</v>
      </c>
      <c r="AR168" s="37">
        <f t="shared" si="432"/>
        <v>0</v>
      </c>
      <c r="AS168" s="37">
        <f t="shared" si="432"/>
        <v>0</v>
      </c>
      <c r="AT168" s="37">
        <f t="shared" ref="AT168" si="437">SUM(AT160:AT167)</f>
        <v>0</v>
      </c>
      <c r="AU168" s="37">
        <f t="shared" si="432"/>
        <v>0</v>
      </c>
      <c r="AV168" s="37">
        <f t="shared" si="432"/>
        <v>800000</v>
      </c>
      <c r="AW168" s="37">
        <f t="shared" si="432"/>
        <v>1400000</v>
      </c>
      <c r="AX168" s="37">
        <f t="shared" si="432"/>
        <v>2131500</v>
      </c>
      <c r="AY168" s="37">
        <f t="shared" si="432"/>
        <v>2855500</v>
      </c>
      <c r="AZ168" s="37">
        <f t="shared" ref="AZ168" si="438">SUM(AZ160:AZ167)</f>
        <v>3272500</v>
      </c>
      <c r="BA168" s="37">
        <f t="shared" si="432"/>
        <v>10459500</v>
      </c>
      <c r="BB168" s="37">
        <f t="shared" si="432"/>
        <v>0</v>
      </c>
      <c r="BC168" s="37">
        <f t="shared" si="432"/>
        <v>100000</v>
      </c>
      <c r="BD168" s="37">
        <f t="shared" si="432"/>
        <v>348400</v>
      </c>
      <c r="BE168" s="37">
        <f t="shared" si="432"/>
        <v>365000</v>
      </c>
      <c r="BF168" s="37">
        <f t="shared" si="432"/>
        <v>0</v>
      </c>
      <c r="BG168" s="37">
        <f t="shared" si="432"/>
        <v>0</v>
      </c>
      <c r="BH168" s="37">
        <f t="shared" si="432"/>
        <v>0</v>
      </c>
      <c r="BI168" s="37">
        <f t="shared" ref="BI168" si="439">SUM(BI160:BI167)</f>
        <v>0</v>
      </c>
      <c r="BJ168" s="37">
        <f t="shared" si="432"/>
        <v>813400</v>
      </c>
      <c r="BK168" s="37">
        <f t="shared" si="432"/>
        <v>580000</v>
      </c>
      <c r="BL168" s="37">
        <f t="shared" si="432"/>
        <v>2940000</v>
      </c>
      <c r="BM168" s="37">
        <f t="shared" si="432"/>
        <v>6950485</v>
      </c>
      <c r="BN168" s="37">
        <f t="shared" si="432"/>
        <v>5605500</v>
      </c>
      <c r="BO168" s="37">
        <f t="shared" si="432"/>
        <v>7310500</v>
      </c>
      <c r="BP168" s="144">
        <f>SUM(BP160:BP167)</f>
        <v>9093832</v>
      </c>
      <c r="BQ168" s="37">
        <f t="shared" ref="BQ168:BR168" si="440">SUM(BQ160:BQ167)</f>
        <v>9529559</v>
      </c>
      <c r="BR168" s="37">
        <f t="shared" si="440"/>
        <v>11710050</v>
      </c>
      <c r="BS168" s="37">
        <f t="shared" si="432"/>
        <v>53719926</v>
      </c>
    </row>
    <row r="169" spans="1:71">
      <c r="A169" s="185" t="s">
        <v>32</v>
      </c>
      <c r="B169" s="8">
        <v>1</v>
      </c>
      <c r="C169" s="40" t="s">
        <v>4</v>
      </c>
      <c r="D169" s="41" t="s">
        <v>420</v>
      </c>
      <c r="E169" s="4" t="s">
        <v>32</v>
      </c>
      <c r="F169" s="4"/>
      <c r="G169" s="4"/>
      <c r="H169" s="5"/>
      <c r="I169" s="4"/>
      <c r="J169" s="4"/>
      <c r="K169" s="4"/>
      <c r="L169" s="4"/>
      <c r="M169" s="4"/>
      <c r="N169" s="9">
        <f t="shared" ref="N169:N173" si="441">SUM(F169:M169)</f>
        <v>0</v>
      </c>
      <c r="O169" s="4"/>
      <c r="P169" s="4"/>
      <c r="Q169" s="4"/>
      <c r="R169" s="4"/>
      <c r="S169" s="4"/>
      <c r="T169" s="4"/>
      <c r="U169" s="4"/>
      <c r="V169" s="4"/>
      <c r="W169" s="9">
        <f t="shared" ref="W169:W173" si="442">SUM(O169:V169)</f>
        <v>0</v>
      </c>
      <c r="X169" s="20"/>
      <c r="Y169" s="20"/>
      <c r="Z169" s="20"/>
      <c r="AA169" s="20"/>
      <c r="AB169" s="20"/>
      <c r="AC169" s="20"/>
      <c r="AD169" s="20"/>
      <c r="AE169" s="20"/>
      <c r="AF169" s="9">
        <f t="shared" ref="AF169:AF173" si="443">SUM(X169:AE169)</f>
        <v>0</v>
      </c>
      <c r="AG169" s="20"/>
      <c r="AH169" s="25">
        <v>423800</v>
      </c>
      <c r="AI169" s="25">
        <v>729850</v>
      </c>
      <c r="AJ169" s="25"/>
      <c r="AK169" s="20"/>
      <c r="AL169" s="20"/>
      <c r="AM169" s="20"/>
      <c r="AN169" s="20"/>
      <c r="AO169" s="21">
        <f t="shared" ref="AO169:AO173" si="444">SUM(AG169:AN169)</f>
        <v>1153650</v>
      </c>
      <c r="AP169" s="25"/>
      <c r="AQ169" s="20"/>
      <c r="AR169" s="20"/>
      <c r="AS169" s="20"/>
      <c r="AT169" s="20"/>
      <c r="AU169" s="21">
        <f t="shared" ref="AU169:AU173" si="445">SUM(AP169:AT169)</f>
        <v>0</v>
      </c>
      <c r="AV169" s="25"/>
      <c r="AW169" s="20"/>
      <c r="AX169" s="20"/>
      <c r="AY169" s="20"/>
      <c r="AZ169" s="20"/>
      <c r="BA169" s="21">
        <f t="shared" ref="BA169:BA173" si="446">SUM(AV169:AZ169)</f>
        <v>0</v>
      </c>
      <c r="BB169" s="25"/>
      <c r="BC169" s="25"/>
      <c r="BD169" s="25"/>
      <c r="BE169" s="25"/>
      <c r="BF169" s="20"/>
      <c r="BG169" s="20"/>
      <c r="BH169" s="20"/>
      <c r="BI169" s="20"/>
      <c r="BJ169" s="21">
        <f t="shared" ref="BJ169:BJ173" si="447">SUM(BB169:BI169)</f>
        <v>0</v>
      </c>
      <c r="BK169" s="4">
        <f t="shared" ref="BK169:BM173" si="448">F169+O169+X169+AG169+BB169</f>
        <v>0</v>
      </c>
      <c r="BL169" s="4">
        <f t="shared" si="448"/>
        <v>423800</v>
      </c>
      <c r="BM169" s="4">
        <f t="shared" si="448"/>
        <v>729850</v>
      </c>
      <c r="BN169" s="4">
        <f t="shared" ref="BN169:BQ173" si="449">I169+R169+AA169+AJ169+AP169+AV169+BE169</f>
        <v>0</v>
      </c>
      <c r="BO169" s="94">
        <f t="shared" si="449"/>
        <v>0</v>
      </c>
      <c r="BP169" s="94">
        <f t="shared" si="449"/>
        <v>0</v>
      </c>
      <c r="BQ169" s="94">
        <f t="shared" si="449"/>
        <v>0</v>
      </c>
      <c r="BR169" s="94">
        <f t="shared" ref="BR169:BR173" si="450">M169+V169+AE169+AN169+AT169+AZ169+BI169</f>
        <v>0</v>
      </c>
      <c r="BS169" s="9">
        <f t="shared" ref="BS169:BS173" si="451">SUM(BK169:BR169)</f>
        <v>1153650</v>
      </c>
    </row>
    <row r="170" spans="1:71" ht="47.25">
      <c r="A170" s="186"/>
      <c r="B170" s="8">
        <v>2</v>
      </c>
      <c r="C170" s="40" t="s">
        <v>490</v>
      </c>
      <c r="D170" s="41" t="s">
        <v>491</v>
      </c>
      <c r="E170" s="4" t="s">
        <v>32</v>
      </c>
      <c r="F170" s="4"/>
      <c r="G170" s="4"/>
      <c r="H170" s="5"/>
      <c r="I170" s="4"/>
      <c r="J170" s="4"/>
      <c r="K170" s="4"/>
      <c r="L170" s="4"/>
      <c r="M170" s="4"/>
      <c r="N170" s="9">
        <f t="shared" si="441"/>
        <v>0</v>
      </c>
      <c r="O170" s="76"/>
      <c r="P170" s="76"/>
      <c r="Q170" s="76"/>
      <c r="R170" s="76"/>
      <c r="S170" s="4"/>
      <c r="T170" s="4"/>
      <c r="U170" s="4"/>
      <c r="V170" s="4"/>
      <c r="W170" s="9">
        <f t="shared" si="442"/>
        <v>0</v>
      </c>
      <c r="X170" s="20"/>
      <c r="Y170" s="20"/>
      <c r="Z170" s="20"/>
      <c r="AA170" s="20"/>
      <c r="AB170" s="20"/>
      <c r="AC170" s="20"/>
      <c r="AD170" s="20"/>
      <c r="AE170" s="20"/>
      <c r="AF170" s="9">
        <f t="shared" si="443"/>
        <v>0</v>
      </c>
      <c r="AG170" s="20">
        <v>195000</v>
      </c>
      <c r="AH170" s="25">
        <v>733900</v>
      </c>
      <c r="AI170" s="25">
        <v>649900</v>
      </c>
      <c r="AJ170" s="24">
        <v>810000</v>
      </c>
      <c r="AK170" s="20">
        <f>210000+210000+140000+70000+210000+140000</f>
        <v>980000</v>
      </c>
      <c r="AL170" s="20">
        <v>944600</v>
      </c>
      <c r="AM170" s="20">
        <v>1522450</v>
      </c>
      <c r="AN170" s="20">
        <v>1240150</v>
      </c>
      <c r="AO170" s="21">
        <f t="shared" si="444"/>
        <v>7076000</v>
      </c>
      <c r="AP170" s="25"/>
      <c r="AQ170" s="20"/>
      <c r="AR170" s="20"/>
      <c r="AS170" s="20"/>
      <c r="AT170" s="20"/>
      <c r="AU170" s="21">
        <f t="shared" si="445"/>
        <v>0</v>
      </c>
      <c r="AV170" s="25"/>
      <c r="AW170" s="20"/>
      <c r="AX170" s="20"/>
      <c r="AY170" s="20"/>
      <c r="AZ170" s="20"/>
      <c r="BA170" s="21">
        <f t="shared" si="446"/>
        <v>0</v>
      </c>
      <c r="BB170" s="25"/>
      <c r="BC170" s="25"/>
      <c r="BD170" s="25"/>
      <c r="BE170" s="25"/>
      <c r="BF170" s="20"/>
      <c r="BG170" s="20"/>
      <c r="BH170" s="20"/>
      <c r="BI170" s="20"/>
      <c r="BJ170" s="21">
        <f t="shared" si="447"/>
        <v>0</v>
      </c>
      <c r="BK170" s="4">
        <f t="shared" si="448"/>
        <v>195000</v>
      </c>
      <c r="BL170" s="4">
        <f t="shared" si="448"/>
        <v>733900</v>
      </c>
      <c r="BM170" s="4">
        <f t="shared" si="448"/>
        <v>649900</v>
      </c>
      <c r="BN170" s="4">
        <f t="shared" si="449"/>
        <v>810000</v>
      </c>
      <c r="BO170" s="94">
        <f t="shared" si="449"/>
        <v>980000</v>
      </c>
      <c r="BP170" s="94">
        <f t="shared" si="449"/>
        <v>944600</v>
      </c>
      <c r="BQ170" s="94">
        <f t="shared" si="449"/>
        <v>1522450</v>
      </c>
      <c r="BR170" s="94">
        <f t="shared" si="450"/>
        <v>1240150</v>
      </c>
      <c r="BS170" s="9">
        <f t="shared" si="451"/>
        <v>7076000</v>
      </c>
    </row>
    <row r="171" spans="1:71" ht="31.5">
      <c r="A171" s="186"/>
      <c r="B171" s="8">
        <v>3</v>
      </c>
      <c r="C171" s="40" t="s">
        <v>303</v>
      </c>
      <c r="D171" s="41" t="s">
        <v>304</v>
      </c>
      <c r="E171" s="4" t="s">
        <v>32</v>
      </c>
      <c r="F171" s="4"/>
      <c r="G171" s="4"/>
      <c r="H171" s="5"/>
      <c r="I171" s="4"/>
      <c r="J171" s="4"/>
      <c r="K171" s="4"/>
      <c r="L171" s="4"/>
      <c r="M171" s="4"/>
      <c r="N171" s="9">
        <f t="shared" si="441"/>
        <v>0</v>
      </c>
      <c r="O171" s="76"/>
      <c r="P171" s="76"/>
      <c r="Q171" s="76">
        <v>1490000</v>
      </c>
      <c r="R171" s="76">
        <v>250000</v>
      </c>
      <c r="S171" s="4"/>
      <c r="T171" s="4"/>
      <c r="U171" s="4"/>
      <c r="V171" s="4"/>
      <c r="W171" s="9">
        <f t="shared" si="442"/>
        <v>1740000</v>
      </c>
      <c r="X171" s="20"/>
      <c r="Y171" s="20"/>
      <c r="Z171" s="20"/>
      <c r="AA171" s="20"/>
      <c r="AB171" s="20"/>
      <c r="AC171" s="20"/>
      <c r="AD171" s="20"/>
      <c r="AE171" s="20"/>
      <c r="AF171" s="9">
        <f t="shared" si="443"/>
        <v>0</v>
      </c>
      <c r="AG171" s="20"/>
      <c r="AH171" s="25">
        <v>1184650</v>
      </c>
      <c r="AI171" s="25">
        <v>994500</v>
      </c>
      <c r="AJ171" s="25">
        <v>821500</v>
      </c>
      <c r="AK171" s="20">
        <f>136000+204000+204500+205500+205500</f>
        <v>955500</v>
      </c>
      <c r="AL171" s="20">
        <f>1037900+223100+111550</f>
        <v>1372550</v>
      </c>
      <c r="AM171" s="20">
        <v>1338600</v>
      </c>
      <c r="AN171" s="20">
        <v>1142050</v>
      </c>
      <c r="AO171" s="21">
        <f t="shared" si="444"/>
        <v>7809350</v>
      </c>
      <c r="AP171" s="25"/>
      <c r="AQ171" s="20"/>
      <c r="AR171" s="20"/>
      <c r="AS171" s="20"/>
      <c r="AT171" s="20"/>
      <c r="AU171" s="21">
        <f t="shared" si="445"/>
        <v>0</v>
      </c>
      <c r="AV171" s="25"/>
      <c r="AW171" s="20"/>
      <c r="AX171" s="20"/>
      <c r="AY171" s="20"/>
      <c r="AZ171" s="20"/>
      <c r="BA171" s="21">
        <f t="shared" si="446"/>
        <v>0</v>
      </c>
      <c r="BB171" s="25"/>
      <c r="BC171" s="25">
        <v>100000</v>
      </c>
      <c r="BD171" s="25">
        <v>253600</v>
      </c>
      <c r="BE171" s="25"/>
      <c r="BF171" s="20"/>
      <c r="BG171" s="20"/>
      <c r="BH171" s="20"/>
      <c r="BI171" s="20"/>
      <c r="BJ171" s="21">
        <f t="shared" si="447"/>
        <v>353600</v>
      </c>
      <c r="BK171" s="4">
        <f t="shared" si="448"/>
        <v>0</v>
      </c>
      <c r="BL171" s="4">
        <f t="shared" si="448"/>
        <v>1284650</v>
      </c>
      <c r="BM171" s="4">
        <f t="shared" si="448"/>
        <v>2738100</v>
      </c>
      <c r="BN171" s="4">
        <f t="shared" si="449"/>
        <v>1071500</v>
      </c>
      <c r="BO171" s="94">
        <f t="shared" si="449"/>
        <v>955500</v>
      </c>
      <c r="BP171" s="94">
        <f t="shared" si="449"/>
        <v>1372550</v>
      </c>
      <c r="BQ171" s="94">
        <f t="shared" si="449"/>
        <v>1338600</v>
      </c>
      <c r="BR171" s="94">
        <f t="shared" si="450"/>
        <v>1142050</v>
      </c>
      <c r="BS171" s="9">
        <f t="shared" si="451"/>
        <v>9902950</v>
      </c>
    </row>
    <row r="172" spans="1:71">
      <c r="A172" s="186"/>
      <c r="B172" s="8">
        <v>4</v>
      </c>
      <c r="C172" s="40" t="s">
        <v>305</v>
      </c>
      <c r="D172" s="41" t="s">
        <v>304</v>
      </c>
      <c r="E172" s="4" t="s">
        <v>32</v>
      </c>
      <c r="F172" s="4"/>
      <c r="G172" s="4"/>
      <c r="H172" s="5"/>
      <c r="I172" s="4"/>
      <c r="J172" s="4"/>
      <c r="K172" s="4"/>
      <c r="L172" s="4"/>
      <c r="M172" s="4"/>
      <c r="N172" s="9">
        <f t="shared" si="441"/>
        <v>0</v>
      </c>
      <c r="O172" s="4"/>
      <c r="P172" s="4"/>
      <c r="Q172" s="27"/>
      <c r="R172" s="10"/>
      <c r="S172" s="4"/>
      <c r="T172" s="4"/>
      <c r="U172" s="4"/>
      <c r="V172" s="4"/>
      <c r="W172" s="9">
        <f t="shared" si="442"/>
        <v>0</v>
      </c>
      <c r="X172" s="20"/>
      <c r="Y172" s="20"/>
      <c r="Z172" s="4">
        <v>500000</v>
      </c>
      <c r="AA172" s="20">
        <v>52000</v>
      </c>
      <c r="AB172" s="20"/>
      <c r="AC172" s="20"/>
      <c r="AD172" s="20"/>
      <c r="AE172" s="20"/>
      <c r="AF172" s="9">
        <f t="shared" si="443"/>
        <v>552000</v>
      </c>
      <c r="AG172" s="20"/>
      <c r="AH172" s="25"/>
      <c r="AI172" s="25"/>
      <c r="AJ172" s="25"/>
      <c r="AK172" s="20"/>
      <c r="AL172" s="20"/>
      <c r="AM172" s="20"/>
      <c r="AN172" s="20"/>
      <c r="AO172" s="21">
        <f t="shared" si="444"/>
        <v>0</v>
      </c>
      <c r="AP172" s="25"/>
      <c r="AQ172" s="20"/>
      <c r="AR172" s="20"/>
      <c r="AS172" s="20"/>
      <c r="AT172" s="20"/>
      <c r="AU172" s="21">
        <f t="shared" si="445"/>
        <v>0</v>
      </c>
      <c r="AV172" s="25"/>
      <c r="AW172" s="20"/>
      <c r="AX172" s="20"/>
      <c r="AY172" s="20"/>
      <c r="AZ172" s="20"/>
      <c r="BA172" s="21">
        <f t="shared" si="446"/>
        <v>0</v>
      </c>
      <c r="BB172" s="25"/>
      <c r="BC172" s="25"/>
      <c r="BD172" s="25"/>
      <c r="BE172" s="25"/>
      <c r="BF172" s="20"/>
      <c r="BG172" s="20"/>
      <c r="BH172" s="20"/>
      <c r="BI172" s="20"/>
      <c r="BJ172" s="21">
        <f t="shared" si="447"/>
        <v>0</v>
      </c>
      <c r="BK172" s="4">
        <f t="shared" si="448"/>
        <v>0</v>
      </c>
      <c r="BL172" s="4">
        <f t="shared" si="448"/>
        <v>0</v>
      </c>
      <c r="BM172" s="4">
        <f t="shared" si="448"/>
        <v>500000</v>
      </c>
      <c r="BN172" s="4">
        <f t="shared" si="449"/>
        <v>52000</v>
      </c>
      <c r="BO172" s="94">
        <f t="shared" si="449"/>
        <v>0</v>
      </c>
      <c r="BP172" s="94">
        <f t="shared" si="449"/>
        <v>0</v>
      </c>
      <c r="BQ172" s="94">
        <f t="shared" si="449"/>
        <v>0</v>
      </c>
      <c r="BR172" s="94">
        <f t="shared" si="450"/>
        <v>0</v>
      </c>
      <c r="BS172" s="9">
        <f t="shared" si="451"/>
        <v>552000</v>
      </c>
    </row>
    <row r="173" spans="1:71">
      <c r="A173" s="187"/>
      <c r="B173" s="8">
        <v>5</v>
      </c>
      <c r="C173" s="40" t="s">
        <v>306</v>
      </c>
      <c r="D173" s="41" t="s">
        <v>304</v>
      </c>
      <c r="E173" s="4" t="s">
        <v>32</v>
      </c>
      <c r="F173" s="4"/>
      <c r="G173" s="4"/>
      <c r="H173" s="5"/>
      <c r="I173" s="4"/>
      <c r="J173" s="4"/>
      <c r="K173" s="4"/>
      <c r="L173" s="4"/>
      <c r="M173" s="4"/>
      <c r="N173" s="9">
        <f t="shared" si="441"/>
        <v>0</v>
      </c>
      <c r="O173" s="76">
        <v>290000</v>
      </c>
      <c r="P173" s="76">
        <v>1860000</v>
      </c>
      <c r="Q173" s="76">
        <v>270000</v>
      </c>
      <c r="R173" s="76">
        <v>1500000</v>
      </c>
      <c r="S173" s="4">
        <f>175000+225000+225000+225000+150000</f>
        <v>1000000</v>
      </c>
      <c r="T173" s="4">
        <f>1485000+320000</f>
        <v>1805000</v>
      </c>
      <c r="U173" s="4">
        <f>640000+480000+160000+160000+320000+160000+200000</f>
        <v>2120000</v>
      </c>
      <c r="V173" s="4">
        <f>400000+200000+200000+200000+200000+400000+600000</f>
        <v>2200000</v>
      </c>
      <c r="W173" s="9">
        <f t="shared" si="442"/>
        <v>11045000</v>
      </c>
      <c r="X173" s="20"/>
      <c r="Y173" s="20"/>
      <c r="Z173" s="20"/>
      <c r="AA173" s="20"/>
      <c r="AB173" s="20"/>
      <c r="AC173" s="20"/>
      <c r="AD173" s="20"/>
      <c r="AE173" s="20"/>
      <c r="AF173" s="9">
        <f t="shared" si="443"/>
        <v>0</v>
      </c>
      <c r="AG173" s="20"/>
      <c r="AH173" s="25">
        <v>733350</v>
      </c>
      <c r="AI173" s="25">
        <v>388000</v>
      </c>
      <c r="AJ173" s="25">
        <v>148000</v>
      </c>
      <c r="AK173" s="20"/>
      <c r="AL173" s="20"/>
      <c r="AM173" s="20"/>
      <c r="AN173" s="20"/>
      <c r="AO173" s="21">
        <f t="shared" si="444"/>
        <v>1269350</v>
      </c>
      <c r="AP173" s="25"/>
      <c r="AQ173" s="20"/>
      <c r="AR173" s="20"/>
      <c r="AS173" s="20"/>
      <c r="AT173" s="20"/>
      <c r="AU173" s="21">
        <f t="shared" si="445"/>
        <v>0</v>
      </c>
      <c r="AV173" s="25"/>
      <c r="AW173" s="20"/>
      <c r="AX173" s="20"/>
      <c r="AY173" s="20"/>
      <c r="AZ173" s="20"/>
      <c r="BA173" s="21">
        <f t="shared" si="446"/>
        <v>0</v>
      </c>
      <c r="BB173" s="25"/>
      <c r="BC173" s="25"/>
      <c r="BD173" s="25"/>
      <c r="BE173" s="25"/>
      <c r="BF173" s="20"/>
      <c r="BG173" s="20"/>
      <c r="BH173" s="20"/>
      <c r="BI173" s="20"/>
      <c r="BJ173" s="21">
        <f t="shared" si="447"/>
        <v>0</v>
      </c>
      <c r="BK173" s="4">
        <f t="shared" si="448"/>
        <v>290000</v>
      </c>
      <c r="BL173" s="4">
        <f t="shared" si="448"/>
        <v>2593350</v>
      </c>
      <c r="BM173" s="4">
        <f t="shared" si="448"/>
        <v>658000</v>
      </c>
      <c r="BN173" s="4">
        <f t="shared" si="449"/>
        <v>1648000</v>
      </c>
      <c r="BO173" s="94">
        <f t="shared" si="449"/>
        <v>1000000</v>
      </c>
      <c r="BP173" s="94">
        <f t="shared" si="449"/>
        <v>1805000</v>
      </c>
      <c r="BQ173" s="94">
        <f t="shared" si="449"/>
        <v>2120000</v>
      </c>
      <c r="BR173" s="94">
        <f t="shared" si="450"/>
        <v>2200000</v>
      </c>
      <c r="BS173" s="9">
        <f t="shared" si="451"/>
        <v>12314350</v>
      </c>
    </row>
    <row r="174" spans="1:71" s="38" customFormat="1">
      <c r="A174" s="34"/>
      <c r="B174" s="34"/>
      <c r="C174" s="35" t="s">
        <v>307</v>
      </c>
      <c r="D174" s="36"/>
      <c r="E174" s="37"/>
      <c r="F174" s="37">
        <f>SUM(F169:F173)</f>
        <v>0</v>
      </c>
      <c r="G174" s="37">
        <f t="shared" ref="G174:BS174" si="452">SUM(G169:G173)</f>
        <v>0</v>
      </c>
      <c r="H174" s="37">
        <f t="shared" si="452"/>
        <v>0</v>
      </c>
      <c r="I174" s="37">
        <f t="shared" si="452"/>
        <v>0</v>
      </c>
      <c r="J174" s="37">
        <f t="shared" si="452"/>
        <v>0</v>
      </c>
      <c r="K174" s="37">
        <f t="shared" si="452"/>
        <v>0</v>
      </c>
      <c r="L174" s="37">
        <f t="shared" si="452"/>
        <v>0</v>
      </c>
      <c r="M174" s="37">
        <f t="shared" ref="M174" si="453">SUM(M169:M173)</f>
        <v>0</v>
      </c>
      <c r="N174" s="37">
        <f t="shared" si="452"/>
        <v>0</v>
      </c>
      <c r="O174" s="37">
        <f t="shared" si="452"/>
        <v>290000</v>
      </c>
      <c r="P174" s="37">
        <f t="shared" si="452"/>
        <v>1860000</v>
      </c>
      <c r="Q174" s="37">
        <f t="shared" si="452"/>
        <v>1760000</v>
      </c>
      <c r="R174" s="37">
        <f t="shared" si="452"/>
        <v>1750000</v>
      </c>
      <c r="S174" s="37">
        <f t="shared" si="452"/>
        <v>1000000</v>
      </c>
      <c r="T174" s="37">
        <f t="shared" si="452"/>
        <v>1805000</v>
      </c>
      <c r="U174" s="37">
        <f t="shared" si="452"/>
        <v>2120000</v>
      </c>
      <c r="V174" s="37">
        <f t="shared" ref="V174" si="454">SUM(V169:V173)</f>
        <v>2200000</v>
      </c>
      <c r="W174" s="37">
        <f t="shared" si="452"/>
        <v>12785000</v>
      </c>
      <c r="X174" s="37">
        <f t="shared" si="452"/>
        <v>0</v>
      </c>
      <c r="Y174" s="37">
        <f t="shared" si="452"/>
        <v>0</v>
      </c>
      <c r="Z174" s="37">
        <f t="shared" si="452"/>
        <v>500000</v>
      </c>
      <c r="AA174" s="37">
        <f t="shared" si="452"/>
        <v>52000</v>
      </c>
      <c r="AB174" s="37">
        <f t="shared" si="452"/>
        <v>0</v>
      </c>
      <c r="AC174" s="37">
        <f t="shared" si="452"/>
        <v>0</v>
      </c>
      <c r="AD174" s="37">
        <f t="shared" si="452"/>
        <v>0</v>
      </c>
      <c r="AE174" s="37">
        <f t="shared" ref="AE174" si="455">SUM(AE169:AE173)</f>
        <v>0</v>
      </c>
      <c r="AF174" s="37">
        <f t="shared" si="452"/>
        <v>552000</v>
      </c>
      <c r="AG174" s="37">
        <f t="shared" si="452"/>
        <v>195000</v>
      </c>
      <c r="AH174" s="37">
        <f t="shared" si="452"/>
        <v>3075700</v>
      </c>
      <c r="AI174" s="37">
        <f t="shared" si="452"/>
        <v>2762250</v>
      </c>
      <c r="AJ174" s="37">
        <f t="shared" si="452"/>
        <v>1779500</v>
      </c>
      <c r="AK174" s="37">
        <f t="shared" si="452"/>
        <v>1935500</v>
      </c>
      <c r="AL174" s="37">
        <f t="shared" si="452"/>
        <v>2317150</v>
      </c>
      <c r="AM174" s="37">
        <f t="shared" si="452"/>
        <v>2861050</v>
      </c>
      <c r="AN174" s="37">
        <f t="shared" ref="AN174" si="456">SUM(AN169:AN173)</f>
        <v>2382200</v>
      </c>
      <c r="AO174" s="37">
        <f t="shared" si="452"/>
        <v>17308350</v>
      </c>
      <c r="AP174" s="37">
        <f t="shared" si="452"/>
        <v>0</v>
      </c>
      <c r="AQ174" s="37">
        <f t="shared" si="452"/>
        <v>0</v>
      </c>
      <c r="AR174" s="37">
        <f t="shared" si="452"/>
        <v>0</v>
      </c>
      <c r="AS174" s="37">
        <f t="shared" si="452"/>
        <v>0</v>
      </c>
      <c r="AT174" s="37">
        <f t="shared" ref="AT174" si="457">SUM(AT169:AT173)</f>
        <v>0</v>
      </c>
      <c r="AU174" s="37">
        <f t="shared" si="452"/>
        <v>0</v>
      </c>
      <c r="AV174" s="37">
        <f t="shared" si="452"/>
        <v>0</v>
      </c>
      <c r="AW174" s="37">
        <f t="shared" si="452"/>
        <v>0</v>
      </c>
      <c r="AX174" s="37">
        <f t="shared" si="452"/>
        <v>0</v>
      </c>
      <c r="AY174" s="37">
        <f t="shared" si="452"/>
        <v>0</v>
      </c>
      <c r="AZ174" s="37">
        <f t="shared" ref="AZ174" si="458">SUM(AZ169:AZ173)</f>
        <v>0</v>
      </c>
      <c r="BA174" s="37">
        <f t="shared" si="452"/>
        <v>0</v>
      </c>
      <c r="BB174" s="37">
        <f t="shared" si="452"/>
        <v>0</v>
      </c>
      <c r="BC174" s="37">
        <f t="shared" si="452"/>
        <v>100000</v>
      </c>
      <c r="BD174" s="37">
        <f t="shared" si="452"/>
        <v>253600</v>
      </c>
      <c r="BE174" s="37">
        <f t="shared" si="452"/>
        <v>0</v>
      </c>
      <c r="BF174" s="37">
        <f t="shared" si="452"/>
        <v>0</v>
      </c>
      <c r="BG174" s="37">
        <f t="shared" si="452"/>
        <v>0</v>
      </c>
      <c r="BH174" s="37">
        <f t="shared" si="452"/>
        <v>0</v>
      </c>
      <c r="BI174" s="37">
        <f t="shared" ref="BI174" si="459">SUM(BI169:BI173)</f>
        <v>0</v>
      </c>
      <c r="BJ174" s="37">
        <f t="shared" si="452"/>
        <v>353600</v>
      </c>
      <c r="BK174" s="37">
        <f t="shared" si="452"/>
        <v>485000</v>
      </c>
      <c r="BL174" s="37">
        <f t="shared" si="452"/>
        <v>5035700</v>
      </c>
      <c r="BM174" s="37">
        <f t="shared" si="452"/>
        <v>5275850</v>
      </c>
      <c r="BN174" s="37">
        <f t="shared" si="452"/>
        <v>3581500</v>
      </c>
      <c r="BO174" s="37">
        <f t="shared" si="452"/>
        <v>2935500</v>
      </c>
      <c r="BP174" s="144">
        <f>SUM(BP169:BP173)</f>
        <v>4122150</v>
      </c>
      <c r="BQ174" s="37">
        <f t="shared" ref="BQ174:BR174" si="460">SUM(BQ169:BQ173)</f>
        <v>4981050</v>
      </c>
      <c r="BR174" s="37">
        <f t="shared" si="460"/>
        <v>4582200</v>
      </c>
      <c r="BS174" s="37">
        <f t="shared" si="452"/>
        <v>30998950</v>
      </c>
    </row>
    <row r="175" spans="1:71">
      <c r="A175" s="185" t="s">
        <v>24</v>
      </c>
      <c r="B175" s="8">
        <v>1</v>
      </c>
      <c r="C175" s="1" t="s">
        <v>308</v>
      </c>
      <c r="D175" s="61" t="s">
        <v>309</v>
      </c>
      <c r="E175" s="4" t="s">
        <v>24</v>
      </c>
      <c r="F175" s="4"/>
      <c r="G175" s="4"/>
      <c r="H175" s="5"/>
      <c r="I175" s="4"/>
      <c r="J175" s="4"/>
      <c r="K175" s="4"/>
      <c r="L175" s="4"/>
      <c r="M175" s="4"/>
      <c r="N175" s="9">
        <f t="shared" ref="N175:N211" si="461">SUM(F175:M175)</f>
        <v>0</v>
      </c>
      <c r="O175" s="4"/>
      <c r="P175" s="4"/>
      <c r="Q175" s="4"/>
      <c r="R175" s="4"/>
      <c r="S175" s="4"/>
      <c r="T175" s="4"/>
      <c r="U175" s="4"/>
      <c r="V175" s="4"/>
      <c r="W175" s="9">
        <f t="shared" ref="W175:W211" si="462">SUM(O175:V175)</f>
        <v>0</v>
      </c>
      <c r="X175" s="20"/>
      <c r="Y175" s="20"/>
      <c r="Z175" s="20"/>
      <c r="AA175" s="20"/>
      <c r="AB175" s="20"/>
      <c r="AC175" s="20"/>
      <c r="AD175" s="20"/>
      <c r="AE175" s="20"/>
      <c r="AF175" s="9">
        <f t="shared" ref="AF175:AF211" si="463">SUM(X175:AE175)</f>
        <v>0</v>
      </c>
      <c r="AG175" s="20">
        <v>195000</v>
      </c>
      <c r="AH175" s="25">
        <v>271600</v>
      </c>
      <c r="AI175" s="24">
        <v>38800</v>
      </c>
      <c r="AJ175" s="24">
        <v>514000</v>
      </c>
      <c r="AK175" s="20">
        <f>77000+122500+126000+147000+98000</f>
        <v>570500</v>
      </c>
      <c r="AL175" s="20">
        <f>693400+135800+67900</f>
        <v>897100</v>
      </c>
      <c r="AM175" s="20">
        <v>814800</v>
      </c>
      <c r="AN175" s="20">
        <v>805100</v>
      </c>
      <c r="AO175" s="21">
        <f t="shared" ref="AO175:AO211" si="464">SUM(AG175:AN175)</f>
        <v>4106900</v>
      </c>
      <c r="AP175" s="25">
        <v>0</v>
      </c>
      <c r="AQ175" s="20"/>
      <c r="AR175" s="20"/>
      <c r="AS175" s="20"/>
      <c r="AT175" s="20"/>
      <c r="AU175" s="21">
        <f t="shared" ref="AU175:AU211" si="465">SUM(AP175:AT175)</f>
        <v>0</v>
      </c>
      <c r="AV175" s="25"/>
      <c r="AW175" s="20"/>
      <c r="AX175" s="20"/>
      <c r="AY175" s="20"/>
      <c r="AZ175" s="20"/>
      <c r="BA175" s="21">
        <f t="shared" ref="BA175:BA211" si="466">SUM(AV175:AZ175)</f>
        <v>0</v>
      </c>
      <c r="BB175" s="25"/>
      <c r="BC175" s="25"/>
      <c r="BD175" s="25"/>
      <c r="BE175" s="25"/>
      <c r="BF175" s="20"/>
      <c r="BG175" s="20"/>
      <c r="BH175" s="20"/>
      <c r="BI175" s="20"/>
      <c r="BJ175" s="21">
        <f t="shared" ref="BJ175:BJ211" si="467">SUM(BB175:BI175)</f>
        <v>0</v>
      </c>
      <c r="BK175" s="4">
        <f t="shared" ref="BK175:BK211" si="468">F175+O175+X175+AG175+BB175</f>
        <v>195000</v>
      </c>
      <c r="BL175" s="4">
        <f t="shared" ref="BL175:BL211" si="469">G175+P175+Y175+AH175+BC175</f>
        <v>271600</v>
      </c>
      <c r="BM175" s="4">
        <f t="shared" ref="BM175:BM211" si="470">H175+Q175+Z175+AI175+BD175</f>
        <v>38800</v>
      </c>
      <c r="BN175" s="4">
        <f t="shared" ref="BN175:BN211" si="471">I175+R175+AA175+AJ175+AP175+AV175+BE175</f>
        <v>514000</v>
      </c>
      <c r="BO175" s="94">
        <f t="shared" ref="BO175:BO211" si="472">J175+S175+AB175+AK175+AQ175+AW175+BF175</f>
        <v>570500</v>
      </c>
      <c r="BP175" s="94">
        <f t="shared" ref="BP175:BP211" si="473">K175+T175+AC175+AL175+AR175+AX175+BG175</f>
        <v>897100</v>
      </c>
      <c r="BQ175" s="94">
        <f t="shared" ref="BQ175:BQ211" si="474">L175+U175+AD175+AM175+AS175+AY175+BH175</f>
        <v>814800</v>
      </c>
      <c r="BR175" s="94">
        <f t="shared" ref="BR175:BR211" si="475">M175+V175+AE175+AN175+AT175+AZ175+BI175</f>
        <v>805100</v>
      </c>
      <c r="BS175" s="9">
        <f t="shared" ref="BS175:BS211" si="476">SUM(BK175:BR175)</f>
        <v>4106900</v>
      </c>
    </row>
    <row r="176" spans="1:71">
      <c r="A176" s="186"/>
      <c r="B176" s="8">
        <v>2</v>
      </c>
      <c r="C176" s="1" t="s">
        <v>310</v>
      </c>
      <c r="D176" s="12" t="s">
        <v>448</v>
      </c>
      <c r="E176" s="4" t="s">
        <v>24</v>
      </c>
      <c r="F176" s="4">
        <v>155000</v>
      </c>
      <c r="G176" s="4">
        <v>881000</v>
      </c>
      <c r="H176" s="4">
        <f>110000+110000+330000</f>
        <v>550000</v>
      </c>
      <c r="I176" s="4">
        <f>160000+20000</f>
        <v>180000</v>
      </c>
      <c r="J176" s="4"/>
      <c r="K176" s="4"/>
      <c r="L176" s="4"/>
      <c r="M176" s="4"/>
      <c r="N176" s="9">
        <f t="shared" si="461"/>
        <v>1766000</v>
      </c>
      <c r="O176" s="4"/>
      <c r="P176" s="4"/>
      <c r="Q176" s="4"/>
      <c r="R176" s="4"/>
      <c r="S176" s="4"/>
      <c r="T176" s="4"/>
      <c r="U176" s="4"/>
      <c r="V176" s="4"/>
      <c r="W176" s="9">
        <f t="shared" si="462"/>
        <v>0</v>
      </c>
      <c r="X176" s="20"/>
      <c r="Y176" s="20"/>
      <c r="Z176" s="20"/>
      <c r="AA176" s="20"/>
      <c r="AB176" s="20"/>
      <c r="AC176" s="20"/>
      <c r="AD176" s="20"/>
      <c r="AE176" s="20"/>
      <c r="AF176" s="9">
        <f t="shared" si="463"/>
        <v>0</v>
      </c>
      <c r="AG176" s="20"/>
      <c r="AH176" s="25">
        <v>1020900</v>
      </c>
      <c r="AI176" s="24">
        <v>621200</v>
      </c>
      <c r="AJ176" s="24">
        <v>240000</v>
      </c>
      <c r="AK176" s="20"/>
      <c r="AL176" s="20"/>
      <c r="AM176" s="20"/>
      <c r="AN176" s="20"/>
      <c r="AO176" s="21">
        <f t="shared" si="464"/>
        <v>1882100</v>
      </c>
      <c r="AP176" s="25">
        <v>1155000</v>
      </c>
      <c r="AQ176" s="20">
        <f>105000+311500+315000+315000+210000</f>
        <v>1256500</v>
      </c>
      <c r="AR176" s="20">
        <f>1387200+296000+148000</f>
        <v>1831200</v>
      </c>
      <c r="AS176" s="20">
        <v>1539000</v>
      </c>
      <c r="AT176" s="20">
        <v>2028000</v>
      </c>
      <c r="AU176" s="21">
        <f t="shared" si="465"/>
        <v>7809700</v>
      </c>
      <c r="AV176" s="25"/>
      <c r="AW176" s="20"/>
      <c r="AX176" s="20"/>
      <c r="AY176" s="20"/>
      <c r="AZ176" s="20"/>
      <c r="BA176" s="21">
        <f t="shared" si="466"/>
        <v>0</v>
      </c>
      <c r="BB176" s="25"/>
      <c r="BC176" s="25">
        <v>100000</v>
      </c>
      <c r="BD176" s="25">
        <f>218150+257600</f>
        <v>475750</v>
      </c>
      <c r="BE176" s="25"/>
      <c r="BF176" s="20"/>
      <c r="BG176" s="20"/>
      <c r="BH176" s="20"/>
      <c r="BI176" s="20"/>
      <c r="BJ176" s="21">
        <f t="shared" si="467"/>
        <v>575750</v>
      </c>
      <c r="BK176" s="4">
        <f t="shared" si="468"/>
        <v>155000</v>
      </c>
      <c r="BL176" s="4">
        <f t="shared" si="469"/>
        <v>2001900</v>
      </c>
      <c r="BM176" s="4">
        <f t="shared" si="470"/>
        <v>1646950</v>
      </c>
      <c r="BN176" s="4">
        <f t="shared" si="471"/>
        <v>1575000</v>
      </c>
      <c r="BO176" s="94">
        <f t="shared" si="472"/>
        <v>1256500</v>
      </c>
      <c r="BP176" s="94">
        <f t="shared" si="473"/>
        <v>1831200</v>
      </c>
      <c r="BQ176" s="94">
        <f t="shared" si="474"/>
        <v>1539000</v>
      </c>
      <c r="BR176" s="94">
        <f t="shared" si="475"/>
        <v>2028000</v>
      </c>
      <c r="BS176" s="9">
        <f t="shared" si="476"/>
        <v>12033550</v>
      </c>
    </row>
    <row r="177" spans="1:71" ht="30">
      <c r="A177" s="186"/>
      <c r="B177" s="8">
        <v>3</v>
      </c>
      <c r="C177" s="2" t="s">
        <v>312</v>
      </c>
      <c r="D177" s="13" t="s">
        <v>313</v>
      </c>
      <c r="E177" s="4" t="s">
        <v>24</v>
      </c>
      <c r="F177" s="4"/>
      <c r="G177" s="4"/>
      <c r="H177" s="4"/>
      <c r="I177" s="4"/>
      <c r="J177" s="4"/>
      <c r="K177" s="4"/>
      <c r="L177" s="4"/>
      <c r="M177" s="4"/>
      <c r="N177" s="9">
        <f t="shared" si="461"/>
        <v>0</v>
      </c>
      <c r="O177" s="4"/>
      <c r="P177" s="4"/>
      <c r="Q177" s="4"/>
      <c r="R177" s="4"/>
      <c r="S177" s="4"/>
      <c r="T177" s="4"/>
      <c r="U177" s="4"/>
      <c r="V177" s="4"/>
      <c r="W177" s="9">
        <f t="shared" si="462"/>
        <v>0</v>
      </c>
      <c r="X177" s="20"/>
      <c r="Y177" s="20"/>
      <c r="Z177" s="20"/>
      <c r="AA177" s="20"/>
      <c r="AB177" s="20"/>
      <c r="AC177" s="20"/>
      <c r="AD177" s="20"/>
      <c r="AE177" s="20"/>
      <c r="AF177" s="9">
        <f t="shared" si="463"/>
        <v>0</v>
      </c>
      <c r="AG177" s="20"/>
      <c r="AH177" s="25"/>
      <c r="AI177" s="24"/>
      <c r="AJ177" s="24"/>
      <c r="AK177" s="20"/>
      <c r="AL177" s="20"/>
      <c r="AM177" s="20"/>
      <c r="AN177" s="20"/>
      <c r="AO177" s="21">
        <f t="shared" si="464"/>
        <v>0</v>
      </c>
      <c r="AP177" s="25">
        <v>0</v>
      </c>
      <c r="AQ177" s="20"/>
      <c r="AR177" s="20"/>
      <c r="AS177" s="20"/>
      <c r="AT177" s="20"/>
      <c r="AU177" s="21">
        <f t="shared" si="465"/>
        <v>0</v>
      </c>
      <c r="AV177" s="25"/>
      <c r="AW177" s="20"/>
      <c r="AX177" s="20"/>
      <c r="AY177" s="20"/>
      <c r="AZ177" s="20"/>
      <c r="BA177" s="21">
        <f t="shared" si="466"/>
        <v>0</v>
      </c>
      <c r="BB177" s="25"/>
      <c r="BC177" s="25">
        <v>100000</v>
      </c>
      <c r="BD177" s="25">
        <v>276000</v>
      </c>
      <c r="BE177" s="25"/>
      <c r="BF177" s="20"/>
      <c r="BG177" s="20"/>
      <c r="BH177" s="20"/>
      <c r="BI177" s="20"/>
      <c r="BJ177" s="21">
        <f t="shared" si="467"/>
        <v>376000</v>
      </c>
      <c r="BK177" s="4">
        <f t="shared" si="468"/>
        <v>0</v>
      </c>
      <c r="BL177" s="4">
        <f t="shared" si="469"/>
        <v>100000</v>
      </c>
      <c r="BM177" s="4">
        <f t="shared" si="470"/>
        <v>276000</v>
      </c>
      <c r="BN177" s="4">
        <f t="shared" si="471"/>
        <v>0</v>
      </c>
      <c r="BO177" s="94">
        <f t="shared" si="472"/>
        <v>0</v>
      </c>
      <c r="BP177" s="94">
        <f t="shared" si="473"/>
        <v>0</v>
      </c>
      <c r="BQ177" s="94">
        <f t="shared" si="474"/>
        <v>0</v>
      </c>
      <c r="BR177" s="94">
        <f t="shared" si="475"/>
        <v>0</v>
      </c>
      <c r="BS177" s="9">
        <f t="shared" si="476"/>
        <v>376000</v>
      </c>
    </row>
    <row r="178" spans="1:71">
      <c r="A178" s="186"/>
      <c r="B178" s="8">
        <v>4</v>
      </c>
      <c r="C178" s="1" t="s">
        <v>314</v>
      </c>
      <c r="D178" s="12" t="s">
        <v>26</v>
      </c>
      <c r="E178" s="4" t="s">
        <v>24</v>
      </c>
      <c r="F178" s="4"/>
      <c r="G178" s="4">
        <v>155000</v>
      </c>
      <c r="H178" s="4">
        <f>368500+47500+82500</f>
        <v>498500</v>
      </c>
      <c r="I178" s="4">
        <f>100000+120000</f>
        <v>220000</v>
      </c>
      <c r="J178" s="4"/>
      <c r="K178" s="4"/>
      <c r="L178" s="4"/>
      <c r="M178" s="4"/>
      <c r="N178" s="9">
        <f t="shared" si="461"/>
        <v>873500</v>
      </c>
      <c r="O178" s="4"/>
      <c r="P178" s="4"/>
      <c r="Q178" s="4"/>
      <c r="R178" s="4"/>
      <c r="S178" s="4"/>
      <c r="T178" s="4"/>
      <c r="U178" s="4"/>
      <c r="V178" s="4"/>
      <c r="W178" s="9">
        <f t="shared" si="462"/>
        <v>0</v>
      </c>
      <c r="X178" s="20"/>
      <c r="Y178" s="20"/>
      <c r="Z178" s="20"/>
      <c r="AA178" s="20"/>
      <c r="AB178" s="20"/>
      <c r="AC178" s="20"/>
      <c r="AD178" s="20"/>
      <c r="AE178" s="20"/>
      <c r="AF178" s="9">
        <f t="shared" si="463"/>
        <v>0</v>
      </c>
      <c r="AG178" s="20"/>
      <c r="AH178" s="25">
        <v>607050</v>
      </c>
      <c r="AI178" s="24">
        <v>506100</v>
      </c>
      <c r="AJ178" s="24">
        <v>180000</v>
      </c>
      <c r="AK178" s="20"/>
      <c r="AL178" s="20"/>
      <c r="AM178" s="20"/>
      <c r="AN178" s="20"/>
      <c r="AO178" s="21">
        <f t="shared" si="464"/>
        <v>1293150</v>
      </c>
      <c r="AP178" s="25">
        <v>921500</v>
      </c>
      <c r="AQ178" s="20">
        <f>310500+309000+305500+307500+203500</f>
        <v>1436000</v>
      </c>
      <c r="AR178" s="20">
        <f>1352500+280800+140000</f>
        <v>1773300</v>
      </c>
      <c r="AS178" s="20">
        <v>1692000</v>
      </c>
      <c r="AT178" s="20">
        <v>1713000</v>
      </c>
      <c r="AU178" s="21">
        <f t="shared" si="465"/>
        <v>7535800</v>
      </c>
      <c r="AV178" s="25"/>
      <c r="AW178" s="20"/>
      <c r="AX178" s="20"/>
      <c r="AY178" s="20"/>
      <c r="AZ178" s="20"/>
      <c r="BA178" s="21">
        <f t="shared" si="466"/>
        <v>0</v>
      </c>
      <c r="BB178" s="25"/>
      <c r="BC178" s="25"/>
      <c r="BD178" s="25"/>
      <c r="BE178" s="25"/>
      <c r="BF178" s="20"/>
      <c r="BG178" s="20"/>
      <c r="BH178" s="20"/>
      <c r="BI178" s="20"/>
      <c r="BJ178" s="21">
        <f t="shared" si="467"/>
        <v>0</v>
      </c>
      <c r="BK178" s="4">
        <f t="shared" si="468"/>
        <v>0</v>
      </c>
      <c r="BL178" s="4">
        <f t="shared" si="469"/>
        <v>762050</v>
      </c>
      <c r="BM178" s="4">
        <f t="shared" si="470"/>
        <v>1004600</v>
      </c>
      <c r="BN178" s="4">
        <f t="shared" si="471"/>
        <v>1321500</v>
      </c>
      <c r="BO178" s="94">
        <f t="shared" si="472"/>
        <v>1436000</v>
      </c>
      <c r="BP178" s="94">
        <f t="shared" si="473"/>
        <v>1773300</v>
      </c>
      <c r="BQ178" s="94">
        <f t="shared" si="474"/>
        <v>1692000</v>
      </c>
      <c r="BR178" s="94">
        <f t="shared" si="475"/>
        <v>1713000</v>
      </c>
      <c r="BS178" s="9">
        <f t="shared" si="476"/>
        <v>9702450</v>
      </c>
    </row>
    <row r="179" spans="1:71">
      <c r="A179" s="186"/>
      <c r="B179" s="8">
        <v>5</v>
      </c>
      <c r="C179" s="1" t="s">
        <v>315</v>
      </c>
      <c r="D179" s="12" t="s">
        <v>316</v>
      </c>
      <c r="E179" s="4" t="s">
        <v>24</v>
      </c>
      <c r="F179" s="4"/>
      <c r="G179" s="4"/>
      <c r="H179" s="4">
        <v>155000</v>
      </c>
      <c r="I179" s="4">
        <f>64000+12000</f>
        <v>76000</v>
      </c>
      <c r="J179" s="4"/>
      <c r="K179" s="4"/>
      <c r="L179" s="4"/>
      <c r="M179" s="4"/>
      <c r="N179" s="9">
        <f t="shared" si="461"/>
        <v>231000</v>
      </c>
      <c r="O179" s="4"/>
      <c r="P179" s="4"/>
      <c r="Q179" s="4"/>
      <c r="R179" s="4"/>
      <c r="S179" s="4"/>
      <c r="T179" s="4"/>
      <c r="U179" s="4"/>
      <c r="V179" s="4"/>
      <c r="W179" s="9">
        <f t="shared" si="462"/>
        <v>0</v>
      </c>
      <c r="X179" s="20"/>
      <c r="Y179" s="20"/>
      <c r="Z179" s="20"/>
      <c r="AA179" s="20"/>
      <c r="AB179" s="20"/>
      <c r="AC179" s="20"/>
      <c r="AD179" s="20"/>
      <c r="AE179" s="20"/>
      <c r="AF179" s="9">
        <f t="shared" si="463"/>
        <v>0</v>
      </c>
      <c r="AG179" s="20"/>
      <c r="AH179" s="25">
        <v>195000</v>
      </c>
      <c r="AI179" s="24">
        <v>377200</v>
      </c>
      <c r="AJ179" s="24">
        <v>140000</v>
      </c>
      <c r="AK179" s="20"/>
      <c r="AL179" s="20"/>
      <c r="AM179" s="20"/>
      <c r="AN179" s="20"/>
      <c r="AO179" s="21">
        <f t="shared" si="464"/>
        <v>712200</v>
      </c>
      <c r="AP179" s="25">
        <v>612500</v>
      </c>
      <c r="AQ179" s="20">
        <f>56000+175000+189000+189000+126000</f>
        <v>735000</v>
      </c>
      <c r="AR179" s="20">
        <f>705600+126000+63000</f>
        <v>894600</v>
      </c>
      <c r="AS179" s="20">
        <v>756000</v>
      </c>
      <c r="AT179" s="20">
        <v>1055600</v>
      </c>
      <c r="AU179" s="21">
        <f t="shared" si="465"/>
        <v>4053700</v>
      </c>
      <c r="AV179" s="25"/>
      <c r="AW179" s="20"/>
      <c r="AX179" s="20"/>
      <c r="AY179" s="20"/>
      <c r="AZ179" s="20"/>
      <c r="BA179" s="21">
        <f t="shared" si="466"/>
        <v>0</v>
      </c>
      <c r="BB179" s="25"/>
      <c r="BC179" s="25">
        <v>100000</v>
      </c>
      <c r="BD179" s="25">
        <v>276000</v>
      </c>
      <c r="BE179" s="25"/>
      <c r="BF179" s="20"/>
      <c r="BG179" s="20"/>
      <c r="BH179" s="20"/>
      <c r="BI179" s="20"/>
      <c r="BJ179" s="21">
        <f t="shared" si="467"/>
        <v>376000</v>
      </c>
      <c r="BK179" s="4">
        <f t="shared" si="468"/>
        <v>0</v>
      </c>
      <c r="BL179" s="4">
        <f t="shared" si="469"/>
        <v>295000</v>
      </c>
      <c r="BM179" s="4">
        <f t="shared" si="470"/>
        <v>808200</v>
      </c>
      <c r="BN179" s="4">
        <f t="shared" si="471"/>
        <v>828500</v>
      </c>
      <c r="BO179" s="94">
        <f t="shared" si="472"/>
        <v>735000</v>
      </c>
      <c r="BP179" s="94">
        <f t="shared" si="473"/>
        <v>894600</v>
      </c>
      <c r="BQ179" s="94">
        <f t="shared" si="474"/>
        <v>756000</v>
      </c>
      <c r="BR179" s="94">
        <f t="shared" si="475"/>
        <v>1055600</v>
      </c>
      <c r="BS179" s="9">
        <f t="shared" si="476"/>
        <v>5372900</v>
      </c>
    </row>
    <row r="180" spans="1:71" ht="47.25">
      <c r="A180" s="186"/>
      <c r="B180" s="8">
        <v>6</v>
      </c>
      <c r="C180" s="44" t="s">
        <v>317</v>
      </c>
      <c r="D180" s="62" t="s">
        <v>318</v>
      </c>
      <c r="E180" s="4" t="s">
        <v>24</v>
      </c>
      <c r="F180" s="4"/>
      <c r="G180" s="4"/>
      <c r="H180" s="4"/>
      <c r="I180" s="4"/>
      <c r="J180" s="4"/>
      <c r="K180" s="4"/>
      <c r="L180" s="4"/>
      <c r="M180" s="4"/>
      <c r="N180" s="9">
        <f t="shared" si="461"/>
        <v>0</v>
      </c>
      <c r="O180" s="76"/>
      <c r="P180" s="76"/>
      <c r="Q180" s="76">
        <v>290000</v>
      </c>
      <c r="R180" s="76"/>
      <c r="S180" s="4"/>
      <c r="T180" s="4"/>
      <c r="U180" s="4">
        <v>875000</v>
      </c>
      <c r="V180" s="4">
        <f>570000+190000+200000+200000+200000+400000+600000</f>
        <v>2360000</v>
      </c>
      <c r="W180" s="9">
        <f t="shared" si="462"/>
        <v>3525000</v>
      </c>
      <c r="X180" s="20"/>
      <c r="Y180" s="20"/>
      <c r="Z180" s="20"/>
      <c r="AA180" s="20"/>
      <c r="AB180" s="20"/>
      <c r="AC180" s="20"/>
      <c r="AD180" s="20"/>
      <c r="AE180" s="20"/>
      <c r="AF180" s="9">
        <f t="shared" si="463"/>
        <v>0</v>
      </c>
      <c r="AG180" s="20"/>
      <c r="AH180" s="25"/>
      <c r="AI180" s="24"/>
      <c r="AJ180" s="24"/>
      <c r="AK180" s="20"/>
      <c r="AL180" s="20"/>
      <c r="AM180" s="20"/>
      <c r="AN180" s="20"/>
      <c r="AO180" s="21">
        <f t="shared" si="464"/>
        <v>0</v>
      </c>
      <c r="AP180" s="25">
        <v>0</v>
      </c>
      <c r="AQ180" s="20"/>
      <c r="AR180" s="20"/>
      <c r="AS180" s="20"/>
      <c r="AT180" s="20"/>
      <c r="AU180" s="21">
        <f t="shared" si="465"/>
        <v>0</v>
      </c>
      <c r="AV180" s="25"/>
      <c r="AW180" s="20"/>
      <c r="AX180" s="20"/>
      <c r="AY180" s="20"/>
      <c r="AZ180" s="20"/>
      <c r="BA180" s="21">
        <f t="shared" si="466"/>
        <v>0</v>
      </c>
      <c r="BB180" s="25"/>
      <c r="BC180" s="25"/>
      <c r="BD180" s="25"/>
      <c r="BE180" s="25"/>
      <c r="BF180" s="20"/>
      <c r="BG180" s="20"/>
      <c r="BH180" s="20"/>
      <c r="BI180" s="20"/>
      <c r="BJ180" s="21">
        <f t="shared" si="467"/>
        <v>0</v>
      </c>
      <c r="BK180" s="4">
        <f t="shared" si="468"/>
        <v>0</v>
      </c>
      <c r="BL180" s="4">
        <f t="shared" si="469"/>
        <v>0</v>
      </c>
      <c r="BM180" s="4">
        <f t="shared" si="470"/>
        <v>290000</v>
      </c>
      <c r="BN180" s="4">
        <f t="shared" si="471"/>
        <v>0</v>
      </c>
      <c r="BO180" s="94">
        <f t="shared" si="472"/>
        <v>0</v>
      </c>
      <c r="BP180" s="94">
        <f t="shared" si="473"/>
        <v>0</v>
      </c>
      <c r="BQ180" s="94">
        <f t="shared" si="474"/>
        <v>875000</v>
      </c>
      <c r="BR180" s="94">
        <f t="shared" si="475"/>
        <v>2360000</v>
      </c>
      <c r="BS180" s="9">
        <f t="shared" si="476"/>
        <v>3525000</v>
      </c>
    </row>
    <row r="181" spans="1:71">
      <c r="A181" s="186"/>
      <c r="B181" s="8">
        <v>7</v>
      </c>
      <c r="C181" s="1" t="s">
        <v>319</v>
      </c>
      <c r="D181" s="12" t="s">
        <v>320</v>
      </c>
      <c r="E181" s="4" t="s">
        <v>24</v>
      </c>
      <c r="F181" s="4"/>
      <c r="G181" s="4">
        <v>155000</v>
      </c>
      <c r="H181" s="4"/>
      <c r="I181" s="4"/>
      <c r="J181" s="4"/>
      <c r="K181" s="4"/>
      <c r="L181" s="4"/>
      <c r="M181" s="4"/>
      <c r="N181" s="9">
        <f t="shared" si="461"/>
        <v>155000</v>
      </c>
      <c r="O181" s="4"/>
      <c r="P181" s="4"/>
      <c r="Q181" s="4"/>
      <c r="R181" s="4"/>
      <c r="S181" s="4"/>
      <c r="T181" s="4"/>
      <c r="U181" s="4"/>
      <c r="V181" s="4"/>
      <c r="W181" s="9">
        <f t="shared" si="462"/>
        <v>0</v>
      </c>
      <c r="X181" s="20"/>
      <c r="Y181" s="20"/>
      <c r="Z181" s="20"/>
      <c r="AA181" s="20"/>
      <c r="AB181" s="20"/>
      <c r="AC181" s="20"/>
      <c r="AD181" s="20"/>
      <c r="AE181" s="20"/>
      <c r="AF181" s="9">
        <f t="shared" si="463"/>
        <v>0</v>
      </c>
      <c r="AG181" s="20"/>
      <c r="AH181" s="20">
        <v>345350</v>
      </c>
      <c r="AI181" s="24">
        <v>155200</v>
      </c>
      <c r="AJ181" s="24"/>
      <c r="AK181" s="20"/>
      <c r="AL181" s="20"/>
      <c r="AM181" s="20">
        <v>291000</v>
      </c>
      <c r="AN181" s="20"/>
      <c r="AO181" s="21">
        <f t="shared" si="464"/>
        <v>791550</v>
      </c>
      <c r="AP181" s="25">
        <v>0</v>
      </c>
      <c r="AQ181" s="20"/>
      <c r="AR181" s="20"/>
      <c r="AS181" s="20">
        <v>312000</v>
      </c>
      <c r="AT181" s="20">
        <v>1716000</v>
      </c>
      <c r="AU181" s="21">
        <f t="shared" si="465"/>
        <v>2028000</v>
      </c>
      <c r="AV181" s="25"/>
      <c r="AW181" s="20"/>
      <c r="AX181" s="20"/>
      <c r="AY181" s="20"/>
      <c r="AZ181" s="20"/>
      <c r="BA181" s="21">
        <f t="shared" si="466"/>
        <v>0</v>
      </c>
      <c r="BB181" s="25"/>
      <c r="BC181" s="25"/>
      <c r="BD181" s="25"/>
      <c r="BE181" s="25"/>
      <c r="BF181" s="20"/>
      <c r="BG181" s="20"/>
      <c r="BH181" s="20"/>
      <c r="BI181" s="20"/>
      <c r="BJ181" s="21">
        <f t="shared" si="467"/>
        <v>0</v>
      </c>
      <c r="BK181" s="4">
        <f t="shared" si="468"/>
        <v>0</v>
      </c>
      <c r="BL181" s="4">
        <f t="shared" si="469"/>
        <v>500350</v>
      </c>
      <c r="BM181" s="4">
        <f t="shared" si="470"/>
        <v>155200</v>
      </c>
      <c r="BN181" s="4">
        <f t="shared" si="471"/>
        <v>0</v>
      </c>
      <c r="BO181" s="94">
        <f t="shared" si="472"/>
        <v>0</v>
      </c>
      <c r="BP181" s="94">
        <f t="shared" si="473"/>
        <v>0</v>
      </c>
      <c r="BQ181" s="94">
        <f t="shared" si="474"/>
        <v>603000</v>
      </c>
      <c r="BR181" s="94">
        <f t="shared" si="475"/>
        <v>1716000</v>
      </c>
      <c r="BS181" s="9">
        <f t="shared" si="476"/>
        <v>2974550</v>
      </c>
    </row>
    <row r="182" spans="1:71">
      <c r="A182" s="186"/>
      <c r="B182" s="8">
        <v>8</v>
      </c>
      <c r="C182" s="1" t="s">
        <v>321</v>
      </c>
      <c r="D182" s="12" t="s">
        <v>313</v>
      </c>
      <c r="E182" s="4" t="s">
        <v>24</v>
      </c>
      <c r="F182" s="4"/>
      <c r="G182" s="4">
        <v>255000</v>
      </c>
      <c r="H182" s="4">
        <f>52000+60500+209000+77000</f>
        <v>398500</v>
      </c>
      <c r="I182" s="4">
        <f>140000+20000</f>
        <v>160000</v>
      </c>
      <c r="J182" s="4"/>
      <c r="K182" s="4"/>
      <c r="L182" s="4"/>
      <c r="M182" s="4"/>
      <c r="N182" s="9">
        <f t="shared" si="461"/>
        <v>813500</v>
      </c>
      <c r="O182" s="4"/>
      <c r="P182" s="4"/>
      <c r="Q182" s="4"/>
      <c r="R182" s="4"/>
      <c r="S182" s="4"/>
      <c r="T182" s="4"/>
      <c r="U182" s="4"/>
      <c r="V182" s="4"/>
      <c r="W182" s="9">
        <f t="shared" si="462"/>
        <v>0</v>
      </c>
      <c r="X182" s="20"/>
      <c r="Y182" s="20"/>
      <c r="Z182" s="20"/>
      <c r="AA182" s="20"/>
      <c r="AB182" s="20"/>
      <c r="AC182" s="20"/>
      <c r="AD182" s="20"/>
      <c r="AE182" s="20"/>
      <c r="AF182" s="9">
        <f t="shared" si="463"/>
        <v>0</v>
      </c>
      <c r="AG182" s="20"/>
      <c r="AH182" s="25">
        <v>392250</v>
      </c>
      <c r="AI182" s="24">
        <v>664450</v>
      </c>
      <c r="AJ182" s="24">
        <v>270000</v>
      </c>
      <c r="AK182" s="20"/>
      <c r="AL182" s="20"/>
      <c r="AM182" s="20"/>
      <c r="AN182" s="20"/>
      <c r="AO182" s="21">
        <f t="shared" si="464"/>
        <v>1326700</v>
      </c>
      <c r="AP182" s="25">
        <v>1155000</v>
      </c>
      <c r="AQ182" s="20">
        <f>105000+315000+315000+315000+210000</f>
        <v>1260000</v>
      </c>
      <c r="AR182" s="20">
        <f>1364000+312000+156000</f>
        <v>1832000</v>
      </c>
      <c r="AS182" s="20">
        <v>1872000</v>
      </c>
      <c r="AT182" s="20">
        <v>1716000</v>
      </c>
      <c r="AU182" s="21">
        <f t="shared" si="465"/>
        <v>7835000</v>
      </c>
      <c r="AV182" s="25"/>
      <c r="AW182" s="20"/>
      <c r="AX182" s="20"/>
      <c r="AY182" s="20"/>
      <c r="AZ182" s="20"/>
      <c r="BA182" s="21">
        <f t="shared" si="466"/>
        <v>0</v>
      </c>
      <c r="BB182" s="25"/>
      <c r="BC182" s="25">
        <v>100000</v>
      </c>
      <c r="BD182" s="25">
        <v>276000</v>
      </c>
      <c r="BE182" s="25"/>
      <c r="BF182" s="20"/>
      <c r="BG182" s="20"/>
      <c r="BH182" s="20"/>
      <c r="BI182" s="20"/>
      <c r="BJ182" s="21">
        <f t="shared" si="467"/>
        <v>376000</v>
      </c>
      <c r="BK182" s="4">
        <f t="shared" si="468"/>
        <v>0</v>
      </c>
      <c r="BL182" s="4">
        <f t="shared" si="469"/>
        <v>747250</v>
      </c>
      <c r="BM182" s="4">
        <f t="shared" si="470"/>
        <v>1338950</v>
      </c>
      <c r="BN182" s="4">
        <f t="shared" si="471"/>
        <v>1585000</v>
      </c>
      <c r="BO182" s="94">
        <f t="shared" si="472"/>
        <v>1260000</v>
      </c>
      <c r="BP182" s="94">
        <f t="shared" si="473"/>
        <v>1832000</v>
      </c>
      <c r="BQ182" s="94">
        <f t="shared" si="474"/>
        <v>1872000</v>
      </c>
      <c r="BR182" s="94">
        <f t="shared" si="475"/>
        <v>1716000</v>
      </c>
      <c r="BS182" s="9">
        <f t="shared" si="476"/>
        <v>10351200</v>
      </c>
    </row>
    <row r="183" spans="1:71" ht="47.25">
      <c r="A183" s="186"/>
      <c r="B183" s="8">
        <v>9</v>
      </c>
      <c r="C183" s="1" t="s">
        <v>322</v>
      </c>
      <c r="D183" s="12" t="s">
        <v>323</v>
      </c>
      <c r="E183" s="4" t="s">
        <v>24</v>
      </c>
      <c r="F183" s="4">
        <v>155000</v>
      </c>
      <c r="G183" s="4">
        <v>137500</v>
      </c>
      <c r="H183" s="4">
        <f>115500+38500+44000+33000</f>
        <v>231000</v>
      </c>
      <c r="I183" s="4"/>
      <c r="J183" s="4"/>
      <c r="K183" s="4"/>
      <c r="L183" s="4"/>
      <c r="M183" s="4"/>
      <c r="N183" s="9">
        <f t="shared" si="461"/>
        <v>523500</v>
      </c>
      <c r="O183" s="4"/>
      <c r="P183" s="4"/>
      <c r="Q183" s="4"/>
      <c r="R183" s="4"/>
      <c r="S183" s="4"/>
      <c r="T183" s="4"/>
      <c r="U183" s="4"/>
      <c r="V183" s="4"/>
      <c r="W183" s="9">
        <f t="shared" si="462"/>
        <v>0</v>
      </c>
      <c r="X183" s="20">
        <v>290000</v>
      </c>
      <c r="Y183" s="20"/>
      <c r="Z183" s="4">
        <v>1218000</v>
      </c>
      <c r="AA183" s="22"/>
      <c r="AB183" s="22"/>
      <c r="AC183" s="22"/>
      <c r="AD183" s="22">
        <f>540000+630000+210000</f>
        <v>1380000</v>
      </c>
      <c r="AE183" s="4">
        <f>630000+210000+210000+210000+210000+420000+630000</f>
        <v>2520000</v>
      </c>
      <c r="AF183" s="9">
        <f t="shared" si="463"/>
        <v>5408000</v>
      </c>
      <c r="AG183" s="20">
        <v>195000</v>
      </c>
      <c r="AH183" s="25">
        <v>359450</v>
      </c>
      <c r="AI183" s="24">
        <v>55200</v>
      </c>
      <c r="AJ183" s="24"/>
      <c r="AK183" s="20"/>
      <c r="AL183" s="20"/>
      <c r="AM183" s="20"/>
      <c r="AN183" s="20"/>
      <c r="AO183" s="21">
        <f t="shared" si="464"/>
        <v>609650</v>
      </c>
      <c r="AP183" s="25">
        <v>0</v>
      </c>
      <c r="AQ183" s="20"/>
      <c r="AR183" s="20"/>
      <c r="AS183" s="20"/>
      <c r="AT183" s="20"/>
      <c r="AU183" s="21">
        <f t="shared" si="465"/>
        <v>0</v>
      </c>
      <c r="AV183" s="25"/>
      <c r="AW183" s="20"/>
      <c r="AX183" s="20"/>
      <c r="AY183" s="20"/>
      <c r="AZ183" s="20"/>
      <c r="BA183" s="21">
        <f t="shared" si="466"/>
        <v>0</v>
      </c>
      <c r="BB183" s="25"/>
      <c r="BC183" s="25"/>
      <c r="BD183" s="25"/>
      <c r="BE183" s="25"/>
      <c r="BF183" s="20"/>
      <c r="BG183" s="20"/>
      <c r="BH183" s="20"/>
      <c r="BI183" s="20"/>
      <c r="BJ183" s="21">
        <f t="shared" si="467"/>
        <v>0</v>
      </c>
      <c r="BK183" s="4">
        <f t="shared" si="468"/>
        <v>640000</v>
      </c>
      <c r="BL183" s="4">
        <f t="shared" si="469"/>
        <v>496950</v>
      </c>
      <c r="BM183" s="4">
        <f t="shared" si="470"/>
        <v>1504200</v>
      </c>
      <c r="BN183" s="4">
        <f t="shared" si="471"/>
        <v>0</v>
      </c>
      <c r="BO183" s="94">
        <f t="shared" si="472"/>
        <v>0</v>
      </c>
      <c r="BP183" s="94">
        <f t="shared" si="473"/>
        <v>0</v>
      </c>
      <c r="BQ183" s="94">
        <f t="shared" si="474"/>
        <v>1380000</v>
      </c>
      <c r="BR183" s="94">
        <f t="shared" si="475"/>
        <v>2520000</v>
      </c>
      <c r="BS183" s="9">
        <f t="shared" si="476"/>
        <v>6541150</v>
      </c>
    </row>
    <row r="184" spans="1:71">
      <c r="A184" s="186"/>
      <c r="B184" s="8">
        <v>10</v>
      </c>
      <c r="C184" s="1" t="s">
        <v>324</v>
      </c>
      <c r="D184" s="12" t="s">
        <v>26</v>
      </c>
      <c r="E184" s="4" t="s">
        <v>24</v>
      </c>
      <c r="F184" s="4"/>
      <c r="G184" s="4"/>
      <c r="H184" s="4"/>
      <c r="I184" s="4"/>
      <c r="J184" s="4"/>
      <c r="K184" s="4"/>
      <c r="L184" s="4"/>
      <c r="M184" s="4"/>
      <c r="N184" s="9">
        <f t="shared" si="461"/>
        <v>0</v>
      </c>
      <c r="O184" s="4"/>
      <c r="P184" s="4"/>
      <c r="Q184" s="4"/>
      <c r="R184" s="4"/>
      <c r="S184" s="4"/>
      <c r="T184" s="4"/>
      <c r="U184" s="4"/>
      <c r="V184" s="4"/>
      <c r="W184" s="9">
        <f t="shared" si="462"/>
        <v>0</v>
      </c>
      <c r="X184" s="20">
        <v>290000</v>
      </c>
      <c r="Y184" s="20"/>
      <c r="Z184" s="4">
        <v>252000</v>
      </c>
      <c r="AA184" s="22"/>
      <c r="AB184" s="22"/>
      <c r="AC184" s="22"/>
      <c r="AD184" s="22"/>
      <c r="AE184" s="4"/>
      <c r="AF184" s="9">
        <f t="shared" si="463"/>
        <v>542000</v>
      </c>
      <c r="AG184" s="20"/>
      <c r="AH184" s="25"/>
      <c r="AI184" s="24"/>
      <c r="AJ184" s="24"/>
      <c r="AK184" s="20"/>
      <c r="AL184" s="20"/>
      <c r="AM184" s="20"/>
      <c r="AN184" s="20"/>
      <c r="AO184" s="21">
        <f t="shared" si="464"/>
        <v>0</v>
      </c>
      <c r="AP184" s="25">
        <v>0</v>
      </c>
      <c r="AQ184" s="20"/>
      <c r="AR184" s="20"/>
      <c r="AS184" s="20"/>
      <c r="AT184" s="20"/>
      <c r="AU184" s="21">
        <f t="shared" si="465"/>
        <v>0</v>
      </c>
      <c r="AV184" s="25"/>
      <c r="AW184" s="20"/>
      <c r="AX184" s="20"/>
      <c r="AY184" s="20"/>
      <c r="AZ184" s="20"/>
      <c r="BA184" s="21">
        <f t="shared" si="466"/>
        <v>0</v>
      </c>
      <c r="BB184" s="25"/>
      <c r="BC184" s="25"/>
      <c r="BD184" s="25"/>
      <c r="BE184" s="25"/>
      <c r="BF184" s="20"/>
      <c r="BG184" s="20"/>
      <c r="BH184" s="20"/>
      <c r="BI184" s="20"/>
      <c r="BJ184" s="21">
        <f t="shared" si="467"/>
        <v>0</v>
      </c>
      <c r="BK184" s="4">
        <f t="shared" si="468"/>
        <v>290000</v>
      </c>
      <c r="BL184" s="4">
        <f t="shared" si="469"/>
        <v>0</v>
      </c>
      <c r="BM184" s="4">
        <f t="shared" si="470"/>
        <v>252000</v>
      </c>
      <c r="BN184" s="4">
        <f t="shared" si="471"/>
        <v>0</v>
      </c>
      <c r="BO184" s="94">
        <f t="shared" si="472"/>
        <v>0</v>
      </c>
      <c r="BP184" s="94">
        <f t="shared" si="473"/>
        <v>0</v>
      </c>
      <c r="BQ184" s="94">
        <f t="shared" si="474"/>
        <v>0</v>
      </c>
      <c r="BR184" s="94">
        <f t="shared" si="475"/>
        <v>0</v>
      </c>
      <c r="BS184" s="9">
        <f t="shared" si="476"/>
        <v>542000</v>
      </c>
    </row>
    <row r="185" spans="1:71">
      <c r="A185" s="186"/>
      <c r="B185" s="8">
        <v>11</v>
      </c>
      <c r="C185" s="1" t="s">
        <v>325</v>
      </c>
      <c r="D185" s="61" t="s">
        <v>326</v>
      </c>
      <c r="E185" s="4" t="s">
        <v>24</v>
      </c>
      <c r="F185" s="4"/>
      <c r="G185" s="4"/>
      <c r="H185" s="4"/>
      <c r="I185" s="4"/>
      <c r="J185" s="4"/>
      <c r="K185" s="4"/>
      <c r="L185" s="4"/>
      <c r="M185" s="4"/>
      <c r="N185" s="9">
        <f t="shared" si="461"/>
        <v>0</v>
      </c>
      <c r="O185" s="4"/>
      <c r="P185" s="4"/>
      <c r="Q185" s="4"/>
      <c r="R185" s="4"/>
      <c r="S185" s="4"/>
      <c r="T185" s="4"/>
      <c r="U185" s="4"/>
      <c r="V185" s="4"/>
      <c r="W185" s="9">
        <f t="shared" si="462"/>
        <v>0</v>
      </c>
      <c r="X185" s="20">
        <v>290000</v>
      </c>
      <c r="Y185" s="22">
        <v>931000</v>
      </c>
      <c r="Z185" s="4">
        <v>112000</v>
      </c>
      <c r="AA185" s="73">
        <v>720000</v>
      </c>
      <c r="AB185" s="73">
        <f>1125000+225000+225000+150000</f>
        <v>1725000</v>
      </c>
      <c r="AC185" s="73">
        <f>1244000+560000</f>
        <v>1804000</v>
      </c>
      <c r="AD185" s="73">
        <f>420000+420000+140000+140000+280000+140000</f>
        <v>1540000</v>
      </c>
      <c r="AE185" s="4">
        <f>420000+280000+140000+140000+280000+406000</f>
        <v>1666000</v>
      </c>
      <c r="AF185" s="9">
        <f t="shared" si="463"/>
        <v>8788000</v>
      </c>
      <c r="AG185" s="20">
        <v>195000</v>
      </c>
      <c r="AH185" s="25">
        <v>557300</v>
      </c>
      <c r="AI185" s="24">
        <v>216700</v>
      </c>
      <c r="AJ185" s="24">
        <v>96000</v>
      </c>
      <c r="AK185" s="20"/>
      <c r="AL185" s="20"/>
      <c r="AM185" s="20"/>
      <c r="AN185" s="20"/>
      <c r="AO185" s="21">
        <f t="shared" si="464"/>
        <v>1065000</v>
      </c>
      <c r="AP185" s="25">
        <v>0</v>
      </c>
      <c r="AQ185" s="20"/>
      <c r="AR185" s="20"/>
      <c r="AS185" s="20"/>
      <c r="AT185" s="20"/>
      <c r="AU185" s="21">
        <f t="shared" si="465"/>
        <v>0</v>
      </c>
      <c r="AV185" s="25"/>
      <c r="AW185" s="20"/>
      <c r="AX185" s="20"/>
      <c r="AY185" s="20"/>
      <c r="AZ185" s="20"/>
      <c r="BA185" s="21">
        <f t="shared" si="466"/>
        <v>0</v>
      </c>
      <c r="BB185" s="25"/>
      <c r="BC185" s="25"/>
      <c r="BD185" s="25"/>
      <c r="BE185" s="25"/>
      <c r="BF185" s="20"/>
      <c r="BG185" s="20"/>
      <c r="BH185" s="20"/>
      <c r="BI185" s="20"/>
      <c r="BJ185" s="21">
        <f t="shared" si="467"/>
        <v>0</v>
      </c>
      <c r="BK185" s="4">
        <f t="shared" si="468"/>
        <v>485000</v>
      </c>
      <c r="BL185" s="4">
        <f t="shared" si="469"/>
        <v>1488300</v>
      </c>
      <c r="BM185" s="4">
        <f t="shared" si="470"/>
        <v>328700</v>
      </c>
      <c r="BN185" s="4">
        <f t="shared" si="471"/>
        <v>816000</v>
      </c>
      <c r="BO185" s="94">
        <f t="shared" si="472"/>
        <v>1725000</v>
      </c>
      <c r="BP185" s="94">
        <f t="shared" si="473"/>
        <v>1804000</v>
      </c>
      <c r="BQ185" s="94">
        <f t="shared" si="474"/>
        <v>1540000</v>
      </c>
      <c r="BR185" s="94">
        <f t="shared" si="475"/>
        <v>1666000</v>
      </c>
      <c r="BS185" s="9">
        <f t="shared" si="476"/>
        <v>9853000</v>
      </c>
    </row>
    <row r="186" spans="1:71">
      <c r="A186" s="186"/>
      <c r="B186" s="8">
        <v>12</v>
      </c>
      <c r="C186" s="1" t="s">
        <v>327</v>
      </c>
      <c r="D186" s="12" t="s">
        <v>313</v>
      </c>
      <c r="E186" s="4" t="s">
        <v>24</v>
      </c>
      <c r="F186" s="4"/>
      <c r="G186" s="4">
        <v>155000</v>
      </c>
      <c r="H186" s="4">
        <f>155000+64000+60000</f>
        <v>279000</v>
      </c>
      <c r="I186" s="4">
        <f>80000+20000</f>
        <v>100000</v>
      </c>
      <c r="J186" s="4"/>
      <c r="K186" s="4"/>
      <c r="L186" s="4"/>
      <c r="M186" s="4"/>
      <c r="N186" s="9">
        <f t="shared" si="461"/>
        <v>534000</v>
      </c>
      <c r="O186" s="4"/>
      <c r="P186" s="4"/>
      <c r="Q186" s="4"/>
      <c r="R186" s="4"/>
      <c r="S186" s="4"/>
      <c r="T186" s="4"/>
      <c r="U186" s="4"/>
      <c r="V186" s="4"/>
      <c r="W186" s="9">
        <f t="shared" si="462"/>
        <v>0</v>
      </c>
      <c r="X186" s="20"/>
      <c r="Y186" s="20"/>
      <c r="Z186" s="4"/>
      <c r="AA186" s="20"/>
      <c r="AB186" s="20"/>
      <c r="AC186" s="20"/>
      <c r="AD186" s="20"/>
      <c r="AE186" s="20"/>
      <c r="AF186" s="9">
        <f t="shared" si="463"/>
        <v>0</v>
      </c>
      <c r="AG186" s="20"/>
      <c r="AH186" s="20">
        <v>258750</v>
      </c>
      <c r="AI186" s="24">
        <v>388150</v>
      </c>
      <c r="AJ186" s="24">
        <v>150000</v>
      </c>
      <c r="AK186" s="20"/>
      <c r="AL186" s="20"/>
      <c r="AM186" s="20"/>
      <c r="AN186" s="20"/>
      <c r="AO186" s="21">
        <f t="shared" si="464"/>
        <v>796900</v>
      </c>
      <c r="AP186" s="25">
        <v>945000</v>
      </c>
      <c r="AQ186" s="20">
        <f>294000+315000+315000+315000+210000</f>
        <v>1449000</v>
      </c>
      <c r="AR186" s="20">
        <f>1379000+296000+148000</f>
        <v>1823000</v>
      </c>
      <c r="AS186" s="20">
        <v>1840000</v>
      </c>
      <c r="AT186" s="20">
        <v>1716000</v>
      </c>
      <c r="AU186" s="21">
        <f t="shared" si="465"/>
        <v>7773000</v>
      </c>
      <c r="AV186" s="25"/>
      <c r="AW186" s="20"/>
      <c r="AX186" s="20"/>
      <c r="AY186" s="20"/>
      <c r="AZ186" s="20"/>
      <c r="BA186" s="21">
        <f t="shared" si="466"/>
        <v>0</v>
      </c>
      <c r="BB186" s="25"/>
      <c r="BC186" s="25"/>
      <c r="BD186" s="25"/>
      <c r="BE186" s="25"/>
      <c r="BF186" s="20"/>
      <c r="BG186" s="20"/>
      <c r="BH186" s="20"/>
      <c r="BI186" s="20"/>
      <c r="BJ186" s="21">
        <f t="shared" si="467"/>
        <v>0</v>
      </c>
      <c r="BK186" s="4">
        <f t="shared" si="468"/>
        <v>0</v>
      </c>
      <c r="BL186" s="4">
        <f t="shared" si="469"/>
        <v>413750</v>
      </c>
      <c r="BM186" s="4">
        <f t="shared" si="470"/>
        <v>667150</v>
      </c>
      <c r="BN186" s="4">
        <f t="shared" si="471"/>
        <v>1195000</v>
      </c>
      <c r="BO186" s="94">
        <f t="shared" si="472"/>
        <v>1449000</v>
      </c>
      <c r="BP186" s="94">
        <f t="shared" si="473"/>
        <v>1823000</v>
      </c>
      <c r="BQ186" s="94">
        <f t="shared" si="474"/>
        <v>1840000</v>
      </c>
      <c r="BR186" s="94">
        <f t="shared" si="475"/>
        <v>1716000</v>
      </c>
      <c r="BS186" s="9">
        <f t="shared" si="476"/>
        <v>9103900</v>
      </c>
    </row>
    <row r="187" spans="1:71">
      <c r="A187" s="186"/>
      <c r="B187" s="8">
        <v>13</v>
      </c>
      <c r="C187" s="1" t="s">
        <v>329</v>
      </c>
      <c r="D187" s="12" t="s">
        <v>330</v>
      </c>
      <c r="E187" s="4" t="s">
        <v>24</v>
      </c>
      <c r="F187" s="4">
        <v>155000</v>
      </c>
      <c r="G187" s="4">
        <v>1039000</v>
      </c>
      <c r="H187" s="4">
        <f>220000+297000+80000</f>
        <v>597000</v>
      </c>
      <c r="I187" s="4">
        <f>60000+40000</f>
        <v>100000</v>
      </c>
      <c r="J187" s="4"/>
      <c r="K187" s="4"/>
      <c r="L187" s="4"/>
      <c r="M187" s="4"/>
      <c r="N187" s="9">
        <f t="shared" si="461"/>
        <v>1891000</v>
      </c>
      <c r="O187" s="76"/>
      <c r="P187" s="76">
        <v>1010000</v>
      </c>
      <c r="Q187" s="76">
        <v>1670000</v>
      </c>
      <c r="R187" s="76">
        <v>250000</v>
      </c>
      <c r="S187" s="4"/>
      <c r="T187" s="4"/>
      <c r="U187" s="4"/>
      <c r="V187" s="4"/>
      <c r="W187" s="9">
        <f t="shared" si="462"/>
        <v>2930000</v>
      </c>
      <c r="X187" s="20"/>
      <c r="Y187" s="22">
        <v>899000</v>
      </c>
      <c r="Z187" s="4">
        <v>870000</v>
      </c>
      <c r="AA187" s="32">
        <v>300000</v>
      </c>
      <c r="AB187" s="32"/>
      <c r="AC187" s="32"/>
      <c r="AD187" s="32"/>
      <c r="AE187" s="32"/>
      <c r="AF187" s="9">
        <f t="shared" si="463"/>
        <v>2069000</v>
      </c>
      <c r="AG187" s="20">
        <v>195000</v>
      </c>
      <c r="AH187" s="25">
        <v>1164700</v>
      </c>
      <c r="AI187" s="24">
        <v>483750</v>
      </c>
      <c r="AJ187" s="24">
        <v>150000</v>
      </c>
      <c r="AK187" s="20"/>
      <c r="AL187" s="20"/>
      <c r="AM187" s="20"/>
      <c r="AN187" s="20"/>
      <c r="AO187" s="21">
        <f t="shared" si="464"/>
        <v>1993450</v>
      </c>
      <c r="AP187" s="25">
        <v>0</v>
      </c>
      <c r="AQ187" s="20"/>
      <c r="AR187" s="20"/>
      <c r="AS187" s="20"/>
      <c r="AT187" s="20"/>
      <c r="AU187" s="21">
        <f t="shared" si="465"/>
        <v>0</v>
      </c>
      <c r="AV187" s="24">
        <v>900000</v>
      </c>
      <c r="AW187" s="20">
        <f>300000+300000+300000+300000+200000</f>
        <v>1400000</v>
      </c>
      <c r="AX187" s="20">
        <f>1970000+765000</f>
        <v>2735000</v>
      </c>
      <c r="AY187" s="20">
        <f>255000+765000+510000+255000+255000+510000+255000</f>
        <v>2805000</v>
      </c>
      <c r="AZ187" s="20">
        <f>765000+255000+255000+255000+255000+510000+510000+255000</f>
        <v>3060000</v>
      </c>
      <c r="BA187" s="21">
        <f t="shared" si="466"/>
        <v>10900000</v>
      </c>
      <c r="BB187" s="25"/>
      <c r="BC187" s="24">
        <f>100000+276000</f>
        <v>376000</v>
      </c>
      <c r="BD187" s="25"/>
      <c r="BE187" s="25"/>
      <c r="BF187" s="20"/>
      <c r="BG187" s="20"/>
      <c r="BH187" s="20"/>
      <c r="BI187" s="20"/>
      <c r="BJ187" s="21">
        <f t="shared" si="467"/>
        <v>376000</v>
      </c>
      <c r="BK187" s="4">
        <f t="shared" si="468"/>
        <v>350000</v>
      </c>
      <c r="BL187" s="4">
        <f t="shared" si="469"/>
        <v>4488700</v>
      </c>
      <c r="BM187" s="4">
        <f t="shared" si="470"/>
        <v>3620750</v>
      </c>
      <c r="BN187" s="4">
        <f t="shared" si="471"/>
        <v>1700000</v>
      </c>
      <c r="BO187" s="94">
        <f t="shared" si="472"/>
        <v>1400000</v>
      </c>
      <c r="BP187" s="94">
        <f t="shared" si="473"/>
        <v>2735000</v>
      </c>
      <c r="BQ187" s="94">
        <f t="shared" si="474"/>
        <v>2805000</v>
      </c>
      <c r="BR187" s="94">
        <f t="shared" si="475"/>
        <v>3060000</v>
      </c>
      <c r="BS187" s="9">
        <f t="shared" si="476"/>
        <v>20159450</v>
      </c>
    </row>
    <row r="188" spans="1:71" ht="31.5">
      <c r="A188" s="186"/>
      <c r="B188" s="8">
        <v>14</v>
      </c>
      <c r="C188" s="1" t="s">
        <v>331</v>
      </c>
      <c r="D188" s="5" t="s">
        <v>421</v>
      </c>
      <c r="E188" s="4" t="s">
        <v>24</v>
      </c>
      <c r="F188" s="4"/>
      <c r="G188" s="4"/>
      <c r="H188" s="4"/>
      <c r="I188" s="4"/>
      <c r="J188" s="4"/>
      <c r="K188" s="4"/>
      <c r="L188" s="4"/>
      <c r="M188" s="4"/>
      <c r="N188" s="9">
        <f t="shared" si="461"/>
        <v>0</v>
      </c>
      <c r="O188" s="4"/>
      <c r="P188" s="4"/>
      <c r="Q188" s="4"/>
      <c r="R188" s="4"/>
      <c r="S188" s="4"/>
      <c r="T188" s="4"/>
      <c r="U188" s="4"/>
      <c r="V188" s="4"/>
      <c r="W188" s="9">
        <f t="shared" si="462"/>
        <v>0</v>
      </c>
      <c r="X188" s="20"/>
      <c r="Y188" s="20"/>
      <c r="Z188" s="4"/>
      <c r="AA188" s="20"/>
      <c r="AB188" s="20"/>
      <c r="AC188" s="20"/>
      <c r="AD188" s="20"/>
      <c r="AE188" s="20"/>
      <c r="AF188" s="9">
        <f t="shared" si="463"/>
        <v>0</v>
      </c>
      <c r="AG188" s="20"/>
      <c r="AH188" s="25">
        <v>195000</v>
      </c>
      <c r="AI188" s="24">
        <v>275000</v>
      </c>
      <c r="AJ188" s="24">
        <v>1010000</v>
      </c>
      <c r="AK188" s="20">
        <f>70000+210000+210000+210000+140000</f>
        <v>840000</v>
      </c>
      <c r="AL188" s="20">
        <f>797050+195500+99700</f>
        <v>1092250</v>
      </c>
      <c r="AM188" s="20">
        <v>1444850</v>
      </c>
      <c r="AN188" s="20">
        <v>1585950</v>
      </c>
      <c r="AO188" s="21">
        <f t="shared" si="464"/>
        <v>6443050</v>
      </c>
      <c r="AP188" s="25">
        <v>0</v>
      </c>
      <c r="AQ188" s="20"/>
      <c r="AR188" s="20"/>
      <c r="AS188" s="20"/>
      <c r="AT188" s="20"/>
      <c r="AU188" s="21">
        <f t="shared" si="465"/>
        <v>0</v>
      </c>
      <c r="AV188" s="25"/>
      <c r="AW188" s="20"/>
      <c r="AX188" s="20"/>
      <c r="AY188" s="20"/>
      <c r="AZ188" s="20"/>
      <c r="BA188" s="21">
        <f t="shared" si="466"/>
        <v>0</v>
      </c>
      <c r="BB188" s="25"/>
      <c r="BC188" s="25">
        <v>100000</v>
      </c>
      <c r="BD188" s="25">
        <v>239200</v>
      </c>
      <c r="BE188" s="25"/>
      <c r="BF188" s="20"/>
      <c r="BG188" s="20"/>
      <c r="BH188" s="20"/>
      <c r="BI188" s="20"/>
      <c r="BJ188" s="21">
        <f t="shared" si="467"/>
        <v>339200</v>
      </c>
      <c r="BK188" s="4">
        <f t="shared" si="468"/>
        <v>0</v>
      </c>
      <c r="BL188" s="4">
        <f t="shared" si="469"/>
        <v>295000</v>
      </c>
      <c r="BM188" s="4">
        <f t="shared" si="470"/>
        <v>514200</v>
      </c>
      <c r="BN188" s="4">
        <f t="shared" si="471"/>
        <v>1010000</v>
      </c>
      <c r="BO188" s="94">
        <f t="shared" si="472"/>
        <v>840000</v>
      </c>
      <c r="BP188" s="94">
        <f t="shared" si="473"/>
        <v>1092250</v>
      </c>
      <c r="BQ188" s="94">
        <f t="shared" si="474"/>
        <v>1444850</v>
      </c>
      <c r="BR188" s="94">
        <f t="shared" si="475"/>
        <v>1585950</v>
      </c>
      <c r="BS188" s="9">
        <f t="shared" si="476"/>
        <v>6782250</v>
      </c>
    </row>
    <row r="189" spans="1:71">
      <c r="A189" s="186"/>
      <c r="B189" s="8">
        <v>15</v>
      </c>
      <c r="C189" s="1" t="s">
        <v>332</v>
      </c>
      <c r="D189" s="4" t="s">
        <v>333</v>
      </c>
      <c r="E189" s="4" t="s">
        <v>24</v>
      </c>
      <c r="F189" s="4"/>
      <c r="G189" s="4">
        <v>741983</v>
      </c>
      <c r="H189" s="4">
        <f>88000+110000+220000</f>
        <v>418000</v>
      </c>
      <c r="I189" s="4"/>
      <c r="J189" s="4"/>
      <c r="K189" s="4"/>
      <c r="L189" s="4">
        <v>180000</v>
      </c>
      <c r="M189" s="4"/>
      <c r="N189" s="9">
        <f t="shared" si="461"/>
        <v>1339983</v>
      </c>
      <c r="O189" s="4"/>
      <c r="P189" s="4"/>
      <c r="Q189" s="4"/>
      <c r="R189" s="4"/>
      <c r="S189" s="4"/>
      <c r="T189" s="4"/>
      <c r="U189" s="4"/>
      <c r="V189" s="4"/>
      <c r="W189" s="9">
        <f t="shared" si="462"/>
        <v>0</v>
      </c>
      <c r="X189" s="20"/>
      <c r="Y189" s="22">
        <v>1078065</v>
      </c>
      <c r="Z189" s="4">
        <v>2130000</v>
      </c>
      <c r="AA189" s="32"/>
      <c r="AB189" s="32"/>
      <c r="AC189" s="32"/>
      <c r="AD189" s="32">
        <v>300000</v>
      </c>
      <c r="AE189" s="32"/>
      <c r="AF189" s="9">
        <f t="shared" si="463"/>
        <v>3508065</v>
      </c>
      <c r="AG189" s="20"/>
      <c r="AH189" s="25">
        <v>1012650</v>
      </c>
      <c r="AI189" s="24">
        <v>477000</v>
      </c>
      <c r="AJ189" s="24"/>
      <c r="AK189" s="20"/>
      <c r="AL189" s="20"/>
      <c r="AM189" s="20">
        <v>270000</v>
      </c>
      <c r="AN189" s="20"/>
      <c r="AO189" s="21">
        <f t="shared" si="464"/>
        <v>1759650</v>
      </c>
      <c r="AP189" s="25">
        <v>0</v>
      </c>
      <c r="AQ189" s="20"/>
      <c r="AR189" s="20"/>
      <c r="AS189" s="20"/>
      <c r="AT189" s="20"/>
      <c r="AU189" s="21">
        <f t="shared" si="465"/>
        <v>0</v>
      </c>
      <c r="AV189" s="25"/>
      <c r="AW189" s="20"/>
      <c r="AX189" s="20"/>
      <c r="AY189" s="20"/>
      <c r="AZ189" s="20"/>
      <c r="BA189" s="21">
        <f t="shared" si="466"/>
        <v>0</v>
      </c>
      <c r="BB189" s="25"/>
      <c r="BC189" s="25"/>
      <c r="BD189" s="25"/>
      <c r="BE189" s="25"/>
      <c r="BF189" s="20"/>
      <c r="BG189" s="20"/>
      <c r="BH189" s="20"/>
      <c r="BI189" s="20"/>
      <c r="BJ189" s="21">
        <f t="shared" si="467"/>
        <v>0</v>
      </c>
      <c r="BK189" s="4">
        <f t="shared" si="468"/>
        <v>0</v>
      </c>
      <c r="BL189" s="4">
        <f t="shared" si="469"/>
        <v>2832698</v>
      </c>
      <c r="BM189" s="4">
        <f t="shared" si="470"/>
        <v>3025000</v>
      </c>
      <c r="BN189" s="4">
        <f t="shared" si="471"/>
        <v>0</v>
      </c>
      <c r="BO189" s="94">
        <f t="shared" si="472"/>
        <v>0</v>
      </c>
      <c r="BP189" s="94">
        <f t="shared" si="473"/>
        <v>0</v>
      </c>
      <c r="BQ189" s="94">
        <f t="shared" si="474"/>
        <v>750000</v>
      </c>
      <c r="BR189" s="94">
        <f t="shared" si="475"/>
        <v>0</v>
      </c>
      <c r="BS189" s="9">
        <f t="shared" si="476"/>
        <v>6607698</v>
      </c>
    </row>
    <row r="190" spans="1:71">
      <c r="A190" s="186"/>
      <c r="B190" s="8">
        <v>16</v>
      </c>
      <c r="C190" s="1" t="s">
        <v>334</v>
      </c>
      <c r="D190" s="4" t="s">
        <v>335</v>
      </c>
      <c r="E190" s="4" t="s">
        <v>24</v>
      </c>
      <c r="F190" s="4"/>
      <c r="G190" s="4">
        <v>155000</v>
      </c>
      <c r="H190" s="4"/>
      <c r="I190" s="4"/>
      <c r="J190" s="4"/>
      <c r="K190" s="4"/>
      <c r="L190" s="4"/>
      <c r="M190" s="4"/>
      <c r="N190" s="9">
        <f t="shared" si="461"/>
        <v>155000</v>
      </c>
      <c r="O190" s="4"/>
      <c r="P190" s="4"/>
      <c r="Q190" s="4"/>
      <c r="R190" s="4"/>
      <c r="S190" s="4"/>
      <c r="T190" s="4"/>
      <c r="U190" s="4"/>
      <c r="V190" s="4"/>
      <c r="W190" s="9">
        <f t="shared" si="462"/>
        <v>0</v>
      </c>
      <c r="X190" s="20"/>
      <c r="Y190" s="20"/>
      <c r="Z190" s="20"/>
      <c r="AA190" s="20"/>
      <c r="AB190" s="20"/>
      <c r="AC190" s="20"/>
      <c r="AD190" s="20"/>
      <c r="AE190" s="20"/>
      <c r="AF190" s="9">
        <f t="shared" si="463"/>
        <v>0</v>
      </c>
      <c r="AG190" s="20"/>
      <c r="AH190" s="25">
        <v>841750</v>
      </c>
      <c r="AI190" s="20"/>
      <c r="AJ190" s="20"/>
      <c r="AK190" s="20"/>
      <c r="AL190" s="20"/>
      <c r="AM190" s="20"/>
      <c r="AN190" s="20"/>
      <c r="AO190" s="21">
        <f t="shared" si="464"/>
        <v>841750</v>
      </c>
      <c r="AP190" s="25">
        <v>0</v>
      </c>
      <c r="AQ190" s="20"/>
      <c r="AR190" s="20"/>
      <c r="AS190" s="20"/>
      <c r="AT190" s="20"/>
      <c r="AU190" s="21">
        <f t="shared" si="465"/>
        <v>0</v>
      </c>
      <c r="AV190" s="25"/>
      <c r="AW190" s="20"/>
      <c r="AX190" s="20"/>
      <c r="AY190" s="20"/>
      <c r="AZ190" s="20"/>
      <c r="BA190" s="21">
        <f t="shared" si="466"/>
        <v>0</v>
      </c>
      <c r="BB190" s="25"/>
      <c r="BC190" s="25">
        <v>100000</v>
      </c>
      <c r="BD190" s="25"/>
      <c r="BE190" s="25"/>
      <c r="BF190" s="20"/>
      <c r="BG190" s="20"/>
      <c r="BH190" s="20"/>
      <c r="BI190" s="20"/>
      <c r="BJ190" s="21">
        <f t="shared" si="467"/>
        <v>100000</v>
      </c>
      <c r="BK190" s="4">
        <f t="shared" si="468"/>
        <v>0</v>
      </c>
      <c r="BL190" s="4">
        <f t="shared" si="469"/>
        <v>1096750</v>
      </c>
      <c r="BM190" s="4">
        <f t="shared" si="470"/>
        <v>0</v>
      </c>
      <c r="BN190" s="4">
        <f t="shared" si="471"/>
        <v>0</v>
      </c>
      <c r="BO190" s="94">
        <f t="shared" si="472"/>
        <v>0</v>
      </c>
      <c r="BP190" s="94">
        <f t="shared" si="473"/>
        <v>0</v>
      </c>
      <c r="BQ190" s="94">
        <f t="shared" si="474"/>
        <v>0</v>
      </c>
      <c r="BR190" s="94">
        <f t="shared" si="475"/>
        <v>0</v>
      </c>
      <c r="BS190" s="9">
        <f t="shared" si="476"/>
        <v>1096750</v>
      </c>
    </row>
    <row r="191" spans="1:71">
      <c r="A191" s="186"/>
      <c r="B191" s="8">
        <v>17</v>
      </c>
      <c r="C191" s="1" t="s">
        <v>336</v>
      </c>
      <c r="D191" s="4" t="s">
        <v>26</v>
      </c>
      <c r="E191" s="4" t="s">
        <v>24</v>
      </c>
      <c r="F191" s="4">
        <v>155000</v>
      </c>
      <c r="G191" s="4">
        <v>412000</v>
      </c>
      <c r="H191" s="4">
        <f>38500+209000</f>
        <v>247500</v>
      </c>
      <c r="I191" s="4"/>
      <c r="J191" s="4"/>
      <c r="K191" s="4"/>
      <c r="L191" s="4"/>
      <c r="M191" s="4"/>
      <c r="N191" s="9">
        <f t="shared" si="461"/>
        <v>814500</v>
      </c>
      <c r="O191" s="4"/>
      <c r="P191" s="4"/>
      <c r="Q191" s="4"/>
      <c r="R191" s="4"/>
      <c r="S191" s="4"/>
      <c r="T191" s="4"/>
      <c r="U191" s="4"/>
      <c r="V191" s="4"/>
      <c r="W191" s="9">
        <f t="shared" si="462"/>
        <v>0</v>
      </c>
      <c r="X191" s="20"/>
      <c r="Y191" s="20"/>
      <c r="Z191" s="20"/>
      <c r="AA191" s="20"/>
      <c r="AB191" s="20"/>
      <c r="AC191" s="20"/>
      <c r="AD191" s="20"/>
      <c r="AE191" s="20"/>
      <c r="AF191" s="9">
        <f t="shared" si="463"/>
        <v>0</v>
      </c>
      <c r="AG191" s="20">
        <v>195000</v>
      </c>
      <c r="AH191" s="25">
        <v>689400</v>
      </c>
      <c r="AI191" s="24">
        <v>235500</v>
      </c>
      <c r="AJ191" s="25"/>
      <c r="AK191" s="20"/>
      <c r="AL191" s="20"/>
      <c r="AM191" s="20"/>
      <c r="AN191" s="20"/>
      <c r="AO191" s="21">
        <f t="shared" si="464"/>
        <v>1119900</v>
      </c>
      <c r="AP191" s="25">
        <v>0</v>
      </c>
      <c r="AQ191" s="20"/>
      <c r="AR191" s="20">
        <f>1288000+280500+140000</f>
        <v>1708500</v>
      </c>
      <c r="AS191" s="20">
        <v>1725000</v>
      </c>
      <c r="AT191" s="20">
        <v>1624000</v>
      </c>
      <c r="AU191" s="21">
        <f t="shared" si="465"/>
        <v>5057500</v>
      </c>
      <c r="AV191" s="25"/>
      <c r="AW191" s="20"/>
      <c r="AX191" s="20"/>
      <c r="AY191" s="20"/>
      <c r="AZ191" s="20"/>
      <c r="BA191" s="21">
        <f t="shared" si="466"/>
        <v>0</v>
      </c>
      <c r="BB191" s="25"/>
      <c r="BC191" s="25">
        <v>100000</v>
      </c>
      <c r="BD191" s="25">
        <v>432000</v>
      </c>
      <c r="BE191" s="25"/>
      <c r="BF191" s="20"/>
      <c r="BG191" s="20"/>
      <c r="BH191" s="20"/>
      <c r="BI191" s="20"/>
      <c r="BJ191" s="21">
        <f t="shared" si="467"/>
        <v>532000</v>
      </c>
      <c r="BK191" s="4">
        <f t="shared" si="468"/>
        <v>350000</v>
      </c>
      <c r="BL191" s="4">
        <f t="shared" si="469"/>
        <v>1201400</v>
      </c>
      <c r="BM191" s="4">
        <f t="shared" si="470"/>
        <v>915000</v>
      </c>
      <c r="BN191" s="4">
        <f t="shared" si="471"/>
        <v>0</v>
      </c>
      <c r="BO191" s="94">
        <f t="shared" si="472"/>
        <v>0</v>
      </c>
      <c r="BP191" s="94">
        <f t="shared" si="473"/>
        <v>1708500</v>
      </c>
      <c r="BQ191" s="94">
        <f t="shared" si="474"/>
        <v>1725000</v>
      </c>
      <c r="BR191" s="94">
        <f t="shared" si="475"/>
        <v>1624000</v>
      </c>
      <c r="BS191" s="9">
        <f t="shared" si="476"/>
        <v>7523900</v>
      </c>
    </row>
    <row r="192" spans="1:71">
      <c r="A192" s="186"/>
      <c r="B192" s="8">
        <v>18</v>
      </c>
      <c r="C192" s="1" t="s">
        <v>337</v>
      </c>
      <c r="D192" s="5" t="s">
        <v>335</v>
      </c>
      <c r="E192" s="4" t="s">
        <v>24</v>
      </c>
      <c r="F192" s="4"/>
      <c r="G192" s="4"/>
      <c r="H192" s="4"/>
      <c r="I192" s="4"/>
      <c r="J192" s="4"/>
      <c r="K192" s="4"/>
      <c r="L192" s="4"/>
      <c r="M192" s="4"/>
      <c r="N192" s="9">
        <f t="shared" si="461"/>
        <v>0</v>
      </c>
      <c r="O192" s="4"/>
      <c r="P192" s="4"/>
      <c r="Q192" s="4"/>
      <c r="R192" s="4"/>
      <c r="S192" s="4"/>
      <c r="T192" s="4"/>
      <c r="U192" s="4"/>
      <c r="V192" s="4"/>
      <c r="W192" s="9">
        <f t="shared" si="462"/>
        <v>0</v>
      </c>
      <c r="X192" s="20"/>
      <c r="Y192" s="20"/>
      <c r="Z192" s="20"/>
      <c r="AA192" s="20"/>
      <c r="AB192" s="20"/>
      <c r="AC192" s="20"/>
      <c r="AD192" s="20"/>
      <c r="AE192" s="20"/>
      <c r="AF192" s="9">
        <f t="shared" si="463"/>
        <v>0</v>
      </c>
      <c r="AG192" s="20"/>
      <c r="AH192" s="25">
        <v>195000</v>
      </c>
      <c r="AI192" s="20"/>
      <c r="AJ192" s="20"/>
      <c r="AK192" s="20"/>
      <c r="AL192" s="20"/>
      <c r="AM192" s="20"/>
      <c r="AN192" s="20"/>
      <c r="AO192" s="21">
        <f t="shared" si="464"/>
        <v>195000</v>
      </c>
      <c r="AP192" s="25">
        <v>0</v>
      </c>
      <c r="AQ192" s="20"/>
      <c r="AR192" s="20"/>
      <c r="AS192" s="20"/>
      <c r="AT192" s="20"/>
      <c r="AU192" s="21">
        <f t="shared" si="465"/>
        <v>0</v>
      </c>
      <c r="AV192" s="25"/>
      <c r="AW192" s="20"/>
      <c r="AX192" s="20"/>
      <c r="AY192" s="20"/>
      <c r="AZ192" s="20"/>
      <c r="BA192" s="21">
        <f t="shared" si="466"/>
        <v>0</v>
      </c>
      <c r="BB192" s="25"/>
      <c r="BC192" s="25"/>
      <c r="BD192" s="25"/>
      <c r="BE192" s="25"/>
      <c r="BF192" s="20"/>
      <c r="BG192" s="20"/>
      <c r="BH192" s="20"/>
      <c r="BI192" s="20"/>
      <c r="BJ192" s="21">
        <f t="shared" si="467"/>
        <v>0</v>
      </c>
      <c r="BK192" s="4">
        <f t="shared" si="468"/>
        <v>0</v>
      </c>
      <c r="BL192" s="4">
        <f t="shared" si="469"/>
        <v>195000</v>
      </c>
      <c r="BM192" s="4">
        <f t="shared" si="470"/>
        <v>0</v>
      </c>
      <c r="BN192" s="4">
        <f t="shared" si="471"/>
        <v>0</v>
      </c>
      <c r="BO192" s="94">
        <f t="shared" si="472"/>
        <v>0</v>
      </c>
      <c r="BP192" s="94">
        <f t="shared" si="473"/>
        <v>0</v>
      </c>
      <c r="BQ192" s="94">
        <f t="shared" si="474"/>
        <v>0</v>
      </c>
      <c r="BR192" s="94">
        <f t="shared" si="475"/>
        <v>0</v>
      </c>
      <c r="BS192" s="9">
        <f t="shared" si="476"/>
        <v>195000</v>
      </c>
    </row>
    <row r="193" spans="1:71" ht="31.5">
      <c r="A193" s="186"/>
      <c r="B193" s="8">
        <v>19</v>
      </c>
      <c r="C193" s="1" t="s">
        <v>471</v>
      </c>
      <c r="D193" s="4" t="s">
        <v>26</v>
      </c>
      <c r="E193" s="4" t="s">
        <v>24</v>
      </c>
      <c r="F193" s="4">
        <v>155000</v>
      </c>
      <c r="G193" s="4">
        <v>343000</v>
      </c>
      <c r="H193" s="4">
        <f>77000+38500</f>
        <v>115500</v>
      </c>
      <c r="I193" s="4">
        <f>126000+14000</f>
        <v>140000</v>
      </c>
      <c r="J193" s="4"/>
      <c r="K193" s="4"/>
      <c r="L193" s="4"/>
      <c r="M193" s="4"/>
      <c r="N193" s="9">
        <f t="shared" si="461"/>
        <v>753500</v>
      </c>
      <c r="O193" s="4"/>
      <c r="P193" s="4"/>
      <c r="Q193" s="4"/>
      <c r="R193" s="4"/>
      <c r="S193" s="4"/>
      <c r="T193" s="4"/>
      <c r="U193" s="4"/>
      <c r="V193" s="4"/>
      <c r="W193" s="9">
        <f t="shared" si="462"/>
        <v>0</v>
      </c>
      <c r="X193" s="20"/>
      <c r="Y193" s="20"/>
      <c r="Z193" s="20"/>
      <c r="AA193" s="20"/>
      <c r="AB193" s="20"/>
      <c r="AC193" s="20"/>
      <c r="AD193" s="20"/>
      <c r="AE193" s="20"/>
      <c r="AF193" s="9">
        <f t="shared" si="463"/>
        <v>0</v>
      </c>
      <c r="AG193" s="20">
        <v>195000</v>
      </c>
      <c r="AH193" s="25">
        <v>835150</v>
      </c>
      <c r="AI193" s="24">
        <v>494400</v>
      </c>
      <c r="AJ193" s="25">
        <v>150000</v>
      </c>
      <c r="AK193" s="20"/>
      <c r="AL193" s="20"/>
      <c r="AM193" s="20"/>
      <c r="AN193" s="20"/>
      <c r="AO193" s="21">
        <f t="shared" si="464"/>
        <v>1674550</v>
      </c>
      <c r="AP193" s="25">
        <v>946000</v>
      </c>
      <c r="AQ193" s="20">
        <f>101000+301500+200000+100500+300000+201000</f>
        <v>1204000</v>
      </c>
      <c r="AR193" s="20">
        <f>1359200+295600+147800</f>
        <v>1802600</v>
      </c>
      <c r="AS193" s="20">
        <v>1767000</v>
      </c>
      <c r="AT193" s="20">
        <v>1775600</v>
      </c>
      <c r="AU193" s="21">
        <f t="shared" si="465"/>
        <v>7495200</v>
      </c>
      <c r="AV193" s="25"/>
      <c r="AW193" s="20"/>
      <c r="AX193" s="20"/>
      <c r="AY193" s="20"/>
      <c r="AZ193" s="20"/>
      <c r="BA193" s="21">
        <f t="shared" si="466"/>
        <v>0</v>
      </c>
      <c r="BB193" s="25"/>
      <c r="BC193" s="25"/>
      <c r="BD193" s="25"/>
      <c r="BE193" s="25"/>
      <c r="BF193" s="20"/>
      <c r="BG193" s="20"/>
      <c r="BH193" s="20"/>
      <c r="BI193" s="20"/>
      <c r="BJ193" s="21">
        <f t="shared" si="467"/>
        <v>0</v>
      </c>
      <c r="BK193" s="4">
        <f t="shared" si="468"/>
        <v>350000</v>
      </c>
      <c r="BL193" s="4">
        <f t="shared" si="469"/>
        <v>1178150</v>
      </c>
      <c r="BM193" s="4">
        <f t="shared" si="470"/>
        <v>609900</v>
      </c>
      <c r="BN193" s="4">
        <f t="shared" si="471"/>
        <v>1236000</v>
      </c>
      <c r="BO193" s="94">
        <f t="shared" si="472"/>
        <v>1204000</v>
      </c>
      <c r="BP193" s="94">
        <f t="shared" si="473"/>
        <v>1802600</v>
      </c>
      <c r="BQ193" s="94">
        <f t="shared" si="474"/>
        <v>1767000</v>
      </c>
      <c r="BR193" s="94">
        <f t="shared" si="475"/>
        <v>1775600</v>
      </c>
      <c r="BS193" s="9">
        <f t="shared" si="476"/>
        <v>9923250</v>
      </c>
    </row>
    <row r="194" spans="1:71">
      <c r="A194" s="186"/>
      <c r="B194" s="8">
        <v>20</v>
      </c>
      <c r="C194" s="1" t="s">
        <v>339</v>
      </c>
      <c r="D194" s="4" t="s">
        <v>335</v>
      </c>
      <c r="E194" s="4" t="s">
        <v>24</v>
      </c>
      <c r="F194" s="4"/>
      <c r="G194" s="4">
        <v>155000</v>
      </c>
      <c r="H194" s="4">
        <f>397500+88000</f>
        <v>485500</v>
      </c>
      <c r="I194" s="4">
        <v>420000</v>
      </c>
      <c r="J194" s="4">
        <f>210000+210000+210000+210000+140000</f>
        <v>980000</v>
      </c>
      <c r="K194" s="4">
        <f>1000000+220000+110000</f>
        <v>1330000</v>
      </c>
      <c r="L194" s="4">
        <v>1281500</v>
      </c>
      <c r="M194" s="4">
        <v>1210000</v>
      </c>
      <c r="N194" s="9">
        <f t="shared" si="461"/>
        <v>5862000</v>
      </c>
      <c r="O194" s="4"/>
      <c r="P194" s="4"/>
      <c r="Q194" s="4"/>
      <c r="R194" s="4"/>
      <c r="S194" s="4"/>
      <c r="T194" s="4"/>
      <c r="U194" s="4"/>
      <c r="V194" s="4"/>
      <c r="W194" s="9">
        <f t="shared" si="462"/>
        <v>0</v>
      </c>
      <c r="X194" s="20"/>
      <c r="Y194" s="20"/>
      <c r="Z194" s="20"/>
      <c r="AA194" s="20"/>
      <c r="AB194" s="20"/>
      <c r="AC194" s="20"/>
      <c r="AD194" s="20"/>
      <c r="AE194" s="20"/>
      <c r="AF194" s="9">
        <f t="shared" si="463"/>
        <v>0</v>
      </c>
      <c r="AG194" s="20"/>
      <c r="AH194" s="20"/>
      <c r="AI194" s="20"/>
      <c r="AJ194" s="20"/>
      <c r="AK194" s="20"/>
      <c r="AL194" s="20"/>
      <c r="AM194" s="20"/>
      <c r="AN194" s="20"/>
      <c r="AO194" s="21">
        <f t="shared" si="464"/>
        <v>0</v>
      </c>
      <c r="AP194" s="25">
        <v>0</v>
      </c>
      <c r="AQ194" s="20"/>
      <c r="AR194" s="20"/>
      <c r="AS194" s="20"/>
      <c r="AT194" s="20"/>
      <c r="AU194" s="21">
        <f t="shared" si="465"/>
        <v>0</v>
      </c>
      <c r="AV194" s="25"/>
      <c r="AW194" s="20"/>
      <c r="AX194" s="20"/>
      <c r="AY194" s="20"/>
      <c r="AZ194" s="20"/>
      <c r="BA194" s="21">
        <f t="shared" si="466"/>
        <v>0</v>
      </c>
      <c r="BB194" s="25"/>
      <c r="BC194" s="25"/>
      <c r="BD194" s="25">
        <v>100000</v>
      </c>
      <c r="BE194" s="25">
        <v>150000</v>
      </c>
      <c r="BF194" s="20"/>
      <c r="BG194" s="20"/>
      <c r="BH194" s="20"/>
      <c r="BI194" s="20"/>
      <c r="BJ194" s="21">
        <f t="shared" si="467"/>
        <v>250000</v>
      </c>
      <c r="BK194" s="4">
        <f t="shared" si="468"/>
        <v>0</v>
      </c>
      <c r="BL194" s="4">
        <f t="shared" si="469"/>
        <v>155000</v>
      </c>
      <c r="BM194" s="4">
        <f t="shared" si="470"/>
        <v>585500</v>
      </c>
      <c r="BN194" s="4">
        <f t="shared" si="471"/>
        <v>570000</v>
      </c>
      <c r="BO194" s="94">
        <f t="shared" si="472"/>
        <v>980000</v>
      </c>
      <c r="BP194" s="94">
        <f t="shared" si="473"/>
        <v>1330000</v>
      </c>
      <c r="BQ194" s="94">
        <f t="shared" si="474"/>
        <v>1281500</v>
      </c>
      <c r="BR194" s="94">
        <f t="shared" si="475"/>
        <v>1210000</v>
      </c>
      <c r="BS194" s="9">
        <f t="shared" si="476"/>
        <v>6112000</v>
      </c>
    </row>
    <row r="195" spans="1:71">
      <c r="A195" s="186"/>
      <c r="B195" s="8">
        <v>21</v>
      </c>
      <c r="C195" s="1" t="s">
        <v>340</v>
      </c>
      <c r="D195" s="4" t="s">
        <v>341</v>
      </c>
      <c r="E195" s="4" t="s">
        <v>24</v>
      </c>
      <c r="F195" s="4">
        <v>155000</v>
      </c>
      <c r="G195" s="4">
        <v>762000</v>
      </c>
      <c r="H195" s="4">
        <f>93500+187000+291500</f>
        <v>572000</v>
      </c>
      <c r="I195" s="4">
        <v>225500</v>
      </c>
      <c r="J195" s="4"/>
      <c r="K195" s="4"/>
      <c r="L195" s="4"/>
      <c r="M195" s="4"/>
      <c r="N195" s="9">
        <f t="shared" si="461"/>
        <v>1714500</v>
      </c>
      <c r="O195" s="76"/>
      <c r="P195" s="76">
        <v>290000</v>
      </c>
      <c r="Q195" s="76">
        <v>800000</v>
      </c>
      <c r="R195" s="76">
        <v>925000</v>
      </c>
      <c r="S195" s="4">
        <f>225000+225000+225000+225000+150000</f>
        <v>1050000</v>
      </c>
      <c r="T195" s="4">
        <f>1565000+400000</f>
        <v>1965000</v>
      </c>
      <c r="U195" s="4">
        <f>1000000+400000+200000+200000+400000+200000+200000</f>
        <v>2600000</v>
      </c>
      <c r="V195" s="4">
        <f>580000+200000+200000+200000+200000+400000+600000</f>
        <v>2380000</v>
      </c>
      <c r="W195" s="9">
        <f t="shared" si="462"/>
        <v>10010000</v>
      </c>
      <c r="X195" s="20"/>
      <c r="Y195" s="20"/>
      <c r="Z195" s="20"/>
      <c r="AA195" s="20"/>
      <c r="AB195" s="20"/>
      <c r="AC195" s="20"/>
      <c r="AD195" s="20"/>
      <c r="AE195" s="20"/>
      <c r="AF195" s="9">
        <f t="shared" si="463"/>
        <v>0</v>
      </c>
      <c r="AG195" s="20">
        <v>195000</v>
      </c>
      <c r="AH195" s="25">
        <v>953000</v>
      </c>
      <c r="AI195" s="24">
        <v>722650</v>
      </c>
      <c r="AJ195" s="25">
        <v>270000</v>
      </c>
      <c r="AK195" s="20"/>
      <c r="AL195" s="20"/>
      <c r="AM195" s="20"/>
      <c r="AN195" s="20"/>
      <c r="AO195" s="21">
        <f t="shared" si="464"/>
        <v>2140650</v>
      </c>
      <c r="AP195" s="25">
        <v>0</v>
      </c>
      <c r="AQ195" s="20"/>
      <c r="AR195" s="20"/>
      <c r="AS195" s="20"/>
      <c r="AT195" s="20"/>
      <c r="AU195" s="21">
        <f t="shared" si="465"/>
        <v>0</v>
      </c>
      <c r="AV195" s="25"/>
      <c r="AW195" s="20"/>
      <c r="AX195" s="20"/>
      <c r="AY195" s="20"/>
      <c r="AZ195" s="20"/>
      <c r="BA195" s="21">
        <f t="shared" si="466"/>
        <v>0</v>
      </c>
      <c r="BB195" s="25"/>
      <c r="BC195" s="25"/>
      <c r="BD195" s="25"/>
      <c r="BE195" s="25"/>
      <c r="BF195" s="20"/>
      <c r="BG195" s="20"/>
      <c r="BH195" s="20"/>
      <c r="BI195" s="20"/>
      <c r="BJ195" s="21">
        <f t="shared" si="467"/>
        <v>0</v>
      </c>
      <c r="BK195" s="4">
        <f t="shared" si="468"/>
        <v>350000</v>
      </c>
      <c r="BL195" s="4">
        <f t="shared" si="469"/>
        <v>2005000</v>
      </c>
      <c r="BM195" s="4">
        <f t="shared" si="470"/>
        <v>2094650</v>
      </c>
      <c r="BN195" s="4">
        <f t="shared" si="471"/>
        <v>1420500</v>
      </c>
      <c r="BO195" s="94">
        <f t="shared" si="472"/>
        <v>1050000</v>
      </c>
      <c r="BP195" s="94">
        <f t="shared" si="473"/>
        <v>1965000</v>
      </c>
      <c r="BQ195" s="94">
        <f t="shared" si="474"/>
        <v>2600000</v>
      </c>
      <c r="BR195" s="94">
        <f t="shared" si="475"/>
        <v>2380000</v>
      </c>
      <c r="BS195" s="9">
        <f t="shared" si="476"/>
        <v>13865150</v>
      </c>
    </row>
    <row r="196" spans="1:71" ht="31.5">
      <c r="A196" s="186"/>
      <c r="B196" s="8">
        <v>22</v>
      </c>
      <c r="C196" s="1" t="s">
        <v>342</v>
      </c>
      <c r="D196" s="4" t="s">
        <v>343</v>
      </c>
      <c r="E196" s="4" t="s">
        <v>24</v>
      </c>
      <c r="F196" s="4"/>
      <c r="G196" s="4">
        <v>155000</v>
      </c>
      <c r="H196" s="4">
        <f>341000+214500</f>
        <v>555500</v>
      </c>
      <c r="I196" s="4">
        <v>180000</v>
      </c>
      <c r="J196" s="4"/>
      <c r="K196" s="4"/>
      <c r="L196" s="4"/>
      <c r="M196" s="4"/>
      <c r="N196" s="9">
        <f t="shared" si="461"/>
        <v>890500</v>
      </c>
      <c r="O196" s="76"/>
      <c r="P196" s="76">
        <v>1140000</v>
      </c>
      <c r="Q196" s="76">
        <v>670000</v>
      </c>
      <c r="R196" s="76">
        <v>975000</v>
      </c>
      <c r="S196" s="4">
        <f>225000+225000+225000+225000+150000</f>
        <v>1050000</v>
      </c>
      <c r="T196" s="4">
        <v>2145000</v>
      </c>
      <c r="U196" s="4">
        <f>600000+800000+600000+200000+200000</f>
        <v>2400000</v>
      </c>
      <c r="V196" s="4">
        <f>400000+200000+200000+200000+200000+400000+600000</f>
        <v>2200000</v>
      </c>
      <c r="W196" s="9">
        <f t="shared" si="462"/>
        <v>10580000</v>
      </c>
      <c r="X196" s="20"/>
      <c r="Y196" s="20"/>
      <c r="Z196" s="20"/>
      <c r="AA196" s="20"/>
      <c r="AB196" s="20"/>
      <c r="AC196" s="20"/>
      <c r="AD196" s="20"/>
      <c r="AE196" s="20"/>
      <c r="AF196" s="9">
        <f t="shared" si="463"/>
        <v>0</v>
      </c>
      <c r="AG196" s="20"/>
      <c r="AH196" s="20"/>
      <c r="AI196" s="20"/>
      <c r="AJ196" s="20"/>
      <c r="AK196" s="20"/>
      <c r="AL196" s="20"/>
      <c r="AM196" s="20"/>
      <c r="AN196" s="20"/>
      <c r="AO196" s="21">
        <f t="shared" si="464"/>
        <v>0</v>
      </c>
      <c r="AP196" s="25">
        <v>0</v>
      </c>
      <c r="AQ196" s="20"/>
      <c r="AR196" s="20"/>
      <c r="AS196" s="20"/>
      <c r="AT196" s="20"/>
      <c r="AU196" s="21">
        <f t="shared" si="465"/>
        <v>0</v>
      </c>
      <c r="AV196" s="25"/>
      <c r="AW196" s="20"/>
      <c r="AX196" s="20"/>
      <c r="AY196" s="20"/>
      <c r="AZ196" s="20"/>
      <c r="BA196" s="21">
        <f t="shared" si="466"/>
        <v>0</v>
      </c>
      <c r="BB196" s="25"/>
      <c r="BC196" s="25"/>
      <c r="BD196" s="25"/>
      <c r="BE196" s="25"/>
      <c r="BF196" s="20"/>
      <c r="BG196" s="20"/>
      <c r="BH196" s="20"/>
      <c r="BI196" s="20"/>
      <c r="BJ196" s="21">
        <f t="shared" si="467"/>
        <v>0</v>
      </c>
      <c r="BK196" s="4">
        <f t="shared" si="468"/>
        <v>0</v>
      </c>
      <c r="BL196" s="4">
        <f t="shared" si="469"/>
        <v>1295000</v>
      </c>
      <c r="BM196" s="4">
        <f t="shared" si="470"/>
        <v>1225500</v>
      </c>
      <c r="BN196" s="4">
        <f t="shared" si="471"/>
        <v>1155000</v>
      </c>
      <c r="BO196" s="94">
        <f t="shared" si="472"/>
        <v>1050000</v>
      </c>
      <c r="BP196" s="94">
        <f t="shared" si="473"/>
        <v>2145000</v>
      </c>
      <c r="BQ196" s="94">
        <f t="shared" si="474"/>
        <v>2400000</v>
      </c>
      <c r="BR196" s="94">
        <f t="shared" si="475"/>
        <v>2200000</v>
      </c>
      <c r="BS196" s="9">
        <f t="shared" si="476"/>
        <v>11470500</v>
      </c>
    </row>
    <row r="197" spans="1:71" ht="47.25">
      <c r="A197" s="186"/>
      <c r="B197" s="8">
        <v>23</v>
      </c>
      <c r="C197" s="1" t="s">
        <v>344</v>
      </c>
      <c r="D197" s="4" t="s">
        <v>345</v>
      </c>
      <c r="E197" s="4" t="s">
        <v>24</v>
      </c>
      <c r="F197" s="4"/>
      <c r="G197" s="4"/>
      <c r="H197" s="4">
        <v>155000</v>
      </c>
      <c r="I197" s="4"/>
      <c r="J197" s="4"/>
      <c r="K197" s="4"/>
      <c r="L197" s="4"/>
      <c r="M197" s="4"/>
      <c r="N197" s="9">
        <f t="shared" si="461"/>
        <v>155000</v>
      </c>
      <c r="O197" s="4"/>
      <c r="P197" s="4"/>
      <c r="Q197" s="4"/>
      <c r="R197" s="4"/>
      <c r="S197" s="4"/>
      <c r="T197" s="4"/>
      <c r="U197" s="4"/>
      <c r="V197" s="4"/>
      <c r="W197" s="9">
        <f t="shared" si="462"/>
        <v>0</v>
      </c>
      <c r="X197" s="20"/>
      <c r="Y197" s="20"/>
      <c r="Z197" s="20"/>
      <c r="AA197" s="20"/>
      <c r="AB197" s="20"/>
      <c r="AC197" s="20"/>
      <c r="AD197" s="20"/>
      <c r="AE197" s="20"/>
      <c r="AF197" s="9">
        <f t="shared" si="463"/>
        <v>0</v>
      </c>
      <c r="AG197" s="20"/>
      <c r="AH197" s="20">
        <v>195000</v>
      </c>
      <c r="AI197" s="20"/>
      <c r="AJ197" s="20"/>
      <c r="AK197" s="20"/>
      <c r="AL197" s="20"/>
      <c r="AM197" s="20">
        <v>310400</v>
      </c>
      <c r="AN197" s="20"/>
      <c r="AO197" s="21">
        <f t="shared" si="464"/>
        <v>505400</v>
      </c>
      <c r="AP197" s="25">
        <v>0</v>
      </c>
      <c r="AQ197" s="20"/>
      <c r="AR197" s="20"/>
      <c r="AS197" s="20"/>
      <c r="AT197" s="20"/>
      <c r="AU197" s="21">
        <f t="shared" si="465"/>
        <v>0</v>
      </c>
      <c r="AV197" s="25"/>
      <c r="AW197" s="20"/>
      <c r="AX197" s="20"/>
      <c r="AY197" s="20"/>
      <c r="AZ197" s="20"/>
      <c r="BA197" s="21">
        <f t="shared" si="466"/>
        <v>0</v>
      </c>
      <c r="BB197" s="25"/>
      <c r="BC197" s="25"/>
      <c r="BD197" s="25"/>
      <c r="BE197" s="25"/>
      <c r="BF197" s="20"/>
      <c r="BG197" s="20"/>
      <c r="BH197" s="20"/>
      <c r="BI197" s="20"/>
      <c r="BJ197" s="21">
        <f t="shared" si="467"/>
        <v>0</v>
      </c>
      <c r="BK197" s="4">
        <f t="shared" si="468"/>
        <v>0</v>
      </c>
      <c r="BL197" s="4">
        <f t="shared" si="469"/>
        <v>195000</v>
      </c>
      <c r="BM197" s="4">
        <f t="shared" si="470"/>
        <v>155000</v>
      </c>
      <c r="BN197" s="4">
        <f t="shared" si="471"/>
        <v>0</v>
      </c>
      <c r="BO197" s="94">
        <f t="shared" si="472"/>
        <v>0</v>
      </c>
      <c r="BP197" s="94">
        <f t="shared" si="473"/>
        <v>0</v>
      </c>
      <c r="BQ197" s="94">
        <f t="shared" si="474"/>
        <v>310400</v>
      </c>
      <c r="BR197" s="94">
        <f t="shared" si="475"/>
        <v>0</v>
      </c>
      <c r="BS197" s="9">
        <f t="shared" si="476"/>
        <v>660400</v>
      </c>
    </row>
    <row r="198" spans="1:71">
      <c r="A198" s="186"/>
      <c r="B198" s="8">
        <v>24</v>
      </c>
      <c r="C198" s="1" t="s">
        <v>346</v>
      </c>
      <c r="D198" s="4" t="s">
        <v>347</v>
      </c>
      <c r="E198" s="4" t="s">
        <v>24</v>
      </c>
      <c r="F198" s="4">
        <v>155000</v>
      </c>
      <c r="G198" s="4">
        <v>927000</v>
      </c>
      <c r="H198" s="4">
        <f>209000+313500</f>
        <v>522500</v>
      </c>
      <c r="I198" s="4">
        <f>160000+20000</f>
        <v>180000</v>
      </c>
      <c r="J198" s="4"/>
      <c r="K198" s="4"/>
      <c r="L198" s="4"/>
      <c r="M198" s="4"/>
      <c r="N198" s="9">
        <f t="shared" si="461"/>
        <v>1784500</v>
      </c>
      <c r="O198" s="76"/>
      <c r="P198" s="76">
        <v>1340000</v>
      </c>
      <c r="Q198" s="76">
        <v>980000</v>
      </c>
      <c r="R198" s="76">
        <v>250000</v>
      </c>
      <c r="S198" s="4"/>
      <c r="T198" s="4"/>
      <c r="U198" s="4"/>
      <c r="V198" s="4"/>
      <c r="W198" s="9">
        <f t="shared" si="462"/>
        <v>2570000</v>
      </c>
      <c r="X198" s="20">
        <v>290000</v>
      </c>
      <c r="Y198" s="22">
        <v>1323000</v>
      </c>
      <c r="Z198" s="4">
        <v>741000</v>
      </c>
      <c r="AA198" s="32">
        <v>300000</v>
      </c>
      <c r="AB198" s="32"/>
      <c r="AC198" s="32"/>
      <c r="AD198" s="32"/>
      <c r="AE198" s="32"/>
      <c r="AF198" s="9">
        <f t="shared" si="463"/>
        <v>2654000</v>
      </c>
      <c r="AG198" s="20"/>
      <c r="AH198" s="20">
        <v>195000</v>
      </c>
      <c r="AI198" s="24">
        <v>297250</v>
      </c>
      <c r="AJ198" s="25">
        <v>142000</v>
      </c>
      <c r="AK198" s="20"/>
      <c r="AL198" s="20"/>
      <c r="AM198" s="20"/>
      <c r="AN198" s="20"/>
      <c r="AO198" s="21">
        <f t="shared" si="464"/>
        <v>634250</v>
      </c>
      <c r="AP198" s="25">
        <v>0</v>
      </c>
      <c r="AQ198" s="20"/>
      <c r="AR198" s="20"/>
      <c r="AS198" s="20"/>
      <c r="AT198" s="20"/>
      <c r="AU198" s="21">
        <f t="shared" si="465"/>
        <v>0</v>
      </c>
      <c r="AV198" s="24">
        <v>890000</v>
      </c>
      <c r="AW198" s="20">
        <f>300000+300000+280000+285000+190000</f>
        <v>1355000</v>
      </c>
      <c r="AX198" s="20">
        <f>1633500+612000</f>
        <v>2245500</v>
      </c>
      <c r="AY198" s="20">
        <f>204000+612000+408000+204000+204000+416500+212500</f>
        <v>2261000</v>
      </c>
      <c r="AZ198" s="20">
        <f>535500+212500+212500+212500+212500+425000+425000+212500</f>
        <v>2448000</v>
      </c>
      <c r="BA198" s="21">
        <f t="shared" si="466"/>
        <v>9199500</v>
      </c>
      <c r="BB198" s="25"/>
      <c r="BC198" s="25">
        <v>100000</v>
      </c>
      <c r="BD198" s="25">
        <v>220800</v>
      </c>
      <c r="BE198" s="25"/>
      <c r="BF198" s="20"/>
      <c r="BG198" s="20"/>
      <c r="BH198" s="20"/>
      <c r="BI198" s="20"/>
      <c r="BJ198" s="21">
        <f t="shared" si="467"/>
        <v>320800</v>
      </c>
      <c r="BK198" s="4">
        <f t="shared" si="468"/>
        <v>445000</v>
      </c>
      <c r="BL198" s="4">
        <f t="shared" si="469"/>
        <v>3885000</v>
      </c>
      <c r="BM198" s="4">
        <f t="shared" si="470"/>
        <v>2761550</v>
      </c>
      <c r="BN198" s="4">
        <f t="shared" si="471"/>
        <v>1762000</v>
      </c>
      <c r="BO198" s="94">
        <f t="shared" si="472"/>
        <v>1355000</v>
      </c>
      <c r="BP198" s="94">
        <f t="shared" si="473"/>
        <v>2245500</v>
      </c>
      <c r="BQ198" s="94">
        <f t="shared" si="474"/>
        <v>2261000</v>
      </c>
      <c r="BR198" s="94">
        <f t="shared" si="475"/>
        <v>2448000</v>
      </c>
      <c r="BS198" s="9">
        <f t="shared" si="476"/>
        <v>17163050</v>
      </c>
    </row>
    <row r="199" spans="1:71">
      <c r="A199" s="186"/>
      <c r="B199" s="8">
        <v>25</v>
      </c>
      <c r="C199" s="1" t="s">
        <v>348</v>
      </c>
      <c r="D199" s="5" t="s">
        <v>422</v>
      </c>
      <c r="E199" s="4" t="s">
        <v>24</v>
      </c>
      <c r="F199" s="4"/>
      <c r="G199" s="4"/>
      <c r="H199" s="4"/>
      <c r="I199" s="4"/>
      <c r="J199" s="4"/>
      <c r="K199" s="4"/>
      <c r="L199" s="4"/>
      <c r="M199" s="4"/>
      <c r="N199" s="9">
        <f t="shared" si="461"/>
        <v>0</v>
      </c>
      <c r="O199" s="4"/>
      <c r="P199" s="4"/>
      <c r="Q199" s="4"/>
      <c r="R199" s="4"/>
      <c r="S199" s="4"/>
      <c r="T199" s="4"/>
      <c r="U199" s="4"/>
      <c r="V199" s="4"/>
      <c r="W199" s="9">
        <f t="shared" si="462"/>
        <v>0</v>
      </c>
      <c r="X199" s="20"/>
      <c r="Y199" s="20"/>
      <c r="Z199" s="20"/>
      <c r="AA199" s="20"/>
      <c r="AB199" s="20"/>
      <c r="AC199" s="20"/>
      <c r="AD199" s="20"/>
      <c r="AE199" s="20"/>
      <c r="AF199" s="9">
        <f t="shared" si="463"/>
        <v>0</v>
      </c>
      <c r="AG199" s="20"/>
      <c r="AH199" s="20">
        <v>195000</v>
      </c>
      <c r="AI199" s="24"/>
      <c r="AJ199" s="25"/>
      <c r="AK199" s="20"/>
      <c r="AL199" s="20">
        <f>638500+76800</f>
        <v>715300</v>
      </c>
      <c r="AM199" s="20"/>
      <c r="AN199" s="20"/>
      <c r="AO199" s="21">
        <f t="shared" si="464"/>
        <v>910300</v>
      </c>
      <c r="AP199" s="25">
        <v>0</v>
      </c>
      <c r="AQ199" s="20"/>
      <c r="AR199" s="20"/>
      <c r="AS199" s="20"/>
      <c r="AT199" s="20"/>
      <c r="AU199" s="21">
        <f t="shared" si="465"/>
        <v>0</v>
      </c>
      <c r="AV199" s="25"/>
      <c r="AW199" s="20"/>
      <c r="AX199" s="20"/>
      <c r="AY199" s="20"/>
      <c r="AZ199" s="20"/>
      <c r="BA199" s="21">
        <f t="shared" si="466"/>
        <v>0</v>
      </c>
      <c r="BB199" s="25"/>
      <c r="BC199" s="25"/>
      <c r="BD199" s="25"/>
      <c r="BE199" s="25"/>
      <c r="BF199" s="20"/>
      <c r="BG199" s="20"/>
      <c r="BH199" s="20"/>
      <c r="BI199" s="20"/>
      <c r="BJ199" s="21">
        <f t="shared" si="467"/>
        <v>0</v>
      </c>
      <c r="BK199" s="4">
        <f t="shared" si="468"/>
        <v>0</v>
      </c>
      <c r="BL199" s="4">
        <f t="shared" si="469"/>
        <v>195000</v>
      </c>
      <c r="BM199" s="4">
        <f t="shared" si="470"/>
        <v>0</v>
      </c>
      <c r="BN199" s="4">
        <f t="shared" si="471"/>
        <v>0</v>
      </c>
      <c r="BO199" s="94">
        <f t="shared" si="472"/>
        <v>0</v>
      </c>
      <c r="BP199" s="94">
        <f t="shared" si="473"/>
        <v>715300</v>
      </c>
      <c r="BQ199" s="94">
        <f t="shared" si="474"/>
        <v>0</v>
      </c>
      <c r="BR199" s="94">
        <f t="shared" si="475"/>
        <v>0</v>
      </c>
      <c r="BS199" s="9">
        <f t="shared" si="476"/>
        <v>910300</v>
      </c>
    </row>
    <row r="200" spans="1:71">
      <c r="A200" s="186"/>
      <c r="B200" s="8">
        <v>26</v>
      </c>
      <c r="C200" s="63" t="s">
        <v>349</v>
      </c>
      <c r="D200" s="5" t="s">
        <v>423</v>
      </c>
      <c r="E200" s="4" t="s">
        <v>24</v>
      </c>
      <c r="F200" s="4"/>
      <c r="G200" s="4"/>
      <c r="H200" s="4"/>
      <c r="I200" s="4"/>
      <c r="J200" s="4"/>
      <c r="K200" s="4"/>
      <c r="L200" s="4"/>
      <c r="M200" s="4"/>
      <c r="N200" s="9">
        <f t="shared" si="461"/>
        <v>0</v>
      </c>
      <c r="O200" s="4"/>
      <c r="P200" s="4"/>
      <c r="Q200" s="4"/>
      <c r="R200" s="4"/>
      <c r="S200" s="4"/>
      <c r="T200" s="4"/>
      <c r="U200" s="4"/>
      <c r="V200" s="4"/>
      <c r="W200" s="9">
        <f t="shared" si="462"/>
        <v>0</v>
      </c>
      <c r="X200" s="20"/>
      <c r="Y200" s="20"/>
      <c r="Z200" s="20"/>
      <c r="AA200" s="20"/>
      <c r="AB200" s="20"/>
      <c r="AC200" s="20"/>
      <c r="AD200" s="20"/>
      <c r="AE200" s="20"/>
      <c r="AF200" s="9">
        <f t="shared" si="463"/>
        <v>0</v>
      </c>
      <c r="AG200" s="20"/>
      <c r="AH200" s="20">
        <v>258750</v>
      </c>
      <c r="AI200" s="24">
        <v>359000</v>
      </c>
      <c r="AJ200" s="25">
        <v>876000</v>
      </c>
      <c r="AK200" s="20">
        <v>742000</v>
      </c>
      <c r="AL200" s="20"/>
      <c r="AM200" s="20">
        <v>1732550</v>
      </c>
      <c r="AN200" s="20">
        <v>1531000</v>
      </c>
      <c r="AO200" s="21">
        <f t="shared" si="464"/>
        <v>5499300</v>
      </c>
      <c r="AP200" s="25">
        <v>0</v>
      </c>
      <c r="AQ200" s="20"/>
      <c r="AR200" s="20"/>
      <c r="AS200" s="20"/>
      <c r="AT200" s="20"/>
      <c r="AU200" s="21">
        <f t="shared" si="465"/>
        <v>0</v>
      </c>
      <c r="AV200" s="25"/>
      <c r="AW200" s="20"/>
      <c r="AX200" s="20"/>
      <c r="AY200" s="20"/>
      <c r="AZ200" s="20"/>
      <c r="BA200" s="21">
        <f t="shared" si="466"/>
        <v>0</v>
      </c>
      <c r="BB200" s="25"/>
      <c r="BC200" s="25"/>
      <c r="BD200" s="25"/>
      <c r="BE200" s="25"/>
      <c r="BF200" s="20"/>
      <c r="BG200" s="20"/>
      <c r="BH200" s="20"/>
      <c r="BI200" s="20"/>
      <c r="BJ200" s="21">
        <f t="shared" si="467"/>
        <v>0</v>
      </c>
      <c r="BK200" s="4">
        <f t="shared" si="468"/>
        <v>0</v>
      </c>
      <c r="BL200" s="4">
        <f t="shared" si="469"/>
        <v>258750</v>
      </c>
      <c r="BM200" s="4">
        <f t="shared" si="470"/>
        <v>359000</v>
      </c>
      <c r="BN200" s="4">
        <f t="shared" si="471"/>
        <v>876000</v>
      </c>
      <c r="BO200" s="94">
        <f t="shared" si="472"/>
        <v>742000</v>
      </c>
      <c r="BP200" s="94">
        <f t="shared" si="473"/>
        <v>0</v>
      </c>
      <c r="BQ200" s="94">
        <f t="shared" si="474"/>
        <v>1732550</v>
      </c>
      <c r="BR200" s="94">
        <f t="shared" si="475"/>
        <v>1531000</v>
      </c>
      <c r="BS200" s="9">
        <f t="shared" si="476"/>
        <v>5499300</v>
      </c>
    </row>
    <row r="201" spans="1:71">
      <c r="A201" s="186"/>
      <c r="B201" s="8">
        <v>27</v>
      </c>
      <c r="C201" s="2" t="s">
        <v>350</v>
      </c>
      <c r="D201" s="4" t="s">
        <v>347</v>
      </c>
      <c r="E201" s="4" t="s">
        <v>24</v>
      </c>
      <c r="F201" s="4"/>
      <c r="G201" s="4"/>
      <c r="H201" s="4"/>
      <c r="I201" s="4"/>
      <c r="J201" s="4"/>
      <c r="K201" s="4"/>
      <c r="L201" s="4"/>
      <c r="M201" s="4"/>
      <c r="N201" s="9">
        <f t="shared" si="461"/>
        <v>0</v>
      </c>
      <c r="O201" s="4"/>
      <c r="P201" s="4"/>
      <c r="Q201" s="4"/>
      <c r="R201" s="4"/>
      <c r="S201" s="4"/>
      <c r="T201" s="4"/>
      <c r="U201" s="4"/>
      <c r="V201" s="4"/>
      <c r="W201" s="9">
        <f t="shared" si="462"/>
        <v>0</v>
      </c>
      <c r="X201" s="20"/>
      <c r="Y201" s="20"/>
      <c r="Z201" s="20"/>
      <c r="AA201" s="20"/>
      <c r="AB201" s="20"/>
      <c r="AC201" s="20"/>
      <c r="AD201" s="20"/>
      <c r="AE201" s="20"/>
      <c r="AF201" s="9">
        <f t="shared" si="463"/>
        <v>0</v>
      </c>
      <c r="AG201" s="20"/>
      <c r="AH201" s="20"/>
      <c r="AI201" s="24"/>
      <c r="AJ201" s="25"/>
      <c r="AK201" s="20"/>
      <c r="AL201" s="20"/>
      <c r="AM201" s="20"/>
      <c r="AN201" s="20"/>
      <c r="AO201" s="21">
        <f t="shared" si="464"/>
        <v>0</v>
      </c>
      <c r="AP201" s="25">
        <v>0</v>
      </c>
      <c r="AQ201" s="20"/>
      <c r="AR201" s="20"/>
      <c r="AS201" s="20"/>
      <c r="AT201" s="20"/>
      <c r="AU201" s="21">
        <f t="shared" si="465"/>
        <v>0</v>
      </c>
      <c r="AV201" s="25"/>
      <c r="AW201" s="20"/>
      <c r="AX201" s="20"/>
      <c r="AY201" s="20"/>
      <c r="AZ201" s="20"/>
      <c r="BA201" s="21">
        <f t="shared" si="466"/>
        <v>0</v>
      </c>
      <c r="BB201" s="25"/>
      <c r="BC201" s="25">
        <v>100000</v>
      </c>
      <c r="BD201" s="25">
        <v>540000</v>
      </c>
      <c r="BE201" s="25"/>
      <c r="BF201" s="20"/>
      <c r="BG201" s="20"/>
      <c r="BH201" s="20"/>
      <c r="BI201" s="20"/>
      <c r="BJ201" s="21">
        <f t="shared" si="467"/>
        <v>640000</v>
      </c>
      <c r="BK201" s="4">
        <f t="shared" si="468"/>
        <v>0</v>
      </c>
      <c r="BL201" s="4">
        <f t="shared" si="469"/>
        <v>100000</v>
      </c>
      <c r="BM201" s="4">
        <f t="shared" si="470"/>
        <v>540000</v>
      </c>
      <c r="BN201" s="4">
        <f t="shared" si="471"/>
        <v>0</v>
      </c>
      <c r="BO201" s="94">
        <f t="shared" si="472"/>
        <v>0</v>
      </c>
      <c r="BP201" s="94">
        <f t="shared" si="473"/>
        <v>0</v>
      </c>
      <c r="BQ201" s="94">
        <f t="shared" si="474"/>
        <v>0</v>
      </c>
      <c r="BR201" s="94">
        <f t="shared" si="475"/>
        <v>0</v>
      </c>
      <c r="BS201" s="9">
        <f t="shared" si="476"/>
        <v>640000</v>
      </c>
    </row>
    <row r="202" spans="1:71" ht="31.5">
      <c r="A202" s="186"/>
      <c r="B202" s="8">
        <v>28</v>
      </c>
      <c r="C202" s="1" t="s">
        <v>351</v>
      </c>
      <c r="D202" s="5" t="s">
        <v>424</v>
      </c>
      <c r="E202" s="4" t="s">
        <v>24</v>
      </c>
      <c r="F202" s="4"/>
      <c r="G202" s="4"/>
      <c r="H202" s="4"/>
      <c r="I202" s="4"/>
      <c r="J202" s="4"/>
      <c r="K202" s="4"/>
      <c r="L202" s="4"/>
      <c r="M202" s="4"/>
      <c r="N202" s="9">
        <f t="shared" si="461"/>
        <v>0</v>
      </c>
      <c r="O202" s="4"/>
      <c r="P202" s="4"/>
      <c r="Q202" s="4"/>
      <c r="R202" s="4"/>
      <c r="S202" s="4"/>
      <c r="T202" s="4"/>
      <c r="U202" s="4"/>
      <c r="V202" s="4"/>
      <c r="W202" s="9">
        <f t="shared" si="462"/>
        <v>0</v>
      </c>
      <c r="X202" s="20"/>
      <c r="Y202" s="20"/>
      <c r="Z202" s="20"/>
      <c r="AA202" s="20"/>
      <c r="AB202" s="20"/>
      <c r="AC202" s="20"/>
      <c r="AD202" s="20"/>
      <c r="AE202" s="20"/>
      <c r="AF202" s="9">
        <f t="shared" si="463"/>
        <v>0</v>
      </c>
      <c r="AG202" s="20"/>
      <c r="AH202" s="20"/>
      <c r="AI202" s="24">
        <v>195000</v>
      </c>
      <c r="AJ202" s="25">
        <v>959500</v>
      </c>
      <c r="AK202" s="20">
        <f>140000+210000+171500+210000+140000</f>
        <v>871500</v>
      </c>
      <c r="AL202" s="20">
        <f>1087600+267000+133500</f>
        <v>1488100</v>
      </c>
      <c r="AM202" s="20">
        <v>1682150</v>
      </c>
      <c r="AN202" s="20">
        <v>1600500</v>
      </c>
      <c r="AO202" s="21">
        <f t="shared" si="464"/>
        <v>6796750</v>
      </c>
      <c r="AP202" s="25">
        <v>0</v>
      </c>
      <c r="AQ202" s="20"/>
      <c r="AR202" s="20"/>
      <c r="AS202" s="20"/>
      <c r="AT202" s="20"/>
      <c r="AU202" s="21">
        <f t="shared" si="465"/>
        <v>0</v>
      </c>
      <c r="AV202" s="25"/>
      <c r="AW202" s="20"/>
      <c r="AX202" s="20"/>
      <c r="AY202" s="20"/>
      <c r="AZ202" s="20"/>
      <c r="BA202" s="21">
        <f t="shared" si="466"/>
        <v>0</v>
      </c>
      <c r="BB202" s="25"/>
      <c r="BC202" s="25"/>
      <c r="BD202" s="25"/>
      <c r="BE202" s="25"/>
      <c r="BF202" s="20"/>
      <c r="BG202" s="20"/>
      <c r="BH202" s="20"/>
      <c r="BI202" s="20"/>
      <c r="BJ202" s="21">
        <f t="shared" si="467"/>
        <v>0</v>
      </c>
      <c r="BK202" s="4">
        <f t="shared" si="468"/>
        <v>0</v>
      </c>
      <c r="BL202" s="4">
        <f t="shared" si="469"/>
        <v>0</v>
      </c>
      <c r="BM202" s="4">
        <f t="shared" si="470"/>
        <v>195000</v>
      </c>
      <c r="BN202" s="4">
        <f t="shared" si="471"/>
        <v>959500</v>
      </c>
      <c r="BO202" s="94">
        <f t="shared" si="472"/>
        <v>871500</v>
      </c>
      <c r="BP202" s="94">
        <f t="shared" si="473"/>
        <v>1488100</v>
      </c>
      <c r="BQ202" s="94">
        <f t="shared" si="474"/>
        <v>1682150</v>
      </c>
      <c r="BR202" s="94">
        <f t="shared" si="475"/>
        <v>1600500</v>
      </c>
      <c r="BS202" s="9">
        <f t="shared" si="476"/>
        <v>6796750</v>
      </c>
    </row>
    <row r="203" spans="1:71" ht="31.5">
      <c r="A203" s="186"/>
      <c r="B203" s="8">
        <v>29</v>
      </c>
      <c r="C203" s="1" t="s">
        <v>352</v>
      </c>
      <c r="D203" s="4" t="s">
        <v>309</v>
      </c>
      <c r="E203" s="4" t="s">
        <v>24</v>
      </c>
      <c r="F203" s="4"/>
      <c r="G203" s="4"/>
      <c r="H203" s="4">
        <v>155000</v>
      </c>
      <c r="I203" s="4"/>
      <c r="J203" s="4"/>
      <c r="K203" s="4"/>
      <c r="L203" s="4"/>
      <c r="M203" s="4"/>
      <c r="N203" s="9">
        <f t="shared" si="461"/>
        <v>155000</v>
      </c>
      <c r="O203" s="4"/>
      <c r="P203" s="4"/>
      <c r="Q203" s="4"/>
      <c r="R203" s="4"/>
      <c r="S203" s="4"/>
      <c r="T203" s="4"/>
      <c r="U203" s="4"/>
      <c r="V203" s="4"/>
      <c r="W203" s="9">
        <f t="shared" si="462"/>
        <v>0</v>
      </c>
      <c r="X203" s="20"/>
      <c r="Y203" s="20"/>
      <c r="Z203" s="20"/>
      <c r="AA203" s="20"/>
      <c r="AB203" s="20"/>
      <c r="AC203" s="20"/>
      <c r="AD203" s="20"/>
      <c r="AE203" s="20"/>
      <c r="AF203" s="9">
        <f t="shared" si="463"/>
        <v>0</v>
      </c>
      <c r="AG203" s="20"/>
      <c r="AH203" s="20"/>
      <c r="AI203" s="20">
        <v>195000</v>
      </c>
      <c r="AJ203" s="20"/>
      <c r="AK203" s="20"/>
      <c r="AL203" s="20"/>
      <c r="AM203" s="20"/>
      <c r="AN203" s="20"/>
      <c r="AO203" s="21">
        <f t="shared" si="464"/>
        <v>195000</v>
      </c>
      <c r="AP203" s="25">
        <v>0</v>
      </c>
      <c r="AQ203" s="20"/>
      <c r="AR203" s="20"/>
      <c r="AS203" s="20"/>
      <c r="AT203" s="20"/>
      <c r="AU203" s="21">
        <f t="shared" si="465"/>
        <v>0</v>
      </c>
      <c r="AV203" s="25"/>
      <c r="AW203" s="20"/>
      <c r="AX203" s="20"/>
      <c r="AY203" s="20"/>
      <c r="AZ203" s="20"/>
      <c r="BA203" s="21">
        <f t="shared" si="466"/>
        <v>0</v>
      </c>
      <c r="BB203" s="25"/>
      <c r="BC203" s="25"/>
      <c r="BD203" s="25">
        <v>100000</v>
      </c>
      <c r="BE203" s="25"/>
      <c r="BF203" s="20"/>
      <c r="BG203" s="20"/>
      <c r="BH203" s="20">
        <v>266800</v>
      </c>
      <c r="BI203" s="20"/>
      <c r="BJ203" s="21">
        <f t="shared" si="467"/>
        <v>366800</v>
      </c>
      <c r="BK203" s="4">
        <f t="shared" si="468"/>
        <v>0</v>
      </c>
      <c r="BL203" s="4">
        <f t="shared" si="469"/>
        <v>0</v>
      </c>
      <c r="BM203" s="4">
        <f t="shared" si="470"/>
        <v>450000</v>
      </c>
      <c r="BN203" s="4">
        <f t="shared" si="471"/>
        <v>0</v>
      </c>
      <c r="BO203" s="94">
        <f t="shared" si="472"/>
        <v>0</v>
      </c>
      <c r="BP203" s="94">
        <f t="shared" si="473"/>
        <v>0</v>
      </c>
      <c r="BQ203" s="94">
        <f t="shared" si="474"/>
        <v>266800</v>
      </c>
      <c r="BR203" s="94">
        <f t="shared" si="475"/>
        <v>0</v>
      </c>
      <c r="BS203" s="9">
        <f t="shared" si="476"/>
        <v>716800</v>
      </c>
    </row>
    <row r="204" spans="1:71" ht="31.5">
      <c r="A204" s="186"/>
      <c r="B204" s="8">
        <v>30</v>
      </c>
      <c r="C204" s="1" t="s">
        <v>353</v>
      </c>
      <c r="D204" s="46" t="s">
        <v>354</v>
      </c>
      <c r="E204" s="4" t="s">
        <v>24</v>
      </c>
      <c r="F204" s="4"/>
      <c r="G204" s="4"/>
      <c r="H204" s="4"/>
      <c r="I204" s="4"/>
      <c r="J204" s="4"/>
      <c r="K204" s="4"/>
      <c r="L204" s="4"/>
      <c r="M204" s="4"/>
      <c r="N204" s="9">
        <f t="shared" si="461"/>
        <v>0</v>
      </c>
      <c r="O204" s="4"/>
      <c r="P204" s="4"/>
      <c r="Q204" s="4"/>
      <c r="R204" s="4"/>
      <c r="S204" s="4"/>
      <c r="T204" s="4"/>
      <c r="U204" s="4"/>
      <c r="V204" s="4"/>
      <c r="W204" s="9">
        <f t="shared" si="462"/>
        <v>0</v>
      </c>
      <c r="X204" s="20">
        <v>290000</v>
      </c>
      <c r="Y204" s="22">
        <v>1092000</v>
      </c>
      <c r="Z204" s="4">
        <v>196000</v>
      </c>
      <c r="AA204" s="32"/>
      <c r="AB204" s="32"/>
      <c r="AC204" s="32"/>
      <c r="AD204" s="32"/>
      <c r="AE204" s="32"/>
      <c r="AF204" s="9">
        <f t="shared" si="463"/>
        <v>1578000</v>
      </c>
      <c r="AG204" s="20">
        <v>195000</v>
      </c>
      <c r="AH204" s="25">
        <v>1321050</v>
      </c>
      <c r="AI204" s="24">
        <v>562600</v>
      </c>
      <c r="AJ204" s="25">
        <v>490000</v>
      </c>
      <c r="AK204" s="20">
        <f>140000+210000+210000+210000+140000</f>
        <v>910000</v>
      </c>
      <c r="AL204" s="20">
        <f>930100+334650+111550</f>
        <v>1376300</v>
      </c>
      <c r="AM204" s="20">
        <v>1700571</v>
      </c>
      <c r="AN204" s="20">
        <v>1600500</v>
      </c>
      <c r="AO204" s="21">
        <f t="shared" si="464"/>
        <v>8156021</v>
      </c>
      <c r="AP204" s="25">
        <v>0</v>
      </c>
      <c r="AQ204" s="20"/>
      <c r="AR204" s="20"/>
      <c r="AS204" s="20"/>
      <c r="AT204" s="20"/>
      <c r="AU204" s="21">
        <f t="shared" si="465"/>
        <v>0</v>
      </c>
      <c r="AV204" s="25"/>
      <c r="AW204" s="20"/>
      <c r="AX204" s="20"/>
      <c r="AY204" s="20"/>
      <c r="AZ204" s="20"/>
      <c r="BA204" s="21">
        <f t="shared" si="466"/>
        <v>0</v>
      </c>
      <c r="BB204" s="25"/>
      <c r="BC204" s="25"/>
      <c r="BD204" s="25"/>
      <c r="BE204" s="25"/>
      <c r="BF204" s="20"/>
      <c r="BG204" s="20"/>
      <c r="BH204" s="20"/>
      <c r="BI204" s="20"/>
      <c r="BJ204" s="21">
        <f t="shared" si="467"/>
        <v>0</v>
      </c>
      <c r="BK204" s="4">
        <f t="shared" si="468"/>
        <v>485000</v>
      </c>
      <c r="BL204" s="4">
        <f t="shared" si="469"/>
        <v>2413050</v>
      </c>
      <c r="BM204" s="4">
        <f t="shared" si="470"/>
        <v>758600</v>
      </c>
      <c r="BN204" s="4">
        <f t="shared" si="471"/>
        <v>490000</v>
      </c>
      <c r="BO204" s="94">
        <f t="shared" si="472"/>
        <v>910000</v>
      </c>
      <c r="BP204" s="94">
        <f t="shared" si="473"/>
        <v>1376300</v>
      </c>
      <c r="BQ204" s="94">
        <f t="shared" si="474"/>
        <v>1700571</v>
      </c>
      <c r="BR204" s="94">
        <f t="shared" si="475"/>
        <v>1600500</v>
      </c>
      <c r="BS204" s="9">
        <f t="shared" si="476"/>
        <v>9734021</v>
      </c>
    </row>
    <row r="205" spans="1:71" ht="31.5">
      <c r="A205" s="186"/>
      <c r="B205" s="8">
        <v>31</v>
      </c>
      <c r="C205" s="1" t="s">
        <v>355</v>
      </c>
      <c r="D205" s="4" t="s">
        <v>335</v>
      </c>
      <c r="E205" s="4" t="s">
        <v>24</v>
      </c>
      <c r="F205" s="4">
        <v>155000</v>
      </c>
      <c r="G205" s="4">
        <v>247000</v>
      </c>
      <c r="H205" s="4"/>
      <c r="I205" s="4"/>
      <c r="J205" s="4"/>
      <c r="K205" s="4"/>
      <c r="L205" s="4"/>
      <c r="M205" s="4"/>
      <c r="N205" s="9">
        <f t="shared" si="461"/>
        <v>402000</v>
      </c>
      <c r="O205" s="76">
        <v>290000</v>
      </c>
      <c r="P205" s="76">
        <v>990000</v>
      </c>
      <c r="Q205" s="76"/>
      <c r="R205" s="76"/>
      <c r="S205" s="4"/>
      <c r="T205" s="4"/>
      <c r="U205" s="4"/>
      <c r="V205" s="4"/>
      <c r="W205" s="9">
        <f t="shared" si="462"/>
        <v>1280000</v>
      </c>
      <c r="X205" s="20">
        <v>290000</v>
      </c>
      <c r="Y205" s="22">
        <v>177414</v>
      </c>
      <c r="Z205" s="4"/>
      <c r="AA205" s="20"/>
      <c r="AB205" s="20"/>
      <c r="AC205" s="20"/>
      <c r="AD205" s="20"/>
      <c r="AE205" s="20"/>
      <c r="AF205" s="9">
        <f t="shared" si="463"/>
        <v>467414</v>
      </c>
      <c r="AG205" s="20">
        <v>195000</v>
      </c>
      <c r="AH205" s="25">
        <v>1144000</v>
      </c>
      <c r="AI205" s="20"/>
      <c r="AJ205" s="20"/>
      <c r="AK205" s="20"/>
      <c r="AL205" s="20"/>
      <c r="AM205" s="20"/>
      <c r="AN205" s="20"/>
      <c r="AO205" s="21">
        <f t="shared" si="464"/>
        <v>1339000</v>
      </c>
      <c r="AP205" s="25">
        <v>0</v>
      </c>
      <c r="AQ205" s="20"/>
      <c r="AR205" s="20"/>
      <c r="AS205" s="20"/>
      <c r="AT205" s="20"/>
      <c r="AU205" s="21">
        <f t="shared" si="465"/>
        <v>0</v>
      </c>
      <c r="AV205" s="25"/>
      <c r="AW205" s="20"/>
      <c r="AX205" s="20"/>
      <c r="AY205" s="20"/>
      <c r="AZ205" s="20"/>
      <c r="BA205" s="21">
        <f t="shared" si="466"/>
        <v>0</v>
      </c>
      <c r="BB205" s="25"/>
      <c r="BC205" s="25">
        <v>100000</v>
      </c>
      <c r="BD205" s="25"/>
      <c r="BE205" s="25"/>
      <c r="BF205" s="20"/>
      <c r="BG205" s="20"/>
      <c r="BH205" s="20"/>
      <c r="BI205" s="20"/>
      <c r="BJ205" s="21">
        <f t="shared" si="467"/>
        <v>100000</v>
      </c>
      <c r="BK205" s="4">
        <f t="shared" si="468"/>
        <v>930000</v>
      </c>
      <c r="BL205" s="4">
        <f t="shared" si="469"/>
        <v>2658414</v>
      </c>
      <c r="BM205" s="4">
        <f t="shared" si="470"/>
        <v>0</v>
      </c>
      <c r="BN205" s="4">
        <f t="shared" si="471"/>
        <v>0</v>
      </c>
      <c r="BO205" s="94">
        <f t="shared" si="472"/>
        <v>0</v>
      </c>
      <c r="BP205" s="94">
        <f t="shared" si="473"/>
        <v>0</v>
      </c>
      <c r="BQ205" s="94">
        <f t="shared" si="474"/>
        <v>0</v>
      </c>
      <c r="BR205" s="94">
        <f t="shared" si="475"/>
        <v>0</v>
      </c>
      <c r="BS205" s="9">
        <f t="shared" si="476"/>
        <v>3588414</v>
      </c>
    </row>
    <row r="206" spans="1:71">
      <c r="A206" s="186"/>
      <c r="B206" s="8">
        <v>32</v>
      </c>
      <c r="C206" s="1" t="s">
        <v>356</v>
      </c>
      <c r="D206" s="4" t="s">
        <v>313</v>
      </c>
      <c r="E206" s="4" t="s">
        <v>24</v>
      </c>
      <c r="F206" s="4"/>
      <c r="G206" s="4"/>
      <c r="H206" s="4">
        <v>155000</v>
      </c>
      <c r="I206" s="4"/>
      <c r="J206" s="4"/>
      <c r="K206" s="4"/>
      <c r="L206" s="4"/>
      <c r="M206" s="4">
        <v>-20489</v>
      </c>
      <c r="N206" s="9">
        <f t="shared" si="461"/>
        <v>134511</v>
      </c>
      <c r="O206" s="4"/>
      <c r="P206" s="4"/>
      <c r="Q206" s="4"/>
      <c r="R206" s="4"/>
      <c r="S206" s="4"/>
      <c r="T206" s="4"/>
      <c r="U206" s="4"/>
      <c r="V206" s="4"/>
      <c r="W206" s="9">
        <f t="shared" si="462"/>
        <v>0</v>
      </c>
      <c r="X206" s="20"/>
      <c r="Y206" s="20"/>
      <c r="Z206" s="4"/>
      <c r="AA206" s="20"/>
      <c r="AB206" s="20"/>
      <c r="AC206" s="20"/>
      <c r="AD206" s="20"/>
      <c r="AE206" s="20"/>
      <c r="AF206" s="9">
        <f t="shared" si="463"/>
        <v>0</v>
      </c>
      <c r="AG206" s="20"/>
      <c r="AH206" s="20">
        <v>195000</v>
      </c>
      <c r="AI206" s="20"/>
      <c r="AJ206" s="20"/>
      <c r="AK206" s="20"/>
      <c r="AL206" s="20"/>
      <c r="AM206" s="20"/>
      <c r="AN206" s="20"/>
      <c r="AO206" s="21">
        <f t="shared" si="464"/>
        <v>195000</v>
      </c>
      <c r="AP206" s="25">
        <v>0</v>
      </c>
      <c r="AQ206" s="20"/>
      <c r="AR206" s="20"/>
      <c r="AS206" s="20"/>
      <c r="AT206" s="20"/>
      <c r="AU206" s="21">
        <f t="shared" si="465"/>
        <v>0</v>
      </c>
      <c r="AV206" s="25"/>
      <c r="AW206" s="20"/>
      <c r="AX206" s="20"/>
      <c r="AY206" s="20"/>
      <c r="AZ206" s="20"/>
      <c r="BA206" s="21">
        <f t="shared" si="466"/>
        <v>0</v>
      </c>
      <c r="BB206" s="25"/>
      <c r="BC206" s="25"/>
      <c r="BD206" s="25"/>
      <c r="BE206" s="25"/>
      <c r="BF206" s="20"/>
      <c r="BG206" s="20"/>
      <c r="BH206" s="20"/>
      <c r="BI206" s="20"/>
      <c r="BJ206" s="21">
        <f t="shared" si="467"/>
        <v>0</v>
      </c>
      <c r="BK206" s="4">
        <f t="shared" si="468"/>
        <v>0</v>
      </c>
      <c r="BL206" s="4">
        <f t="shared" si="469"/>
        <v>195000</v>
      </c>
      <c r="BM206" s="4">
        <f t="shared" si="470"/>
        <v>155000</v>
      </c>
      <c r="BN206" s="4">
        <f t="shared" si="471"/>
        <v>0</v>
      </c>
      <c r="BO206" s="94">
        <f t="shared" si="472"/>
        <v>0</v>
      </c>
      <c r="BP206" s="94">
        <f t="shared" si="473"/>
        <v>0</v>
      </c>
      <c r="BQ206" s="94">
        <f t="shared" si="474"/>
        <v>0</v>
      </c>
      <c r="BR206" s="94">
        <f t="shared" si="475"/>
        <v>-20489</v>
      </c>
      <c r="BS206" s="9">
        <f t="shared" si="476"/>
        <v>329511</v>
      </c>
    </row>
    <row r="207" spans="1:71">
      <c r="A207" s="186"/>
      <c r="B207" s="8">
        <v>33</v>
      </c>
      <c r="C207" s="1" t="s">
        <v>119</v>
      </c>
      <c r="D207" s="4" t="s">
        <v>309</v>
      </c>
      <c r="E207" s="4" t="s">
        <v>24</v>
      </c>
      <c r="F207" s="4"/>
      <c r="G207" s="4">
        <v>155000</v>
      </c>
      <c r="H207" s="4"/>
      <c r="I207" s="4"/>
      <c r="J207" s="4"/>
      <c r="K207" s="4"/>
      <c r="L207" s="4"/>
      <c r="M207" s="4"/>
      <c r="N207" s="9">
        <f t="shared" si="461"/>
        <v>155000</v>
      </c>
      <c r="O207" s="4"/>
      <c r="P207" s="4"/>
      <c r="Q207" s="4"/>
      <c r="R207" s="4"/>
      <c r="S207" s="4"/>
      <c r="T207" s="4"/>
      <c r="U207" s="4"/>
      <c r="V207" s="4"/>
      <c r="W207" s="9">
        <f t="shared" si="462"/>
        <v>0</v>
      </c>
      <c r="X207" s="20"/>
      <c r="Y207" s="20"/>
      <c r="Z207" s="20"/>
      <c r="AA207" s="20"/>
      <c r="AB207" s="20"/>
      <c r="AC207" s="20"/>
      <c r="AD207" s="20"/>
      <c r="AE207" s="20"/>
      <c r="AF207" s="9">
        <f t="shared" si="463"/>
        <v>0</v>
      </c>
      <c r="AG207" s="20"/>
      <c r="AH207" s="20"/>
      <c r="AI207" s="20"/>
      <c r="AJ207" s="20"/>
      <c r="AK207" s="20"/>
      <c r="AL207" s="20"/>
      <c r="AM207" s="20"/>
      <c r="AN207" s="20"/>
      <c r="AO207" s="21">
        <f t="shared" si="464"/>
        <v>0</v>
      </c>
      <c r="AP207" s="25"/>
      <c r="AQ207" s="20"/>
      <c r="AR207" s="20"/>
      <c r="AS207" s="20"/>
      <c r="AT207" s="20"/>
      <c r="AU207" s="21">
        <f t="shared" si="465"/>
        <v>0</v>
      </c>
      <c r="AV207" s="25"/>
      <c r="AW207" s="20"/>
      <c r="AX207" s="20"/>
      <c r="AY207" s="20"/>
      <c r="AZ207" s="20"/>
      <c r="BA207" s="21">
        <f t="shared" si="466"/>
        <v>0</v>
      </c>
      <c r="BB207" s="25"/>
      <c r="BC207" s="25">
        <v>100000</v>
      </c>
      <c r="BD207" s="25">
        <v>239200</v>
      </c>
      <c r="BE207" s="25"/>
      <c r="BF207" s="20"/>
      <c r="BG207" s="20"/>
      <c r="BH207" s="20"/>
      <c r="BI207" s="20"/>
      <c r="BJ207" s="21">
        <f t="shared" si="467"/>
        <v>339200</v>
      </c>
      <c r="BK207" s="4">
        <f t="shared" si="468"/>
        <v>0</v>
      </c>
      <c r="BL207" s="4">
        <f t="shared" si="469"/>
        <v>255000</v>
      </c>
      <c r="BM207" s="4">
        <f t="shared" si="470"/>
        <v>239200</v>
      </c>
      <c r="BN207" s="4">
        <f t="shared" si="471"/>
        <v>0</v>
      </c>
      <c r="BO207" s="94">
        <f t="shared" si="472"/>
        <v>0</v>
      </c>
      <c r="BP207" s="94">
        <f t="shared" si="473"/>
        <v>0</v>
      </c>
      <c r="BQ207" s="94">
        <f t="shared" si="474"/>
        <v>0</v>
      </c>
      <c r="BR207" s="94">
        <f t="shared" si="475"/>
        <v>0</v>
      </c>
      <c r="BS207" s="9">
        <f t="shared" si="476"/>
        <v>494200</v>
      </c>
    </row>
    <row r="208" spans="1:71" ht="31.5">
      <c r="A208" s="186"/>
      <c r="B208" s="8">
        <v>34</v>
      </c>
      <c r="C208" s="1" t="s">
        <v>357</v>
      </c>
      <c r="D208" s="12" t="s">
        <v>358</v>
      </c>
      <c r="E208" s="4" t="s">
        <v>24</v>
      </c>
      <c r="F208" s="4">
        <v>155000</v>
      </c>
      <c r="G208" s="4">
        <v>566000</v>
      </c>
      <c r="H208" s="4">
        <f>88000+93500+308000+20000</f>
        <v>509500</v>
      </c>
      <c r="I208" s="4">
        <f>120000+40000</f>
        <v>160000</v>
      </c>
      <c r="J208" s="4"/>
      <c r="K208" s="4"/>
      <c r="L208" s="4"/>
      <c r="M208" s="4"/>
      <c r="N208" s="9">
        <f t="shared" si="461"/>
        <v>1390500</v>
      </c>
      <c r="O208" s="76">
        <v>290000</v>
      </c>
      <c r="P208" s="76">
        <v>1620000</v>
      </c>
      <c r="Q208" s="76">
        <v>1490000</v>
      </c>
      <c r="R208" s="76">
        <v>925000</v>
      </c>
      <c r="S208" s="4">
        <f>225000+225000+220000+225000+150000</f>
        <v>1045000</v>
      </c>
      <c r="T208" s="4">
        <f>1505000+510000</f>
        <v>2015000</v>
      </c>
      <c r="U208" s="4">
        <f>510000+530000+190000+190000+360000+180000+180000</f>
        <v>2140000</v>
      </c>
      <c r="V208" s="4">
        <f>390000+200000+200000+200000+200000+400000+600000</f>
        <v>2190000</v>
      </c>
      <c r="W208" s="9">
        <f t="shared" si="462"/>
        <v>11715000</v>
      </c>
      <c r="X208" s="20"/>
      <c r="Y208" s="20"/>
      <c r="Z208" s="4"/>
      <c r="AA208" s="20"/>
      <c r="AB208" s="20"/>
      <c r="AC208" s="20"/>
      <c r="AD208" s="20"/>
      <c r="AE208" s="20"/>
      <c r="AF208" s="9">
        <f t="shared" si="463"/>
        <v>0</v>
      </c>
      <c r="AG208" s="20">
        <v>195000</v>
      </c>
      <c r="AH208" s="25">
        <v>840750</v>
      </c>
      <c r="AI208" s="24">
        <v>537100</v>
      </c>
      <c r="AJ208" s="25">
        <v>150000</v>
      </c>
      <c r="AK208" s="20"/>
      <c r="AL208" s="20"/>
      <c r="AM208" s="20"/>
      <c r="AN208" s="20"/>
      <c r="AO208" s="21">
        <f t="shared" si="464"/>
        <v>1722850</v>
      </c>
      <c r="AP208" s="25">
        <v>0</v>
      </c>
      <c r="AQ208" s="20"/>
      <c r="AR208" s="20"/>
      <c r="AS208" s="20"/>
      <c r="AT208" s="20"/>
      <c r="AU208" s="21">
        <f t="shared" si="465"/>
        <v>0</v>
      </c>
      <c r="AV208" s="25"/>
      <c r="AW208" s="20"/>
      <c r="AX208" s="20"/>
      <c r="AY208" s="20"/>
      <c r="AZ208" s="20"/>
      <c r="BA208" s="21">
        <f t="shared" si="466"/>
        <v>0</v>
      </c>
      <c r="BB208" s="25"/>
      <c r="BC208" s="25"/>
      <c r="BD208" s="25"/>
      <c r="BE208" s="25"/>
      <c r="BF208" s="20"/>
      <c r="BG208" s="20"/>
      <c r="BH208" s="20"/>
      <c r="BI208" s="20"/>
      <c r="BJ208" s="21">
        <f t="shared" si="467"/>
        <v>0</v>
      </c>
      <c r="BK208" s="4">
        <f t="shared" si="468"/>
        <v>640000</v>
      </c>
      <c r="BL208" s="4">
        <f t="shared" si="469"/>
        <v>3026750</v>
      </c>
      <c r="BM208" s="4">
        <f t="shared" si="470"/>
        <v>2536600</v>
      </c>
      <c r="BN208" s="4">
        <f t="shared" si="471"/>
        <v>1235000</v>
      </c>
      <c r="BO208" s="94">
        <f t="shared" si="472"/>
        <v>1045000</v>
      </c>
      <c r="BP208" s="94">
        <f t="shared" si="473"/>
        <v>2015000</v>
      </c>
      <c r="BQ208" s="94">
        <f t="shared" si="474"/>
        <v>2140000</v>
      </c>
      <c r="BR208" s="94">
        <f t="shared" si="475"/>
        <v>2190000</v>
      </c>
      <c r="BS208" s="9">
        <f t="shared" si="476"/>
        <v>14828350</v>
      </c>
    </row>
    <row r="209" spans="1:71" ht="31.5">
      <c r="A209" s="186"/>
      <c r="B209" s="8">
        <v>35</v>
      </c>
      <c r="C209" s="42" t="s">
        <v>492</v>
      </c>
      <c r="D209" s="64" t="s">
        <v>360</v>
      </c>
      <c r="E209" s="4" t="s">
        <v>24</v>
      </c>
      <c r="F209" s="4"/>
      <c r="G209" s="4"/>
      <c r="H209" s="4"/>
      <c r="I209" s="4"/>
      <c r="J209" s="4"/>
      <c r="K209" s="4"/>
      <c r="L209" s="4"/>
      <c r="M209" s="4"/>
      <c r="N209" s="9">
        <f t="shared" si="461"/>
        <v>0</v>
      </c>
      <c r="O209" s="4"/>
      <c r="P209" s="4"/>
      <c r="Q209" s="4"/>
      <c r="R209" s="4"/>
      <c r="S209" s="4"/>
      <c r="T209" s="4"/>
      <c r="U209" s="4"/>
      <c r="V209" s="4"/>
      <c r="W209" s="9">
        <f t="shared" si="462"/>
        <v>0</v>
      </c>
      <c r="X209" s="20"/>
      <c r="Y209" s="22">
        <v>1550000</v>
      </c>
      <c r="Z209" s="4">
        <v>2160000</v>
      </c>
      <c r="AA209" s="32">
        <v>420000</v>
      </c>
      <c r="AB209" s="32">
        <f>225000+75000+120000+120000+120000+40000</f>
        <v>700000</v>
      </c>
      <c r="AC209" s="32">
        <f>780000+315000</f>
        <v>1095000</v>
      </c>
      <c r="AD209" s="32">
        <f>420000+315000+105000+210000+105000</f>
        <v>1155000</v>
      </c>
      <c r="AE209" s="4">
        <f>308000+217000+119000+119000+238000+119000+238000</f>
        <v>1358000</v>
      </c>
      <c r="AF209" s="9">
        <f t="shared" si="463"/>
        <v>8438000</v>
      </c>
      <c r="AG209" s="20"/>
      <c r="AH209" s="25"/>
      <c r="AI209" s="24"/>
      <c r="AJ209" s="25"/>
      <c r="AK209" s="20"/>
      <c r="AL209" s="20"/>
      <c r="AM209" s="20"/>
      <c r="AN209" s="20"/>
      <c r="AO209" s="21">
        <f t="shared" si="464"/>
        <v>0</v>
      </c>
      <c r="AP209" s="25">
        <v>0</v>
      </c>
      <c r="AQ209" s="20"/>
      <c r="AR209" s="20"/>
      <c r="AS209" s="20"/>
      <c r="AT209" s="20"/>
      <c r="AU209" s="21">
        <f t="shared" si="465"/>
        <v>0</v>
      </c>
      <c r="AV209" s="25"/>
      <c r="AW209" s="20"/>
      <c r="AX209" s="20"/>
      <c r="AY209" s="20"/>
      <c r="AZ209" s="20"/>
      <c r="BA209" s="21">
        <f t="shared" si="466"/>
        <v>0</v>
      </c>
      <c r="BB209" s="25"/>
      <c r="BC209" s="25"/>
      <c r="BD209" s="25"/>
      <c r="BE209" s="25"/>
      <c r="BF209" s="20"/>
      <c r="BG209" s="20"/>
      <c r="BH209" s="20"/>
      <c r="BI209" s="20"/>
      <c r="BJ209" s="21">
        <f t="shared" si="467"/>
        <v>0</v>
      </c>
      <c r="BK209" s="4">
        <f t="shared" si="468"/>
        <v>0</v>
      </c>
      <c r="BL209" s="4">
        <f t="shared" si="469"/>
        <v>1550000</v>
      </c>
      <c r="BM209" s="4">
        <f t="shared" si="470"/>
        <v>2160000</v>
      </c>
      <c r="BN209" s="4">
        <f t="shared" si="471"/>
        <v>420000</v>
      </c>
      <c r="BO209" s="94">
        <f t="shared" si="472"/>
        <v>700000</v>
      </c>
      <c r="BP209" s="94">
        <f t="shared" si="473"/>
        <v>1095000</v>
      </c>
      <c r="BQ209" s="94">
        <f t="shared" si="474"/>
        <v>1155000</v>
      </c>
      <c r="BR209" s="94">
        <f t="shared" si="475"/>
        <v>1358000</v>
      </c>
      <c r="BS209" s="9">
        <f t="shared" si="476"/>
        <v>8438000</v>
      </c>
    </row>
    <row r="210" spans="1:71">
      <c r="A210" s="186"/>
      <c r="B210" s="8">
        <v>36</v>
      </c>
      <c r="C210" s="2" t="s">
        <v>14</v>
      </c>
      <c r="D210" s="13" t="s">
        <v>26</v>
      </c>
      <c r="E210" s="4" t="s">
        <v>24</v>
      </c>
      <c r="F210" s="4"/>
      <c r="G210" s="4"/>
      <c r="H210" s="4"/>
      <c r="I210" s="4"/>
      <c r="J210" s="4"/>
      <c r="K210" s="4"/>
      <c r="L210" s="4"/>
      <c r="M210" s="4"/>
      <c r="N210" s="9">
        <f t="shared" si="461"/>
        <v>0</v>
      </c>
      <c r="O210" s="4"/>
      <c r="P210" s="4"/>
      <c r="Q210" s="4"/>
      <c r="R210" s="4"/>
      <c r="S210" s="4"/>
      <c r="T210" s="4"/>
      <c r="U210" s="4"/>
      <c r="V210" s="4"/>
      <c r="W210" s="9">
        <f t="shared" si="462"/>
        <v>0</v>
      </c>
      <c r="X210" s="20"/>
      <c r="Y210" s="26"/>
      <c r="Z210" s="32"/>
      <c r="AA210" s="32">
        <v>128000</v>
      </c>
      <c r="AB210" s="32"/>
      <c r="AC210" s="32"/>
      <c r="AD210" s="32"/>
      <c r="AE210" s="32"/>
      <c r="AF210" s="9">
        <f t="shared" si="463"/>
        <v>128000</v>
      </c>
      <c r="AG210" s="20"/>
      <c r="AH210" s="25"/>
      <c r="AI210" s="24"/>
      <c r="AJ210" s="25"/>
      <c r="AK210" s="20"/>
      <c r="AL210" s="20"/>
      <c r="AM210" s="20"/>
      <c r="AN210" s="20"/>
      <c r="AO210" s="21">
        <f t="shared" si="464"/>
        <v>0</v>
      </c>
      <c r="AP210" s="25">
        <v>0</v>
      </c>
      <c r="AQ210" s="20"/>
      <c r="AR210" s="20"/>
      <c r="AS210" s="20"/>
      <c r="AT210" s="20"/>
      <c r="AU210" s="21">
        <f t="shared" si="465"/>
        <v>0</v>
      </c>
      <c r="AV210" s="25"/>
      <c r="AW210" s="20"/>
      <c r="AX210" s="20"/>
      <c r="AY210" s="20"/>
      <c r="AZ210" s="20"/>
      <c r="BA210" s="21">
        <f t="shared" si="466"/>
        <v>0</v>
      </c>
      <c r="BB210" s="25"/>
      <c r="BC210" s="25">
        <v>100000</v>
      </c>
      <c r="BD210" s="25"/>
      <c r="BE210" s="25"/>
      <c r="BF210" s="20"/>
      <c r="BG210" s="20"/>
      <c r="BH210" s="20"/>
      <c r="BI210" s="20"/>
      <c r="BJ210" s="21">
        <f t="shared" si="467"/>
        <v>100000</v>
      </c>
      <c r="BK210" s="4">
        <f t="shared" si="468"/>
        <v>0</v>
      </c>
      <c r="BL210" s="4">
        <f t="shared" si="469"/>
        <v>100000</v>
      </c>
      <c r="BM210" s="4">
        <f t="shared" si="470"/>
        <v>0</v>
      </c>
      <c r="BN210" s="4">
        <f t="shared" si="471"/>
        <v>128000</v>
      </c>
      <c r="BO210" s="94">
        <f t="shared" si="472"/>
        <v>0</v>
      </c>
      <c r="BP210" s="94">
        <f t="shared" si="473"/>
        <v>0</v>
      </c>
      <c r="BQ210" s="94">
        <f t="shared" si="474"/>
        <v>0</v>
      </c>
      <c r="BR210" s="94">
        <f t="shared" si="475"/>
        <v>0</v>
      </c>
      <c r="BS210" s="9">
        <f t="shared" si="476"/>
        <v>228000</v>
      </c>
    </row>
    <row r="211" spans="1:71" ht="18.75">
      <c r="A211" s="187"/>
      <c r="B211" s="8">
        <v>37</v>
      </c>
      <c r="C211" s="1" t="s">
        <v>361</v>
      </c>
      <c r="D211" s="91" t="s">
        <v>425</v>
      </c>
      <c r="E211" s="4" t="s">
        <v>24</v>
      </c>
      <c r="F211" s="4"/>
      <c r="G211" s="4"/>
      <c r="H211" s="4"/>
      <c r="I211" s="4"/>
      <c r="J211" s="4"/>
      <c r="K211" s="4"/>
      <c r="L211" s="4"/>
      <c r="M211" s="4"/>
      <c r="N211" s="9">
        <f t="shared" si="461"/>
        <v>0</v>
      </c>
      <c r="O211" s="4"/>
      <c r="P211" s="4"/>
      <c r="Q211" s="4"/>
      <c r="R211" s="4"/>
      <c r="S211" s="4"/>
      <c r="T211" s="4"/>
      <c r="U211" s="4"/>
      <c r="V211" s="4"/>
      <c r="W211" s="9">
        <f t="shared" si="462"/>
        <v>0</v>
      </c>
      <c r="X211" s="20"/>
      <c r="Y211" s="20"/>
      <c r="Z211" s="20"/>
      <c r="AA211" s="20"/>
      <c r="AB211" s="20"/>
      <c r="AC211" s="20"/>
      <c r="AD211" s="20"/>
      <c r="AE211" s="20"/>
      <c r="AF211" s="9">
        <f t="shared" si="463"/>
        <v>0</v>
      </c>
      <c r="AG211" s="20"/>
      <c r="AH211" s="25"/>
      <c r="AI211" s="24">
        <v>627400</v>
      </c>
      <c r="AJ211" s="25">
        <v>950000</v>
      </c>
      <c r="AK211" s="20">
        <f>70000+207000+208500+208500+139000</f>
        <v>833000</v>
      </c>
      <c r="AL211" s="20">
        <f>1196900+271600+135800</f>
        <v>1604300</v>
      </c>
      <c r="AM211" s="20">
        <v>1561700</v>
      </c>
      <c r="AN211" s="20">
        <v>1746000</v>
      </c>
      <c r="AO211" s="21">
        <f t="shared" si="464"/>
        <v>7322400</v>
      </c>
      <c r="AP211" s="25">
        <v>0</v>
      </c>
      <c r="AQ211" s="20"/>
      <c r="AR211" s="20"/>
      <c r="AS211" s="20"/>
      <c r="AT211" s="20"/>
      <c r="AU211" s="21">
        <f t="shared" si="465"/>
        <v>0</v>
      </c>
      <c r="AV211" s="25"/>
      <c r="AW211" s="20"/>
      <c r="AX211" s="20"/>
      <c r="AY211" s="20"/>
      <c r="AZ211" s="20"/>
      <c r="BA211" s="21">
        <f t="shared" si="466"/>
        <v>0</v>
      </c>
      <c r="BB211" s="25"/>
      <c r="BC211" s="25"/>
      <c r="BD211" s="25"/>
      <c r="BE211" s="25"/>
      <c r="BF211" s="20"/>
      <c r="BG211" s="20"/>
      <c r="BH211" s="20"/>
      <c r="BI211" s="20"/>
      <c r="BJ211" s="21">
        <f t="shared" si="467"/>
        <v>0</v>
      </c>
      <c r="BK211" s="4">
        <f t="shared" si="468"/>
        <v>0</v>
      </c>
      <c r="BL211" s="4">
        <f t="shared" si="469"/>
        <v>0</v>
      </c>
      <c r="BM211" s="4">
        <f t="shared" si="470"/>
        <v>627400</v>
      </c>
      <c r="BN211" s="4">
        <f t="shared" si="471"/>
        <v>950000</v>
      </c>
      <c r="BO211" s="94">
        <f t="shared" si="472"/>
        <v>833000</v>
      </c>
      <c r="BP211" s="94">
        <f t="shared" si="473"/>
        <v>1604300</v>
      </c>
      <c r="BQ211" s="94">
        <f t="shared" si="474"/>
        <v>1561700</v>
      </c>
      <c r="BR211" s="94">
        <f t="shared" si="475"/>
        <v>1746000</v>
      </c>
      <c r="BS211" s="9">
        <f t="shared" si="476"/>
        <v>7322400</v>
      </c>
    </row>
    <row r="212" spans="1:71" s="38" customFormat="1">
      <c r="A212" s="34"/>
      <c r="B212" s="34"/>
      <c r="C212" s="35" t="s">
        <v>362</v>
      </c>
      <c r="D212" s="37"/>
      <c r="E212" s="37"/>
      <c r="F212" s="37">
        <f>SUM(F175:F211)</f>
        <v>1395000</v>
      </c>
      <c r="G212" s="37">
        <f t="shared" ref="G212:BS212" si="477">SUM(G175:G211)</f>
        <v>7396483</v>
      </c>
      <c r="H212" s="37">
        <f t="shared" si="477"/>
        <v>6600000</v>
      </c>
      <c r="I212" s="37">
        <f t="shared" si="477"/>
        <v>2141500</v>
      </c>
      <c r="J212" s="37">
        <f t="shared" si="477"/>
        <v>980000</v>
      </c>
      <c r="K212" s="37">
        <f t="shared" si="477"/>
        <v>1330000</v>
      </c>
      <c r="L212" s="37">
        <f t="shared" si="477"/>
        <v>1461500</v>
      </c>
      <c r="M212" s="37">
        <f t="shared" ref="M212" si="478">SUM(M175:M211)</f>
        <v>1189511</v>
      </c>
      <c r="N212" s="37">
        <f t="shared" si="477"/>
        <v>22493994</v>
      </c>
      <c r="O212" s="37">
        <f t="shared" si="477"/>
        <v>580000</v>
      </c>
      <c r="P212" s="37">
        <f t="shared" si="477"/>
        <v>6390000</v>
      </c>
      <c r="Q212" s="37">
        <f t="shared" si="477"/>
        <v>5900000</v>
      </c>
      <c r="R212" s="37">
        <f t="shared" si="477"/>
        <v>3325000</v>
      </c>
      <c r="S212" s="37">
        <f t="shared" si="477"/>
        <v>3145000</v>
      </c>
      <c r="T212" s="37">
        <f t="shared" si="477"/>
        <v>6125000</v>
      </c>
      <c r="U212" s="37">
        <f t="shared" si="477"/>
        <v>8015000</v>
      </c>
      <c r="V212" s="37">
        <f t="shared" ref="V212" si="479">SUM(V175:V211)</f>
        <v>9130000</v>
      </c>
      <c r="W212" s="37">
        <f t="shared" si="477"/>
        <v>42610000</v>
      </c>
      <c r="X212" s="37">
        <f t="shared" si="477"/>
        <v>1740000</v>
      </c>
      <c r="Y212" s="37">
        <f t="shared" si="477"/>
        <v>7050479</v>
      </c>
      <c r="Z212" s="37">
        <f t="shared" si="477"/>
        <v>7679000</v>
      </c>
      <c r="AA212" s="37">
        <f t="shared" si="477"/>
        <v>1868000</v>
      </c>
      <c r="AB212" s="37">
        <f t="shared" si="477"/>
        <v>2425000</v>
      </c>
      <c r="AC212" s="37">
        <f t="shared" si="477"/>
        <v>2899000</v>
      </c>
      <c r="AD212" s="37">
        <f t="shared" si="477"/>
        <v>4375000</v>
      </c>
      <c r="AE212" s="37">
        <f t="shared" ref="AE212" si="480">SUM(AE175:AE211)</f>
        <v>5544000</v>
      </c>
      <c r="AF212" s="37">
        <f t="shared" si="477"/>
        <v>33580479</v>
      </c>
      <c r="AG212" s="37">
        <f t="shared" si="477"/>
        <v>1950000</v>
      </c>
      <c r="AH212" s="37">
        <f t="shared" si="477"/>
        <v>14238850</v>
      </c>
      <c r="AI212" s="37">
        <f t="shared" si="477"/>
        <v>8484650</v>
      </c>
      <c r="AJ212" s="37">
        <f t="shared" si="477"/>
        <v>6737500</v>
      </c>
      <c r="AK212" s="37">
        <f t="shared" si="477"/>
        <v>4767000</v>
      </c>
      <c r="AL212" s="37">
        <f t="shared" si="477"/>
        <v>7173350</v>
      </c>
      <c r="AM212" s="37">
        <f>SUM(AM175:AM211)</f>
        <v>9808021</v>
      </c>
      <c r="AN212" s="37">
        <f>SUM(AN175:AN211)</f>
        <v>8869050</v>
      </c>
      <c r="AO212" s="37">
        <f t="shared" si="477"/>
        <v>62028421</v>
      </c>
      <c r="AP212" s="37">
        <f t="shared" si="477"/>
        <v>5735000</v>
      </c>
      <c r="AQ212" s="37">
        <f t="shared" si="477"/>
        <v>7340500</v>
      </c>
      <c r="AR212" s="37">
        <f t="shared" si="477"/>
        <v>11665200</v>
      </c>
      <c r="AS212" s="37">
        <f t="shared" si="477"/>
        <v>11503000</v>
      </c>
      <c r="AT212" s="37">
        <f t="shared" ref="AT212" si="481">SUM(AT175:AT211)</f>
        <v>13344200</v>
      </c>
      <c r="AU212" s="37">
        <f t="shared" si="477"/>
        <v>49587900</v>
      </c>
      <c r="AV212" s="37">
        <f t="shared" si="477"/>
        <v>1790000</v>
      </c>
      <c r="AW212" s="37">
        <f t="shared" si="477"/>
        <v>2755000</v>
      </c>
      <c r="AX212" s="37">
        <f t="shared" si="477"/>
        <v>4980500</v>
      </c>
      <c r="AY212" s="37">
        <f t="shared" si="477"/>
        <v>5066000</v>
      </c>
      <c r="AZ212" s="37">
        <f t="shared" ref="AZ212" si="482">SUM(AZ175:AZ211)</f>
        <v>5508000</v>
      </c>
      <c r="BA212" s="37">
        <f t="shared" si="477"/>
        <v>20099500</v>
      </c>
      <c r="BB212" s="37">
        <f t="shared" si="477"/>
        <v>0</v>
      </c>
      <c r="BC212" s="37">
        <f t="shared" si="477"/>
        <v>1576000</v>
      </c>
      <c r="BD212" s="37">
        <f t="shared" si="477"/>
        <v>3174950</v>
      </c>
      <c r="BE212" s="37">
        <f t="shared" si="477"/>
        <v>150000</v>
      </c>
      <c r="BF212" s="37">
        <f t="shared" si="477"/>
        <v>0</v>
      </c>
      <c r="BG212" s="37">
        <f t="shared" si="477"/>
        <v>0</v>
      </c>
      <c r="BH212" s="37">
        <f t="shared" si="477"/>
        <v>266800</v>
      </c>
      <c r="BI212" s="37">
        <f t="shared" ref="BI212" si="483">SUM(BI175:BI211)</f>
        <v>0</v>
      </c>
      <c r="BJ212" s="37">
        <f t="shared" si="477"/>
        <v>5167750</v>
      </c>
      <c r="BK212" s="37">
        <f t="shared" si="477"/>
        <v>5665000</v>
      </c>
      <c r="BL212" s="37">
        <f t="shared" si="477"/>
        <v>36651812</v>
      </c>
      <c r="BM212" s="37">
        <f t="shared" si="477"/>
        <v>31838600</v>
      </c>
      <c r="BN212" s="37">
        <f t="shared" si="477"/>
        <v>21747000</v>
      </c>
      <c r="BO212" s="37">
        <f t="shared" si="477"/>
        <v>21412500</v>
      </c>
      <c r="BP212" s="144">
        <f>SUM(BP175:BP211)</f>
        <v>34173050</v>
      </c>
      <c r="BQ212" s="37">
        <f t="shared" ref="BQ212:BR212" si="484">SUM(BQ175:BQ211)</f>
        <v>40495321</v>
      </c>
      <c r="BR212" s="37">
        <f t="shared" si="484"/>
        <v>43584761</v>
      </c>
      <c r="BS212" s="37">
        <f t="shared" si="477"/>
        <v>235568044</v>
      </c>
    </row>
    <row r="213" spans="1:71" ht="31.5">
      <c r="A213" s="151" t="s">
        <v>62</v>
      </c>
      <c r="B213" s="8">
        <v>1</v>
      </c>
      <c r="C213" s="1" t="s">
        <v>8</v>
      </c>
      <c r="D213" s="5" t="s">
        <v>426</v>
      </c>
      <c r="E213" s="4" t="s">
        <v>62</v>
      </c>
      <c r="F213" s="4"/>
      <c r="G213" s="4"/>
      <c r="H213" s="5"/>
      <c r="I213" s="4"/>
      <c r="J213" s="4"/>
      <c r="K213" s="4"/>
      <c r="L213" s="4"/>
      <c r="M213" s="4"/>
      <c r="N213" s="9">
        <f>SUM(F213:M213)</f>
        <v>0</v>
      </c>
      <c r="O213" s="76"/>
      <c r="P213" s="76"/>
      <c r="Q213" s="76">
        <v>351999</v>
      </c>
      <c r="R213" s="76">
        <v>450000</v>
      </c>
      <c r="S213" s="4">
        <f>1050000+75000+225000+225000+150000</f>
        <v>1725000</v>
      </c>
      <c r="T213" s="4">
        <v>1485000</v>
      </c>
      <c r="U213" s="4">
        <f>320000+960000+160000+150000+300000+150000</f>
        <v>2040000</v>
      </c>
      <c r="V213" s="4">
        <f>300000+600000+150000+140000+270000+260000</f>
        <v>1720000</v>
      </c>
      <c r="W213" s="9">
        <f t="shared" ref="W213" si="485">SUM(O213:V213)</f>
        <v>7771999</v>
      </c>
      <c r="X213" s="20"/>
      <c r="Y213" s="20"/>
      <c r="Z213" s="20"/>
      <c r="AA213" s="20"/>
      <c r="AB213" s="20"/>
      <c r="AC213" s="20"/>
      <c r="AD213" s="20"/>
      <c r="AE213" s="20"/>
      <c r="AF213" s="9">
        <f>SUM(X213:AE213)</f>
        <v>0</v>
      </c>
      <c r="AG213" s="20"/>
      <c r="AH213" s="25">
        <v>195000</v>
      </c>
      <c r="AI213" s="20"/>
      <c r="AJ213" s="20">
        <v>42000</v>
      </c>
      <c r="AK213" s="20"/>
      <c r="AL213" s="20"/>
      <c r="AM213" s="20"/>
      <c r="AN213" s="20"/>
      <c r="AO213" s="21">
        <f>SUM(AG213:AN213)</f>
        <v>237000</v>
      </c>
      <c r="AP213" s="25"/>
      <c r="AQ213" s="20"/>
      <c r="AR213" s="20"/>
      <c r="AS213" s="20"/>
      <c r="AT213" s="20"/>
      <c r="AU213" s="21">
        <f>SUM(AP213:AT213)</f>
        <v>0</v>
      </c>
      <c r="AV213" s="25"/>
      <c r="AW213" s="20"/>
      <c r="AX213" s="20"/>
      <c r="AY213" s="20"/>
      <c r="AZ213" s="20"/>
      <c r="BA213" s="21">
        <f>SUM(AV213:AZ213)</f>
        <v>0</v>
      </c>
      <c r="BB213" s="25"/>
      <c r="BC213" s="25"/>
      <c r="BD213" s="25"/>
      <c r="BE213" s="25"/>
      <c r="BF213" s="20"/>
      <c r="BG213" s="20"/>
      <c r="BH213" s="20"/>
      <c r="BI213" s="20"/>
      <c r="BJ213" s="21">
        <f>SUM(BB213:BI213)</f>
        <v>0</v>
      </c>
      <c r="BK213" s="4">
        <f>F213+O213+X213+AG213+BB213</f>
        <v>0</v>
      </c>
      <c r="BL213" s="4">
        <f>G213+P213+Y213+AH213+BC213</f>
        <v>195000</v>
      </c>
      <c r="BM213" s="4">
        <f>H213+Q213+Z213+AI213+BD213</f>
        <v>351999</v>
      </c>
      <c r="BN213" s="4">
        <f>I213+R213+AA213+AJ213+AP213+AV213+BE213</f>
        <v>492000</v>
      </c>
      <c r="BO213" s="94">
        <f>J213+S213+AB213+AK213+AQ213+AW213+BF213</f>
        <v>1725000</v>
      </c>
      <c r="BP213" s="94">
        <f>K213+T213+AC213+AL213+AR213+AX213+BG213</f>
        <v>1485000</v>
      </c>
      <c r="BQ213" s="94">
        <f>L213+U213+AD213+AM213+AS213+AY213+BH213</f>
        <v>2040000</v>
      </c>
      <c r="BR213" s="94">
        <f>M213+V213+AE213+AN213+AT213+AZ213+BI213</f>
        <v>1720000</v>
      </c>
      <c r="BS213" s="9">
        <f>SUM(BK213:BR213)</f>
        <v>8008999</v>
      </c>
    </row>
    <row r="214" spans="1:71" s="38" customFormat="1">
      <c r="A214" s="34"/>
      <c r="B214" s="34"/>
      <c r="C214" s="35" t="s">
        <v>363</v>
      </c>
      <c r="D214" s="37"/>
      <c r="E214" s="37"/>
      <c r="F214" s="37">
        <f>SUM(F213)</f>
        <v>0</v>
      </c>
      <c r="G214" s="37">
        <f t="shared" ref="G214:BS214" si="486">SUM(G213)</f>
        <v>0</v>
      </c>
      <c r="H214" s="37">
        <f t="shared" si="486"/>
        <v>0</v>
      </c>
      <c r="I214" s="37">
        <f t="shared" si="486"/>
        <v>0</v>
      </c>
      <c r="J214" s="37">
        <f t="shared" si="486"/>
        <v>0</v>
      </c>
      <c r="K214" s="37">
        <f t="shared" si="486"/>
        <v>0</v>
      </c>
      <c r="L214" s="37">
        <f t="shared" si="486"/>
        <v>0</v>
      </c>
      <c r="M214" s="37">
        <f t="shared" ref="M214" si="487">SUM(M213)</f>
        <v>0</v>
      </c>
      <c r="N214" s="37">
        <f t="shared" si="486"/>
        <v>0</v>
      </c>
      <c r="O214" s="37">
        <f t="shared" si="486"/>
        <v>0</v>
      </c>
      <c r="P214" s="37">
        <f t="shared" si="486"/>
        <v>0</v>
      </c>
      <c r="Q214" s="37">
        <f t="shared" si="486"/>
        <v>351999</v>
      </c>
      <c r="R214" s="37">
        <f t="shared" si="486"/>
        <v>450000</v>
      </c>
      <c r="S214" s="37">
        <f t="shared" si="486"/>
        <v>1725000</v>
      </c>
      <c r="T214" s="37">
        <f t="shared" si="486"/>
        <v>1485000</v>
      </c>
      <c r="U214" s="37">
        <f t="shared" si="486"/>
        <v>2040000</v>
      </c>
      <c r="V214" s="37">
        <f t="shared" ref="V214" si="488">SUM(V213)</f>
        <v>1720000</v>
      </c>
      <c r="W214" s="37">
        <f t="shared" si="486"/>
        <v>7771999</v>
      </c>
      <c r="X214" s="37">
        <f t="shared" si="486"/>
        <v>0</v>
      </c>
      <c r="Y214" s="37">
        <f t="shared" si="486"/>
        <v>0</v>
      </c>
      <c r="Z214" s="37">
        <f t="shared" si="486"/>
        <v>0</v>
      </c>
      <c r="AA214" s="37">
        <f t="shared" si="486"/>
        <v>0</v>
      </c>
      <c r="AB214" s="37">
        <f t="shared" si="486"/>
        <v>0</v>
      </c>
      <c r="AC214" s="37">
        <f t="shared" si="486"/>
        <v>0</v>
      </c>
      <c r="AD214" s="37">
        <f t="shared" si="486"/>
        <v>0</v>
      </c>
      <c r="AE214" s="37">
        <f t="shared" ref="AE214" si="489">SUM(AE213)</f>
        <v>0</v>
      </c>
      <c r="AF214" s="37">
        <f t="shared" si="486"/>
        <v>0</v>
      </c>
      <c r="AG214" s="37">
        <f t="shared" si="486"/>
        <v>0</v>
      </c>
      <c r="AH214" s="37">
        <f t="shared" si="486"/>
        <v>195000</v>
      </c>
      <c r="AI214" s="37">
        <f t="shared" si="486"/>
        <v>0</v>
      </c>
      <c r="AJ214" s="37">
        <f t="shared" si="486"/>
        <v>42000</v>
      </c>
      <c r="AK214" s="37">
        <f t="shared" si="486"/>
        <v>0</v>
      </c>
      <c r="AL214" s="37">
        <f t="shared" si="486"/>
        <v>0</v>
      </c>
      <c r="AM214" s="37">
        <f t="shared" si="486"/>
        <v>0</v>
      </c>
      <c r="AN214" s="37">
        <f t="shared" ref="AN214" si="490">SUM(AN213)</f>
        <v>0</v>
      </c>
      <c r="AO214" s="37">
        <f t="shared" si="486"/>
        <v>237000</v>
      </c>
      <c r="AP214" s="37">
        <f t="shared" si="486"/>
        <v>0</v>
      </c>
      <c r="AQ214" s="37">
        <f t="shared" si="486"/>
        <v>0</v>
      </c>
      <c r="AR214" s="37">
        <f t="shared" si="486"/>
        <v>0</v>
      </c>
      <c r="AS214" s="37">
        <f t="shared" si="486"/>
        <v>0</v>
      </c>
      <c r="AT214" s="37">
        <f t="shared" ref="AT214" si="491">SUM(AT213)</f>
        <v>0</v>
      </c>
      <c r="AU214" s="37">
        <f t="shared" si="486"/>
        <v>0</v>
      </c>
      <c r="AV214" s="37">
        <f t="shared" si="486"/>
        <v>0</v>
      </c>
      <c r="AW214" s="37">
        <f t="shared" si="486"/>
        <v>0</v>
      </c>
      <c r="AX214" s="37">
        <f t="shared" si="486"/>
        <v>0</v>
      </c>
      <c r="AY214" s="37">
        <f t="shared" si="486"/>
        <v>0</v>
      </c>
      <c r="AZ214" s="37">
        <f t="shared" ref="AZ214" si="492">SUM(AZ213)</f>
        <v>0</v>
      </c>
      <c r="BA214" s="37">
        <f t="shared" si="486"/>
        <v>0</v>
      </c>
      <c r="BB214" s="37">
        <f t="shared" si="486"/>
        <v>0</v>
      </c>
      <c r="BC214" s="37">
        <f t="shared" si="486"/>
        <v>0</v>
      </c>
      <c r="BD214" s="37">
        <f t="shared" si="486"/>
        <v>0</v>
      </c>
      <c r="BE214" s="37">
        <f t="shared" si="486"/>
        <v>0</v>
      </c>
      <c r="BF214" s="37">
        <f t="shared" si="486"/>
        <v>0</v>
      </c>
      <c r="BG214" s="37">
        <f t="shared" si="486"/>
        <v>0</v>
      </c>
      <c r="BH214" s="37">
        <f t="shared" si="486"/>
        <v>0</v>
      </c>
      <c r="BI214" s="37">
        <f t="shared" ref="BI214" si="493">SUM(BI213)</f>
        <v>0</v>
      </c>
      <c r="BJ214" s="37">
        <f t="shared" si="486"/>
        <v>0</v>
      </c>
      <c r="BK214" s="37">
        <f t="shared" si="486"/>
        <v>0</v>
      </c>
      <c r="BL214" s="37">
        <f t="shared" si="486"/>
        <v>195000</v>
      </c>
      <c r="BM214" s="37">
        <f t="shared" si="486"/>
        <v>351999</v>
      </c>
      <c r="BN214" s="37">
        <f t="shared" si="486"/>
        <v>492000</v>
      </c>
      <c r="BO214" s="37">
        <f t="shared" si="486"/>
        <v>1725000</v>
      </c>
      <c r="BP214" s="144">
        <f>SUM(BP213)</f>
        <v>1485000</v>
      </c>
      <c r="BQ214" s="37">
        <f t="shared" ref="BQ214:BR214" si="494">SUM(BQ213)</f>
        <v>2040000</v>
      </c>
      <c r="BR214" s="37">
        <f t="shared" si="494"/>
        <v>1720000</v>
      </c>
      <c r="BS214" s="37">
        <f t="shared" si="486"/>
        <v>8008999</v>
      </c>
    </row>
    <row r="215" spans="1:71">
      <c r="A215" s="185" t="s">
        <v>23</v>
      </c>
      <c r="B215" s="8">
        <v>1</v>
      </c>
      <c r="C215" s="1" t="s">
        <v>0</v>
      </c>
      <c r="D215" s="4" t="s">
        <v>22</v>
      </c>
      <c r="E215" s="4" t="s">
        <v>23</v>
      </c>
      <c r="F215" s="4"/>
      <c r="G215" s="4"/>
      <c r="H215" s="4">
        <v>155000</v>
      </c>
      <c r="I215" s="4">
        <v>172000</v>
      </c>
      <c r="J215" s="4">
        <f>828000+140000+420000+140000</f>
        <v>1528000</v>
      </c>
      <c r="K215" s="4">
        <f>880000+183208+93208</f>
        <v>1156416</v>
      </c>
      <c r="L215" s="4">
        <v>1080000</v>
      </c>
      <c r="M215" s="4">
        <v>1113500</v>
      </c>
      <c r="N215" s="9">
        <f t="shared" ref="N215:N227" si="495">SUM(F215:M215)</f>
        <v>5204916</v>
      </c>
      <c r="O215" s="76"/>
      <c r="P215" s="76"/>
      <c r="Q215" s="76"/>
      <c r="R215" s="76"/>
      <c r="S215" s="4"/>
      <c r="T215" s="4"/>
      <c r="U215" s="4"/>
      <c r="V215" s="4"/>
      <c r="W215" s="9">
        <f t="shared" ref="W215:W227" si="496">SUM(O215:V215)</f>
        <v>0</v>
      </c>
      <c r="X215" s="20"/>
      <c r="Y215" s="20"/>
      <c r="Z215" s="20"/>
      <c r="AA215" s="20"/>
      <c r="AB215" s="20"/>
      <c r="AC215" s="20"/>
      <c r="AD215" s="20"/>
      <c r="AE215" s="20"/>
      <c r="AF215" s="9">
        <f t="shared" ref="AF215:AF227" si="497">SUM(X215:AE215)</f>
        <v>0</v>
      </c>
      <c r="AG215" s="20"/>
      <c r="AH215" s="20"/>
      <c r="AI215" s="20"/>
      <c r="AJ215" s="20"/>
      <c r="AK215" s="20"/>
      <c r="AL215" s="20"/>
      <c r="AM215" s="20"/>
      <c r="AN215" s="20"/>
      <c r="AO215" s="21">
        <f t="shared" ref="AO215:AO227" si="498">SUM(AG215:AN215)</f>
        <v>0</v>
      </c>
      <c r="AP215" s="25">
        <v>0</v>
      </c>
      <c r="AQ215" s="20"/>
      <c r="AR215" s="20"/>
      <c r="AS215" s="20"/>
      <c r="AT215" s="20"/>
      <c r="AU215" s="21">
        <f t="shared" ref="AU215:AU227" si="499">SUM(AP215:AT215)</f>
        <v>0</v>
      </c>
      <c r="AV215" s="25"/>
      <c r="AW215" s="20"/>
      <c r="AX215" s="20"/>
      <c r="AY215" s="20"/>
      <c r="AZ215" s="20"/>
      <c r="BA215" s="21">
        <f t="shared" ref="BA215:BA227" si="500">SUM(AV215:AZ215)</f>
        <v>0</v>
      </c>
      <c r="BB215" s="25"/>
      <c r="BC215" s="25"/>
      <c r="BD215" s="25">
        <v>100000</v>
      </c>
      <c r="BE215" s="25">
        <v>125000</v>
      </c>
      <c r="BF215" s="20"/>
      <c r="BG215" s="20"/>
      <c r="BH215" s="20"/>
      <c r="BI215" s="20"/>
      <c r="BJ215" s="21">
        <f t="shared" ref="BJ215:BJ227" si="501">SUM(BB215:BI215)</f>
        <v>225000</v>
      </c>
      <c r="BK215" s="4">
        <f t="shared" ref="BK215:BK227" si="502">F215+O215+X215+AG215+BB215</f>
        <v>0</v>
      </c>
      <c r="BL215" s="4">
        <f t="shared" ref="BL215:BL227" si="503">G215+P215+Y215+AH215+BC215</f>
        <v>0</v>
      </c>
      <c r="BM215" s="4">
        <f t="shared" ref="BM215:BM227" si="504">H215+Q215+Z215+AI215+BD215</f>
        <v>255000</v>
      </c>
      <c r="BN215" s="4">
        <f t="shared" ref="BN215:BN227" si="505">I215+R215+AA215+AJ215+AP215+AV215+BE215</f>
        <v>297000</v>
      </c>
      <c r="BO215" s="94">
        <f t="shared" ref="BO215:BO227" si="506">J215+S215+AB215+AK215+AQ215+AW215+BF215</f>
        <v>1528000</v>
      </c>
      <c r="BP215" s="94">
        <f t="shared" ref="BP215:BP227" si="507">K215+T215+AC215+AL215+AR215+AX215+BG215</f>
        <v>1156416</v>
      </c>
      <c r="BQ215" s="94">
        <f t="shared" ref="BQ215:BQ227" si="508">L215+U215+AD215+AM215+AS215+AY215+BH215</f>
        <v>1080000</v>
      </c>
      <c r="BR215" s="94">
        <f t="shared" ref="BR215:BR227" si="509">M215+V215+AE215+AN215+AT215+AZ215+BI215</f>
        <v>1113500</v>
      </c>
      <c r="BS215" s="9">
        <f t="shared" ref="BS215:BS227" si="510">SUM(BK215:BR215)</f>
        <v>5429916</v>
      </c>
    </row>
    <row r="216" spans="1:71" ht="31.5">
      <c r="A216" s="186"/>
      <c r="B216" s="8">
        <v>2</v>
      </c>
      <c r="C216" s="1" t="s">
        <v>364</v>
      </c>
      <c r="D216" s="4" t="s">
        <v>365</v>
      </c>
      <c r="E216" s="4" t="s">
        <v>23</v>
      </c>
      <c r="F216" s="4"/>
      <c r="G216" s="4">
        <f>399694+3753</f>
        <v>403447</v>
      </c>
      <c r="H216" s="4">
        <f>114500+65000+219000</f>
        <v>398500</v>
      </c>
      <c r="I216" s="4"/>
      <c r="J216" s="4"/>
      <c r="K216" s="4"/>
      <c r="L216" s="4"/>
      <c r="M216" s="4"/>
      <c r="N216" s="9">
        <f t="shared" si="495"/>
        <v>801947</v>
      </c>
      <c r="O216" s="4"/>
      <c r="P216" s="4"/>
      <c r="Q216" s="4"/>
      <c r="R216" s="4"/>
      <c r="S216" s="4"/>
      <c r="T216" s="4"/>
      <c r="U216" s="4"/>
      <c r="V216" s="4"/>
      <c r="W216" s="9">
        <f t="shared" si="496"/>
        <v>0</v>
      </c>
      <c r="X216" s="20"/>
      <c r="Y216" s="20"/>
      <c r="Z216" s="20"/>
      <c r="AA216" s="20"/>
      <c r="AB216" s="20"/>
      <c r="AC216" s="20"/>
      <c r="AD216" s="20"/>
      <c r="AE216" s="20"/>
      <c r="AF216" s="9">
        <f t="shared" si="497"/>
        <v>0</v>
      </c>
      <c r="AG216" s="20">
        <v>195000</v>
      </c>
      <c r="AH216" s="25">
        <v>1079050</v>
      </c>
      <c r="AI216" s="25">
        <v>1013650</v>
      </c>
      <c r="AJ216" s="24">
        <v>150000</v>
      </c>
      <c r="AK216" s="20"/>
      <c r="AL216" s="20"/>
      <c r="AM216" s="20"/>
      <c r="AN216" s="20"/>
      <c r="AO216" s="21">
        <f t="shared" si="498"/>
        <v>2437700</v>
      </c>
      <c r="AP216" s="25">
        <v>838000</v>
      </c>
      <c r="AQ216" s="20">
        <f>105000+315000+315000+315000+210000</f>
        <v>1260000</v>
      </c>
      <c r="AR216" s="20">
        <f>1386000+310000+155200</f>
        <v>1851200</v>
      </c>
      <c r="AS216" s="20">
        <v>1856550</v>
      </c>
      <c r="AT216" s="20">
        <v>1716000</v>
      </c>
      <c r="AU216" s="21">
        <f t="shared" si="499"/>
        <v>7521750</v>
      </c>
      <c r="AV216" s="25"/>
      <c r="AW216" s="20"/>
      <c r="AX216" s="20"/>
      <c r="AY216" s="20"/>
      <c r="AZ216" s="20"/>
      <c r="BA216" s="21">
        <f t="shared" si="500"/>
        <v>0</v>
      </c>
      <c r="BB216" s="25"/>
      <c r="BC216" s="25"/>
      <c r="BD216" s="25"/>
      <c r="BE216" s="25"/>
      <c r="BF216" s="20"/>
      <c r="BG216" s="20"/>
      <c r="BH216" s="20"/>
      <c r="BI216" s="20"/>
      <c r="BJ216" s="21">
        <f t="shared" si="501"/>
        <v>0</v>
      </c>
      <c r="BK216" s="4">
        <f t="shared" si="502"/>
        <v>195000</v>
      </c>
      <c r="BL216" s="4">
        <f t="shared" si="503"/>
        <v>1482497</v>
      </c>
      <c r="BM216" s="4">
        <f t="shared" si="504"/>
        <v>1412150</v>
      </c>
      <c r="BN216" s="4">
        <f t="shared" si="505"/>
        <v>988000</v>
      </c>
      <c r="BO216" s="94">
        <f t="shared" si="506"/>
        <v>1260000</v>
      </c>
      <c r="BP216" s="94">
        <f t="shared" si="507"/>
        <v>1851200</v>
      </c>
      <c r="BQ216" s="94">
        <f t="shared" si="508"/>
        <v>1856550</v>
      </c>
      <c r="BR216" s="94">
        <f t="shared" si="509"/>
        <v>1716000</v>
      </c>
      <c r="BS216" s="9">
        <f t="shared" si="510"/>
        <v>10761397</v>
      </c>
    </row>
    <row r="217" spans="1:71">
      <c r="A217" s="186"/>
      <c r="B217" s="8">
        <v>3</v>
      </c>
      <c r="C217" s="1" t="s">
        <v>473</v>
      </c>
      <c r="D217" s="4" t="s">
        <v>367</v>
      </c>
      <c r="E217" s="4" t="s">
        <v>23</v>
      </c>
      <c r="F217" s="4"/>
      <c r="G217" s="4"/>
      <c r="H217" s="4">
        <v>155000</v>
      </c>
      <c r="I217" s="4"/>
      <c r="J217" s="4"/>
      <c r="K217" s="4"/>
      <c r="L217" s="4"/>
      <c r="M217" s="4"/>
      <c r="N217" s="9">
        <f t="shared" si="495"/>
        <v>155000</v>
      </c>
      <c r="O217" s="4"/>
      <c r="P217" s="4"/>
      <c r="Q217" s="4"/>
      <c r="R217" s="4"/>
      <c r="S217" s="4"/>
      <c r="T217" s="4"/>
      <c r="U217" s="4"/>
      <c r="V217" s="4"/>
      <c r="W217" s="9">
        <f t="shared" si="496"/>
        <v>0</v>
      </c>
      <c r="X217" s="20"/>
      <c r="Y217" s="20"/>
      <c r="Z217" s="20"/>
      <c r="AA217" s="20"/>
      <c r="AB217" s="20"/>
      <c r="AC217" s="20"/>
      <c r="AD217" s="20"/>
      <c r="AE217" s="20"/>
      <c r="AF217" s="9">
        <f t="shared" si="497"/>
        <v>0</v>
      </c>
      <c r="AG217" s="20"/>
      <c r="AH217" s="20"/>
      <c r="AI217" s="20"/>
      <c r="AJ217" s="20"/>
      <c r="AK217" s="20"/>
      <c r="AL217" s="20"/>
      <c r="AM217" s="20"/>
      <c r="AN217" s="20"/>
      <c r="AO217" s="21">
        <f t="shared" si="498"/>
        <v>0</v>
      </c>
      <c r="AP217" s="25">
        <v>0</v>
      </c>
      <c r="AQ217" s="20"/>
      <c r="AR217" s="20"/>
      <c r="AS217" s="20"/>
      <c r="AT217" s="20"/>
      <c r="AU217" s="21">
        <f t="shared" si="499"/>
        <v>0</v>
      </c>
      <c r="AV217" s="25"/>
      <c r="AW217" s="20"/>
      <c r="AX217" s="20"/>
      <c r="AY217" s="20"/>
      <c r="AZ217" s="20"/>
      <c r="BA217" s="21">
        <f t="shared" si="500"/>
        <v>0</v>
      </c>
      <c r="BB217" s="25"/>
      <c r="BC217" s="25"/>
      <c r="BD217" s="25"/>
      <c r="BE217" s="25"/>
      <c r="BF217" s="20"/>
      <c r="BG217" s="20"/>
      <c r="BH217" s="20"/>
      <c r="BI217" s="20"/>
      <c r="BJ217" s="21">
        <f t="shared" si="501"/>
        <v>0</v>
      </c>
      <c r="BK217" s="4">
        <f t="shared" si="502"/>
        <v>0</v>
      </c>
      <c r="BL217" s="4">
        <f t="shared" si="503"/>
        <v>0</v>
      </c>
      <c r="BM217" s="4">
        <f t="shared" si="504"/>
        <v>155000</v>
      </c>
      <c r="BN217" s="4">
        <f t="shared" si="505"/>
        <v>0</v>
      </c>
      <c r="BO217" s="94">
        <f t="shared" si="506"/>
        <v>0</v>
      </c>
      <c r="BP217" s="94">
        <f t="shared" si="507"/>
        <v>0</v>
      </c>
      <c r="BQ217" s="94">
        <f t="shared" si="508"/>
        <v>0</v>
      </c>
      <c r="BR217" s="94">
        <f t="shared" si="509"/>
        <v>0</v>
      </c>
      <c r="BS217" s="9">
        <f t="shared" si="510"/>
        <v>155000</v>
      </c>
    </row>
    <row r="218" spans="1:71">
      <c r="A218" s="186"/>
      <c r="B218" s="8">
        <v>4</v>
      </c>
      <c r="C218" s="1" t="s">
        <v>368</v>
      </c>
      <c r="D218" s="4" t="s">
        <v>369</v>
      </c>
      <c r="E218" s="4" t="s">
        <v>23</v>
      </c>
      <c r="F218" s="4"/>
      <c r="G218" s="4"/>
      <c r="H218" s="4">
        <v>155000</v>
      </c>
      <c r="I218" s="4"/>
      <c r="J218" s="4"/>
      <c r="K218" s="4"/>
      <c r="L218" s="4"/>
      <c r="M218" s="4"/>
      <c r="N218" s="9">
        <f t="shared" si="495"/>
        <v>155000</v>
      </c>
      <c r="O218" s="4"/>
      <c r="P218" s="4"/>
      <c r="Q218" s="4"/>
      <c r="R218" s="4"/>
      <c r="S218" s="4"/>
      <c r="T218" s="4"/>
      <c r="U218" s="4"/>
      <c r="V218" s="4"/>
      <c r="W218" s="9">
        <f t="shared" si="496"/>
        <v>0</v>
      </c>
      <c r="X218" s="20"/>
      <c r="Y218" s="20"/>
      <c r="Z218" s="20"/>
      <c r="AA218" s="20"/>
      <c r="AB218" s="20"/>
      <c r="AC218" s="20"/>
      <c r="AD218" s="20"/>
      <c r="AE218" s="20"/>
      <c r="AF218" s="9">
        <f t="shared" si="497"/>
        <v>0</v>
      </c>
      <c r="AG218" s="20"/>
      <c r="AH218" s="20">
        <v>195000</v>
      </c>
      <c r="AI218" s="25">
        <v>710800</v>
      </c>
      <c r="AJ218" s="24">
        <v>210000</v>
      </c>
      <c r="AK218" s="20"/>
      <c r="AL218" s="20"/>
      <c r="AM218" s="20"/>
      <c r="AN218" s="20"/>
      <c r="AO218" s="21">
        <f t="shared" si="498"/>
        <v>1115800</v>
      </c>
      <c r="AP218" s="25">
        <v>0</v>
      </c>
      <c r="AQ218" s="20">
        <f>945000+315000+315000+315000+210000</f>
        <v>2100000</v>
      </c>
      <c r="AR218" s="20">
        <v>693900</v>
      </c>
      <c r="AS218" s="20">
        <v>1092000</v>
      </c>
      <c r="AT218" s="20">
        <v>1716000</v>
      </c>
      <c r="AU218" s="21">
        <f t="shared" si="499"/>
        <v>5601900</v>
      </c>
      <c r="AV218" s="25"/>
      <c r="AW218" s="20"/>
      <c r="AX218" s="20"/>
      <c r="AY218" s="20"/>
      <c r="AZ218" s="20"/>
      <c r="BA218" s="21">
        <f t="shared" si="500"/>
        <v>0</v>
      </c>
      <c r="BB218" s="25"/>
      <c r="BC218" s="25">
        <v>100000</v>
      </c>
      <c r="BD218" s="25">
        <v>540000</v>
      </c>
      <c r="BE218" s="25"/>
      <c r="BF218" s="20"/>
      <c r="BG218" s="20"/>
      <c r="BH218" s="20"/>
      <c r="BI218" s="20"/>
      <c r="BJ218" s="21">
        <f t="shared" si="501"/>
        <v>640000</v>
      </c>
      <c r="BK218" s="4">
        <f t="shared" si="502"/>
        <v>0</v>
      </c>
      <c r="BL218" s="4">
        <f t="shared" si="503"/>
        <v>295000</v>
      </c>
      <c r="BM218" s="4">
        <f t="shared" si="504"/>
        <v>1405800</v>
      </c>
      <c r="BN218" s="4">
        <f t="shared" si="505"/>
        <v>210000</v>
      </c>
      <c r="BO218" s="94">
        <f t="shared" si="506"/>
        <v>2100000</v>
      </c>
      <c r="BP218" s="94">
        <f t="shared" si="507"/>
        <v>693900</v>
      </c>
      <c r="BQ218" s="94">
        <f t="shared" si="508"/>
        <v>1092000</v>
      </c>
      <c r="BR218" s="94">
        <f t="shared" si="509"/>
        <v>1716000</v>
      </c>
      <c r="BS218" s="9">
        <f t="shared" si="510"/>
        <v>7512700</v>
      </c>
    </row>
    <row r="219" spans="1:71">
      <c r="A219" s="186"/>
      <c r="B219" s="8">
        <v>5</v>
      </c>
      <c r="C219" s="1" t="s">
        <v>370</v>
      </c>
      <c r="D219" s="4" t="s">
        <v>371</v>
      </c>
      <c r="E219" s="4" t="s">
        <v>23</v>
      </c>
      <c r="F219" s="4"/>
      <c r="G219" s="4">
        <v>453500</v>
      </c>
      <c r="H219" s="4">
        <f>99000+203500</f>
        <v>302500</v>
      </c>
      <c r="I219" s="4">
        <v>160000</v>
      </c>
      <c r="J219" s="4"/>
      <c r="K219" s="4"/>
      <c r="L219" s="4"/>
      <c r="M219" s="4"/>
      <c r="N219" s="9">
        <f t="shared" si="495"/>
        <v>916000</v>
      </c>
      <c r="O219" s="4"/>
      <c r="P219" s="4"/>
      <c r="Q219" s="4"/>
      <c r="R219" s="4"/>
      <c r="S219" s="4"/>
      <c r="T219" s="4"/>
      <c r="U219" s="4"/>
      <c r="V219" s="4"/>
      <c r="W219" s="9">
        <f t="shared" si="496"/>
        <v>0</v>
      </c>
      <c r="X219" s="20"/>
      <c r="Y219" s="20"/>
      <c r="Z219" s="20"/>
      <c r="AA219" s="20"/>
      <c r="AB219" s="20"/>
      <c r="AC219" s="20"/>
      <c r="AD219" s="20"/>
      <c r="AE219" s="20"/>
      <c r="AF219" s="9">
        <f t="shared" si="497"/>
        <v>0</v>
      </c>
      <c r="AG219" s="20"/>
      <c r="AH219" s="25">
        <v>636450</v>
      </c>
      <c r="AI219" s="25">
        <v>252200</v>
      </c>
      <c r="AJ219" s="24">
        <v>180000</v>
      </c>
      <c r="AK219" s="20"/>
      <c r="AL219" s="20"/>
      <c r="AM219" s="20"/>
      <c r="AN219" s="20"/>
      <c r="AO219" s="21">
        <f t="shared" si="498"/>
        <v>1068650</v>
      </c>
      <c r="AP219" s="25">
        <v>823000</v>
      </c>
      <c r="AQ219" s="20">
        <f>283500+273000+291500+293500+196000</f>
        <v>1337500</v>
      </c>
      <c r="AR219" s="20">
        <f>1224400+262200+129600</f>
        <v>1616200</v>
      </c>
      <c r="AS219" s="20">
        <v>1498300</v>
      </c>
      <c r="AT219" s="20">
        <v>1695200</v>
      </c>
      <c r="AU219" s="21">
        <f t="shared" si="499"/>
        <v>6970200</v>
      </c>
      <c r="AV219" s="25"/>
      <c r="AW219" s="20"/>
      <c r="AX219" s="20"/>
      <c r="AY219" s="20"/>
      <c r="AZ219" s="20"/>
      <c r="BA219" s="21">
        <f t="shared" si="500"/>
        <v>0</v>
      </c>
      <c r="BB219" s="25"/>
      <c r="BC219" s="25">
        <v>100000</v>
      </c>
      <c r="BD219" s="25">
        <v>230000</v>
      </c>
      <c r="BE219" s="25"/>
      <c r="BF219" s="20"/>
      <c r="BG219" s="20"/>
      <c r="BH219" s="20"/>
      <c r="BI219" s="20"/>
      <c r="BJ219" s="21">
        <f t="shared" si="501"/>
        <v>330000</v>
      </c>
      <c r="BK219" s="4">
        <f t="shared" si="502"/>
        <v>0</v>
      </c>
      <c r="BL219" s="4">
        <f t="shared" si="503"/>
        <v>1189950</v>
      </c>
      <c r="BM219" s="4">
        <f t="shared" si="504"/>
        <v>784700</v>
      </c>
      <c r="BN219" s="4">
        <f t="shared" si="505"/>
        <v>1163000</v>
      </c>
      <c r="BO219" s="94">
        <f t="shared" si="506"/>
        <v>1337500</v>
      </c>
      <c r="BP219" s="94">
        <f t="shared" si="507"/>
        <v>1616200</v>
      </c>
      <c r="BQ219" s="94">
        <f t="shared" si="508"/>
        <v>1498300</v>
      </c>
      <c r="BR219" s="94">
        <f t="shared" si="509"/>
        <v>1695200</v>
      </c>
      <c r="BS219" s="9">
        <f t="shared" si="510"/>
        <v>9284850</v>
      </c>
    </row>
    <row r="220" spans="1:71">
      <c r="A220" s="186"/>
      <c r="B220" s="8">
        <v>6</v>
      </c>
      <c r="C220" s="1" t="s">
        <v>372</v>
      </c>
      <c r="D220" s="4" t="s">
        <v>371</v>
      </c>
      <c r="E220" s="4" t="s">
        <v>23</v>
      </c>
      <c r="F220" s="4"/>
      <c r="G220" s="4">
        <v>155000</v>
      </c>
      <c r="H220" s="4">
        <v>88000</v>
      </c>
      <c r="I220" s="4"/>
      <c r="J220" s="4"/>
      <c r="K220" s="4"/>
      <c r="L220" s="4"/>
      <c r="M220" s="4"/>
      <c r="N220" s="9">
        <f t="shared" si="495"/>
        <v>243000</v>
      </c>
      <c r="O220" s="4"/>
      <c r="P220" s="4"/>
      <c r="Q220" s="4"/>
      <c r="R220" s="4"/>
      <c r="S220" s="4"/>
      <c r="T220" s="4"/>
      <c r="U220" s="4"/>
      <c r="V220" s="4"/>
      <c r="W220" s="9">
        <f t="shared" si="496"/>
        <v>0</v>
      </c>
      <c r="X220" s="20"/>
      <c r="Y220" s="20"/>
      <c r="Z220" s="20"/>
      <c r="AA220" s="20"/>
      <c r="AB220" s="20"/>
      <c r="AC220" s="20"/>
      <c r="AD220" s="20"/>
      <c r="AE220" s="20"/>
      <c r="AF220" s="9">
        <f t="shared" si="497"/>
        <v>0</v>
      </c>
      <c r="AG220" s="20"/>
      <c r="AH220" s="25">
        <v>238650</v>
      </c>
      <c r="AI220" s="25">
        <v>601400</v>
      </c>
      <c r="AJ220" s="24"/>
      <c r="AK220" s="20">
        <v>630000</v>
      </c>
      <c r="AL220" s="20"/>
      <c r="AM220" s="20"/>
      <c r="AN220" s="20"/>
      <c r="AO220" s="21">
        <f t="shared" si="498"/>
        <v>1470050</v>
      </c>
      <c r="AP220" s="25">
        <v>0</v>
      </c>
      <c r="AQ220" s="20">
        <f>850500+196000</f>
        <v>1046500</v>
      </c>
      <c r="AR220" s="20">
        <v>1234500</v>
      </c>
      <c r="AS220" s="20"/>
      <c r="AT220" s="20"/>
      <c r="AU220" s="21">
        <f t="shared" si="499"/>
        <v>2281000</v>
      </c>
      <c r="AV220" s="25"/>
      <c r="AW220" s="20"/>
      <c r="AX220" s="20"/>
      <c r="AY220" s="20"/>
      <c r="AZ220" s="20"/>
      <c r="BA220" s="21">
        <f t="shared" si="500"/>
        <v>0</v>
      </c>
      <c r="BB220" s="25"/>
      <c r="BC220" s="25"/>
      <c r="BD220" s="25"/>
      <c r="BE220" s="25"/>
      <c r="BF220" s="20"/>
      <c r="BG220" s="20"/>
      <c r="BH220" s="20"/>
      <c r="BI220" s="20"/>
      <c r="BJ220" s="21">
        <f t="shared" si="501"/>
        <v>0</v>
      </c>
      <c r="BK220" s="4">
        <f t="shared" si="502"/>
        <v>0</v>
      </c>
      <c r="BL220" s="4">
        <f t="shared" si="503"/>
        <v>393650</v>
      </c>
      <c r="BM220" s="4">
        <f t="shared" si="504"/>
        <v>689400</v>
      </c>
      <c r="BN220" s="4">
        <f t="shared" si="505"/>
        <v>0</v>
      </c>
      <c r="BO220" s="94">
        <f t="shared" si="506"/>
        <v>1676500</v>
      </c>
      <c r="BP220" s="94">
        <f t="shared" si="507"/>
        <v>1234500</v>
      </c>
      <c r="BQ220" s="94">
        <f t="shared" si="508"/>
        <v>0</v>
      </c>
      <c r="BR220" s="94">
        <f t="shared" si="509"/>
        <v>0</v>
      </c>
      <c r="BS220" s="9">
        <f t="shared" si="510"/>
        <v>3994050</v>
      </c>
    </row>
    <row r="221" spans="1:71">
      <c r="A221" s="186"/>
      <c r="B221" s="8">
        <v>7</v>
      </c>
      <c r="C221" s="1" t="s">
        <v>373</v>
      </c>
      <c r="D221" s="4" t="s">
        <v>374</v>
      </c>
      <c r="E221" s="4" t="s">
        <v>23</v>
      </c>
      <c r="F221" s="4"/>
      <c r="G221" s="4">
        <v>719000</v>
      </c>
      <c r="H221" s="4">
        <f>282000+188000+80500+85000+80000</f>
        <v>715500</v>
      </c>
      <c r="I221" s="4">
        <v>673500</v>
      </c>
      <c r="J221" s="4">
        <f>181500+186000+186000+186000+121500</f>
        <v>861000</v>
      </c>
      <c r="K221" s="4">
        <f>848500+180000+90000</f>
        <v>1118500</v>
      </c>
      <c r="L221" s="4">
        <v>1065000</v>
      </c>
      <c r="M221" s="4">
        <v>861500</v>
      </c>
      <c r="N221" s="9">
        <f t="shared" si="495"/>
        <v>6014000</v>
      </c>
      <c r="O221" s="4"/>
      <c r="P221" s="4"/>
      <c r="Q221" s="4"/>
      <c r="R221" s="4"/>
      <c r="S221" s="4"/>
      <c r="T221" s="4"/>
      <c r="U221" s="4"/>
      <c r="V221" s="4"/>
      <c r="W221" s="9">
        <f t="shared" si="496"/>
        <v>0</v>
      </c>
      <c r="X221" s="20"/>
      <c r="Y221" s="20"/>
      <c r="Z221" s="20"/>
      <c r="AA221" s="20"/>
      <c r="AB221" s="20"/>
      <c r="AC221" s="20"/>
      <c r="AD221" s="20"/>
      <c r="AE221" s="20"/>
      <c r="AF221" s="9">
        <f t="shared" si="497"/>
        <v>0</v>
      </c>
      <c r="AG221" s="20"/>
      <c r="AH221" s="20"/>
      <c r="AI221" s="20"/>
      <c r="AJ221" s="20"/>
      <c r="AK221" s="20"/>
      <c r="AL221" s="20"/>
      <c r="AM221" s="20"/>
      <c r="AN221" s="20"/>
      <c r="AO221" s="21">
        <f t="shared" si="498"/>
        <v>0</v>
      </c>
      <c r="AP221" s="25">
        <v>0</v>
      </c>
      <c r="AQ221" s="20"/>
      <c r="AR221" s="20"/>
      <c r="AS221" s="20"/>
      <c r="AT221" s="20"/>
      <c r="AU221" s="21">
        <f t="shared" si="499"/>
        <v>0</v>
      </c>
      <c r="AV221" s="25"/>
      <c r="AW221" s="20"/>
      <c r="AX221" s="20"/>
      <c r="AY221" s="20"/>
      <c r="AZ221" s="20"/>
      <c r="BA221" s="21">
        <f t="shared" si="500"/>
        <v>0</v>
      </c>
      <c r="BB221" s="25"/>
      <c r="BC221" s="25">
        <v>100000</v>
      </c>
      <c r="BD221" s="25">
        <v>257600</v>
      </c>
      <c r="BE221" s="25"/>
      <c r="BF221" s="20"/>
      <c r="BG221" s="20"/>
      <c r="BH221" s="20"/>
      <c r="BI221" s="20"/>
      <c r="BJ221" s="21">
        <f t="shared" si="501"/>
        <v>357600</v>
      </c>
      <c r="BK221" s="4">
        <f t="shared" si="502"/>
        <v>0</v>
      </c>
      <c r="BL221" s="4">
        <f t="shared" si="503"/>
        <v>819000</v>
      </c>
      <c r="BM221" s="4">
        <f t="shared" si="504"/>
        <v>973100</v>
      </c>
      <c r="BN221" s="4">
        <f t="shared" si="505"/>
        <v>673500</v>
      </c>
      <c r="BO221" s="94">
        <f t="shared" si="506"/>
        <v>861000</v>
      </c>
      <c r="BP221" s="94">
        <f t="shared" si="507"/>
        <v>1118500</v>
      </c>
      <c r="BQ221" s="94">
        <f t="shared" si="508"/>
        <v>1065000</v>
      </c>
      <c r="BR221" s="94">
        <f t="shared" si="509"/>
        <v>861500</v>
      </c>
      <c r="BS221" s="9">
        <f t="shared" si="510"/>
        <v>6371600</v>
      </c>
    </row>
    <row r="222" spans="1:71">
      <c r="A222" s="186"/>
      <c r="B222" s="8">
        <v>8</v>
      </c>
      <c r="C222" s="1" t="s">
        <v>375</v>
      </c>
      <c r="D222" s="4" t="s">
        <v>376</v>
      </c>
      <c r="E222" s="4" t="s">
        <v>23</v>
      </c>
      <c r="F222" s="4"/>
      <c r="G222" s="4">
        <v>155000</v>
      </c>
      <c r="H222" s="4">
        <f>96000+48000</f>
        <v>144000</v>
      </c>
      <c r="I222" s="4">
        <f>68000+58000</f>
        <v>126000</v>
      </c>
      <c r="J222" s="4"/>
      <c r="K222" s="4"/>
      <c r="L222" s="4"/>
      <c r="M222" s="4"/>
      <c r="N222" s="9">
        <f t="shared" si="495"/>
        <v>425000</v>
      </c>
      <c r="O222" s="4"/>
      <c r="P222" s="4"/>
      <c r="Q222" s="4"/>
      <c r="R222" s="4"/>
      <c r="S222" s="4"/>
      <c r="T222" s="4"/>
      <c r="U222" s="4"/>
      <c r="V222" s="4"/>
      <c r="W222" s="9">
        <f t="shared" si="496"/>
        <v>0</v>
      </c>
      <c r="X222" s="20"/>
      <c r="Y222" s="20"/>
      <c r="Z222" s="20"/>
      <c r="AA222" s="20"/>
      <c r="AB222" s="20"/>
      <c r="AC222" s="20"/>
      <c r="AD222" s="20"/>
      <c r="AE222" s="20"/>
      <c r="AF222" s="9">
        <f t="shared" si="497"/>
        <v>0</v>
      </c>
      <c r="AG222" s="20"/>
      <c r="AH222" s="20">
        <v>195000</v>
      </c>
      <c r="AI222" s="25">
        <v>267300</v>
      </c>
      <c r="AJ222" s="24">
        <v>262000</v>
      </c>
      <c r="AK222" s="20"/>
      <c r="AL222" s="20"/>
      <c r="AM222" s="20"/>
      <c r="AN222" s="20"/>
      <c r="AO222" s="21">
        <f t="shared" si="498"/>
        <v>724300</v>
      </c>
      <c r="AP222" s="25">
        <v>910500</v>
      </c>
      <c r="AQ222" s="20">
        <f>306500+310500+312000+312000+208000</f>
        <v>1449000</v>
      </c>
      <c r="AR222" s="20">
        <f>1365500+308000+154000</f>
        <v>1827500</v>
      </c>
      <c r="AS222" s="20">
        <v>1854000</v>
      </c>
      <c r="AT222" s="20">
        <v>1716000</v>
      </c>
      <c r="AU222" s="21">
        <f t="shared" si="499"/>
        <v>7757000</v>
      </c>
      <c r="AV222" s="25"/>
      <c r="AW222" s="20"/>
      <c r="AX222" s="20"/>
      <c r="AY222" s="20"/>
      <c r="AZ222" s="20"/>
      <c r="BA222" s="21">
        <f t="shared" si="500"/>
        <v>0</v>
      </c>
      <c r="BB222" s="25"/>
      <c r="BC222" s="25">
        <v>100000</v>
      </c>
      <c r="BD222" s="25">
        <v>230000</v>
      </c>
      <c r="BE222" s="25">
        <v>145000</v>
      </c>
      <c r="BF222" s="20"/>
      <c r="BG222" s="20"/>
      <c r="BH222" s="20"/>
      <c r="BI222" s="20"/>
      <c r="BJ222" s="21">
        <f t="shared" si="501"/>
        <v>475000</v>
      </c>
      <c r="BK222" s="4">
        <f t="shared" si="502"/>
        <v>0</v>
      </c>
      <c r="BL222" s="4">
        <f t="shared" si="503"/>
        <v>450000</v>
      </c>
      <c r="BM222" s="4">
        <f t="shared" si="504"/>
        <v>641300</v>
      </c>
      <c r="BN222" s="4">
        <f t="shared" si="505"/>
        <v>1443500</v>
      </c>
      <c r="BO222" s="94">
        <f t="shared" si="506"/>
        <v>1449000</v>
      </c>
      <c r="BP222" s="94">
        <f t="shared" si="507"/>
        <v>1827500</v>
      </c>
      <c r="BQ222" s="94">
        <f t="shared" si="508"/>
        <v>1854000</v>
      </c>
      <c r="BR222" s="94">
        <f t="shared" si="509"/>
        <v>1716000</v>
      </c>
      <c r="BS222" s="9">
        <f t="shared" si="510"/>
        <v>9381300</v>
      </c>
    </row>
    <row r="223" spans="1:71" ht="31.5">
      <c r="A223" s="186"/>
      <c r="B223" s="8">
        <v>9</v>
      </c>
      <c r="C223" s="1" t="s">
        <v>472</v>
      </c>
      <c r="D223" s="4" t="s">
        <v>378</v>
      </c>
      <c r="E223" s="4" t="s">
        <v>23</v>
      </c>
      <c r="F223" s="4"/>
      <c r="G223" s="4">
        <v>529000</v>
      </c>
      <c r="H223" s="4">
        <v>330000</v>
      </c>
      <c r="I223" s="4"/>
      <c r="J223" s="4"/>
      <c r="K223" s="4"/>
      <c r="L223" s="4"/>
      <c r="M223" s="4"/>
      <c r="N223" s="9">
        <f t="shared" si="495"/>
        <v>859000</v>
      </c>
      <c r="O223" s="4"/>
      <c r="P223" s="4"/>
      <c r="Q223" s="4"/>
      <c r="R223" s="4"/>
      <c r="S223" s="4"/>
      <c r="T223" s="4"/>
      <c r="U223" s="4"/>
      <c r="V223" s="4"/>
      <c r="W223" s="9">
        <f t="shared" si="496"/>
        <v>0</v>
      </c>
      <c r="X223" s="20"/>
      <c r="Y223" s="20"/>
      <c r="Z223" s="4">
        <v>290000</v>
      </c>
      <c r="AA223" s="23"/>
      <c r="AB223" s="23"/>
      <c r="AC223" s="23"/>
      <c r="AD223" s="23"/>
      <c r="AE223" s="23"/>
      <c r="AF223" s="9">
        <f t="shared" si="497"/>
        <v>290000</v>
      </c>
      <c r="AG223" s="20"/>
      <c r="AH223" s="25">
        <v>787400</v>
      </c>
      <c r="AI223" s="25">
        <v>518950</v>
      </c>
      <c r="AJ223" s="25"/>
      <c r="AK223" s="20"/>
      <c r="AL223" s="20"/>
      <c r="AM223" s="20"/>
      <c r="AN223" s="20"/>
      <c r="AO223" s="21">
        <f t="shared" si="498"/>
        <v>1306350</v>
      </c>
      <c r="AP223" s="25">
        <v>0</v>
      </c>
      <c r="AQ223" s="20">
        <f>525000+315000+315000+315000+210000</f>
        <v>1680000</v>
      </c>
      <c r="AR223" s="20">
        <f>1445782+312000+156000</f>
        <v>1913782</v>
      </c>
      <c r="AS223" s="20">
        <v>1560000</v>
      </c>
      <c r="AT223" s="20">
        <v>2028000</v>
      </c>
      <c r="AU223" s="21">
        <f t="shared" si="499"/>
        <v>7181782</v>
      </c>
      <c r="AV223" s="25"/>
      <c r="AW223" s="20"/>
      <c r="AX223" s="20"/>
      <c r="AY223" s="20"/>
      <c r="AZ223" s="20"/>
      <c r="BA223" s="21">
        <f t="shared" si="500"/>
        <v>0</v>
      </c>
      <c r="BB223" s="25"/>
      <c r="BC223" s="25"/>
      <c r="BD223" s="25"/>
      <c r="BE223" s="25"/>
      <c r="BF223" s="20"/>
      <c r="BG223" s="20"/>
      <c r="BH223" s="20"/>
      <c r="BI223" s="20"/>
      <c r="BJ223" s="21">
        <f t="shared" si="501"/>
        <v>0</v>
      </c>
      <c r="BK223" s="4">
        <f t="shared" si="502"/>
        <v>0</v>
      </c>
      <c r="BL223" s="4">
        <f t="shared" si="503"/>
        <v>1316400</v>
      </c>
      <c r="BM223" s="4">
        <f t="shared" si="504"/>
        <v>1138950</v>
      </c>
      <c r="BN223" s="4">
        <f t="shared" si="505"/>
        <v>0</v>
      </c>
      <c r="BO223" s="94">
        <f t="shared" si="506"/>
        <v>1680000</v>
      </c>
      <c r="BP223" s="94">
        <f t="shared" si="507"/>
        <v>1913782</v>
      </c>
      <c r="BQ223" s="94">
        <f t="shared" si="508"/>
        <v>1560000</v>
      </c>
      <c r="BR223" s="94">
        <f t="shared" si="509"/>
        <v>2028000</v>
      </c>
      <c r="BS223" s="9">
        <f t="shared" si="510"/>
        <v>9637132</v>
      </c>
    </row>
    <row r="224" spans="1:71">
      <c r="A224" s="186"/>
      <c r="B224" s="8">
        <v>10</v>
      </c>
      <c r="C224" s="40" t="s">
        <v>379</v>
      </c>
      <c r="D224" s="41" t="s">
        <v>380</v>
      </c>
      <c r="E224" s="4" t="s">
        <v>23</v>
      </c>
      <c r="F224" s="4"/>
      <c r="G224" s="4"/>
      <c r="H224" s="4"/>
      <c r="I224" s="4"/>
      <c r="J224" s="4"/>
      <c r="K224" s="4"/>
      <c r="L224" s="4"/>
      <c r="M224" s="4"/>
      <c r="N224" s="9">
        <f t="shared" si="495"/>
        <v>0</v>
      </c>
      <c r="O224" s="76">
        <v>290000</v>
      </c>
      <c r="P224" s="76">
        <f>1200000+70000</f>
        <v>1270000</v>
      </c>
      <c r="Q224" s="76">
        <f>910000-60000</f>
        <v>850000</v>
      </c>
      <c r="R224" s="76">
        <v>835000</v>
      </c>
      <c r="S224" s="4">
        <f>195000+130000+65000+195000+195000+130000</f>
        <v>910000</v>
      </c>
      <c r="T224" s="4">
        <f>1235000+520000</f>
        <v>1755000</v>
      </c>
      <c r="U224" s="4">
        <f>420000+280000+140000+140000+280000+140000+140000</f>
        <v>1540000</v>
      </c>
      <c r="V224" s="4">
        <f>280000+140000+140000+280000+420000</f>
        <v>1260000</v>
      </c>
      <c r="W224" s="9">
        <f t="shared" si="496"/>
        <v>8710000</v>
      </c>
      <c r="X224" s="20"/>
      <c r="Y224" s="20"/>
      <c r="Z224" s="20"/>
      <c r="AA224" s="20"/>
      <c r="AB224" s="20"/>
      <c r="AC224" s="20"/>
      <c r="AD224" s="20"/>
      <c r="AE224" s="20"/>
      <c r="AF224" s="9">
        <f t="shared" si="497"/>
        <v>0</v>
      </c>
      <c r="AG224" s="20"/>
      <c r="AH224" s="25"/>
      <c r="AI224" s="20"/>
      <c r="AJ224" s="20"/>
      <c r="AK224" s="20"/>
      <c r="AL224" s="20"/>
      <c r="AM224" s="20"/>
      <c r="AN224" s="20"/>
      <c r="AO224" s="21">
        <f t="shared" si="498"/>
        <v>0</v>
      </c>
      <c r="AP224" s="25">
        <v>0</v>
      </c>
      <c r="AQ224" s="20"/>
      <c r="AR224" s="20"/>
      <c r="AS224" s="20"/>
      <c r="AT224" s="20"/>
      <c r="AU224" s="21">
        <f t="shared" si="499"/>
        <v>0</v>
      </c>
      <c r="AV224" s="25"/>
      <c r="AW224" s="20"/>
      <c r="AX224" s="20"/>
      <c r="AY224" s="20"/>
      <c r="AZ224" s="20"/>
      <c r="BA224" s="21">
        <f t="shared" si="500"/>
        <v>0</v>
      </c>
      <c r="BB224" s="25"/>
      <c r="BC224" s="25"/>
      <c r="BD224" s="25">
        <f>330000</f>
        <v>330000</v>
      </c>
      <c r="BE224" s="25"/>
      <c r="BF224" s="20"/>
      <c r="BG224" s="20"/>
      <c r="BH224" s="20"/>
      <c r="BI224" s="20"/>
      <c r="BJ224" s="21">
        <f t="shared" si="501"/>
        <v>330000</v>
      </c>
      <c r="BK224" s="4">
        <f t="shared" si="502"/>
        <v>290000</v>
      </c>
      <c r="BL224" s="4">
        <f t="shared" si="503"/>
        <v>1270000</v>
      </c>
      <c r="BM224" s="4">
        <f t="shared" si="504"/>
        <v>1180000</v>
      </c>
      <c r="BN224" s="4">
        <f t="shared" si="505"/>
        <v>835000</v>
      </c>
      <c r="BO224" s="94">
        <f t="shared" si="506"/>
        <v>910000</v>
      </c>
      <c r="BP224" s="94">
        <f t="shared" si="507"/>
        <v>1755000</v>
      </c>
      <c r="BQ224" s="94">
        <f t="shared" si="508"/>
        <v>1540000</v>
      </c>
      <c r="BR224" s="94">
        <f t="shared" si="509"/>
        <v>1260000</v>
      </c>
      <c r="BS224" s="9">
        <f t="shared" si="510"/>
        <v>9040000</v>
      </c>
    </row>
    <row r="225" spans="1:71" ht="31.5">
      <c r="A225" s="186"/>
      <c r="B225" s="8">
        <v>11</v>
      </c>
      <c r="C225" s="1" t="s">
        <v>383</v>
      </c>
      <c r="D225" s="4" t="s">
        <v>380</v>
      </c>
      <c r="E225" s="4" t="s">
        <v>23</v>
      </c>
      <c r="F225" s="4">
        <v>155000</v>
      </c>
      <c r="G225" s="4">
        <v>498500</v>
      </c>
      <c r="H225" s="4">
        <f>60500+126500+137500+258500+88000</f>
        <v>671000</v>
      </c>
      <c r="I225" s="4">
        <v>491000</v>
      </c>
      <c r="J225" s="4">
        <f>374500+182000+178500+192500+129500</f>
        <v>1057000</v>
      </c>
      <c r="K225" s="4">
        <f>905200+188000+93000</f>
        <v>1186200</v>
      </c>
      <c r="L225" s="4">
        <v>1142145</v>
      </c>
      <c r="M225" s="4">
        <v>1210000</v>
      </c>
      <c r="N225" s="9">
        <f t="shared" si="495"/>
        <v>6410845</v>
      </c>
      <c r="O225" s="4"/>
      <c r="P225" s="4"/>
      <c r="Q225" s="4"/>
      <c r="R225" s="4"/>
      <c r="S225" s="4"/>
      <c r="T225" s="4"/>
      <c r="U225" s="4"/>
      <c r="V225" s="4"/>
      <c r="W225" s="9">
        <f t="shared" si="496"/>
        <v>0</v>
      </c>
      <c r="X225" s="20"/>
      <c r="Y225" s="20"/>
      <c r="Z225" s="20"/>
      <c r="AA225" s="20"/>
      <c r="AB225" s="20"/>
      <c r="AC225" s="20"/>
      <c r="AD225" s="20"/>
      <c r="AE225" s="20"/>
      <c r="AF225" s="9">
        <f t="shared" si="497"/>
        <v>0</v>
      </c>
      <c r="AG225" s="20"/>
      <c r="AH225" s="20"/>
      <c r="AI225" s="20"/>
      <c r="AJ225" s="20"/>
      <c r="AK225" s="20"/>
      <c r="AL225" s="20"/>
      <c r="AM225" s="20"/>
      <c r="AN225" s="20"/>
      <c r="AO225" s="21">
        <f t="shared" si="498"/>
        <v>0</v>
      </c>
      <c r="AP225" s="25">
        <v>0</v>
      </c>
      <c r="AQ225" s="20"/>
      <c r="AR225" s="20"/>
      <c r="AS225" s="20"/>
      <c r="AT225" s="20"/>
      <c r="AU225" s="21">
        <f t="shared" si="499"/>
        <v>0</v>
      </c>
      <c r="AV225" s="25"/>
      <c r="AW225" s="20"/>
      <c r="AX225" s="20"/>
      <c r="AY225" s="20"/>
      <c r="AZ225" s="20"/>
      <c r="BA225" s="21">
        <f t="shared" si="500"/>
        <v>0</v>
      </c>
      <c r="BB225" s="25"/>
      <c r="BC225" s="25"/>
      <c r="BD225" s="25"/>
      <c r="BE225" s="25"/>
      <c r="BF225" s="20"/>
      <c r="BG225" s="20"/>
      <c r="BH225" s="20"/>
      <c r="BI225" s="20"/>
      <c r="BJ225" s="21">
        <f t="shared" si="501"/>
        <v>0</v>
      </c>
      <c r="BK225" s="4">
        <f t="shared" si="502"/>
        <v>155000</v>
      </c>
      <c r="BL225" s="4">
        <f t="shared" si="503"/>
        <v>498500</v>
      </c>
      <c r="BM225" s="4">
        <f t="shared" si="504"/>
        <v>671000</v>
      </c>
      <c r="BN225" s="4">
        <f t="shared" si="505"/>
        <v>491000</v>
      </c>
      <c r="BO225" s="94">
        <f t="shared" si="506"/>
        <v>1057000</v>
      </c>
      <c r="BP225" s="94">
        <f t="shared" si="507"/>
        <v>1186200</v>
      </c>
      <c r="BQ225" s="94">
        <f t="shared" si="508"/>
        <v>1142145</v>
      </c>
      <c r="BR225" s="94">
        <f t="shared" si="509"/>
        <v>1210000</v>
      </c>
      <c r="BS225" s="9">
        <f t="shared" si="510"/>
        <v>6410845</v>
      </c>
    </row>
    <row r="226" spans="1:71" ht="18.75">
      <c r="A226" s="186"/>
      <c r="B226" s="8">
        <v>12</v>
      </c>
      <c r="C226" s="1" t="s">
        <v>384</v>
      </c>
      <c r="D226" s="91" t="s">
        <v>427</v>
      </c>
      <c r="E226" s="4" t="s">
        <v>23</v>
      </c>
      <c r="F226" s="4"/>
      <c r="G226" s="4"/>
      <c r="H226" s="4"/>
      <c r="I226" s="4"/>
      <c r="J226" s="4"/>
      <c r="K226" s="4"/>
      <c r="L226" s="4"/>
      <c r="M226" s="4"/>
      <c r="N226" s="9">
        <f t="shared" si="495"/>
        <v>0</v>
      </c>
      <c r="O226" s="4"/>
      <c r="P226" s="4"/>
      <c r="Q226" s="4"/>
      <c r="R226" s="4"/>
      <c r="S226" s="4"/>
      <c r="T226" s="4"/>
      <c r="U226" s="4"/>
      <c r="V226" s="4"/>
      <c r="W226" s="9">
        <f t="shared" si="496"/>
        <v>0</v>
      </c>
      <c r="X226" s="20"/>
      <c r="Y226" s="20"/>
      <c r="Z226" s="20"/>
      <c r="AA226" s="20"/>
      <c r="AB226" s="20"/>
      <c r="AC226" s="20"/>
      <c r="AD226" s="20"/>
      <c r="AE226" s="20"/>
      <c r="AF226" s="9">
        <f t="shared" si="497"/>
        <v>0</v>
      </c>
      <c r="AG226" s="20"/>
      <c r="AH226" s="20"/>
      <c r="AI226" s="20">
        <v>227000</v>
      </c>
      <c r="AJ226" s="20">
        <v>344000</v>
      </c>
      <c r="AK226" s="20">
        <f>500500+112000</f>
        <v>612500</v>
      </c>
      <c r="AL226" s="20">
        <f>692500+138600+69300</f>
        <v>900400</v>
      </c>
      <c r="AM226" s="20">
        <v>1168250</v>
      </c>
      <c r="AN226" s="20">
        <v>1474800</v>
      </c>
      <c r="AO226" s="21">
        <f t="shared" si="498"/>
        <v>4726950</v>
      </c>
      <c r="AP226" s="25"/>
      <c r="AQ226" s="20"/>
      <c r="AR226" s="20"/>
      <c r="AS226" s="20"/>
      <c r="AT226" s="20"/>
      <c r="AU226" s="21">
        <f t="shared" si="499"/>
        <v>0</v>
      </c>
      <c r="AV226" s="25"/>
      <c r="AW226" s="20"/>
      <c r="AX226" s="20"/>
      <c r="AY226" s="20"/>
      <c r="AZ226" s="20"/>
      <c r="BA226" s="21">
        <f t="shared" si="500"/>
        <v>0</v>
      </c>
      <c r="BB226" s="25"/>
      <c r="BC226" s="25"/>
      <c r="BD226" s="25"/>
      <c r="BE226" s="25"/>
      <c r="BF226" s="20"/>
      <c r="BG226" s="20"/>
      <c r="BH226" s="20"/>
      <c r="BI226" s="20"/>
      <c r="BJ226" s="21">
        <f t="shared" si="501"/>
        <v>0</v>
      </c>
      <c r="BK226" s="4">
        <f t="shared" si="502"/>
        <v>0</v>
      </c>
      <c r="BL226" s="4">
        <f t="shared" si="503"/>
        <v>0</v>
      </c>
      <c r="BM226" s="4">
        <f t="shared" si="504"/>
        <v>227000</v>
      </c>
      <c r="BN226" s="4">
        <f t="shared" si="505"/>
        <v>344000</v>
      </c>
      <c r="BO226" s="94">
        <f t="shared" si="506"/>
        <v>612500</v>
      </c>
      <c r="BP226" s="94">
        <f t="shared" si="507"/>
        <v>900400</v>
      </c>
      <c r="BQ226" s="94">
        <f t="shared" si="508"/>
        <v>1168250</v>
      </c>
      <c r="BR226" s="94">
        <f t="shared" si="509"/>
        <v>1474800</v>
      </c>
      <c r="BS226" s="9">
        <f t="shared" si="510"/>
        <v>4726950</v>
      </c>
    </row>
    <row r="227" spans="1:71">
      <c r="A227" s="187"/>
      <c r="B227" s="8">
        <v>13</v>
      </c>
      <c r="C227" s="1" t="s">
        <v>385</v>
      </c>
      <c r="D227" s="4" t="s">
        <v>386</v>
      </c>
      <c r="E227" s="4" t="s">
        <v>23</v>
      </c>
      <c r="F227" s="4"/>
      <c r="G227" s="4">
        <v>155000</v>
      </c>
      <c r="H227" s="4"/>
      <c r="I227" s="4"/>
      <c r="J227" s="4"/>
      <c r="K227" s="4"/>
      <c r="L227" s="4"/>
      <c r="M227" s="4"/>
      <c r="N227" s="9">
        <f t="shared" si="495"/>
        <v>155000</v>
      </c>
      <c r="O227" s="4"/>
      <c r="P227" s="4"/>
      <c r="Q227" s="4"/>
      <c r="R227" s="4"/>
      <c r="S227" s="4"/>
      <c r="T227" s="4"/>
      <c r="U227" s="4"/>
      <c r="V227" s="4"/>
      <c r="W227" s="9">
        <f t="shared" si="496"/>
        <v>0</v>
      </c>
      <c r="X227" s="20"/>
      <c r="Y227" s="20"/>
      <c r="Z227" s="20"/>
      <c r="AA227" s="20"/>
      <c r="AB227" s="20"/>
      <c r="AC227" s="20"/>
      <c r="AD227" s="20"/>
      <c r="AE227" s="20"/>
      <c r="AF227" s="9">
        <f t="shared" si="497"/>
        <v>0</v>
      </c>
      <c r="AG227" s="20"/>
      <c r="AH227" s="20"/>
      <c r="AI227" s="20"/>
      <c r="AJ227" s="20"/>
      <c r="AK227" s="20"/>
      <c r="AL227" s="20"/>
      <c r="AM227" s="20"/>
      <c r="AN227" s="20"/>
      <c r="AO227" s="21">
        <f t="shared" si="498"/>
        <v>0</v>
      </c>
      <c r="AP227" s="25">
        <v>0</v>
      </c>
      <c r="AQ227" s="20"/>
      <c r="AR227" s="20"/>
      <c r="AS227" s="20"/>
      <c r="AT227" s="20"/>
      <c r="AU227" s="21">
        <f t="shared" si="499"/>
        <v>0</v>
      </c>
      <c r="AV227" s="25"/>
      <c r="AW227" s="20"/>
      <c r="AX227" s="20"/>
      <c r="AY227" s="20"/>
      <c r="AZ227" s="20"/>
      <c r="BA227" s="21">
        <f t="shared" si="500"/>
        <v>0</v>
      </c>
      <c r="BB227" s="25"/>
      <c r="BC227" s="25"/>
      <c r="BD227" s="25"/>
      <c r="BE227" s="25"/>
      <c r="BF227" s="20"/>
      <c r="BG227" s="20"/>
      <c r="BH227" s="20"/>
      <c r="BI227" s="20"/>
      <c r="BJ227" s="21">
        <f t="shared" si="501"/>
        <v>0</v>
      </c>
      <c r="BK227" s="4">
        <f t="shared" si="502"/>
        <v>0</v>
      </c>
      <c r="BL227" s="4">
        <f t="shared" si="503"/>
        <v>155000</v>
      </c>
      <c r="BM227" s="4">
        <f t="shared" si="504"/>
        <v>0</v>
      </c>
      <c r="BN227" s="4">
        <f t="shared" si="505"/>
        <v>0</v>
      </c>
      <c r="BO227" s="94">
        <f t="shared" si="506"/>
        <v>0</v>
      </c>
      <c r="BP227" s="94">
        <f t="shared" si="507"/>
        <v>0</v>
      </c>
      <c r="BQ227" s="94">
        <f t="shared" si="508"/>
        <v>0</v>
      </c>
      <c r="BR227" s="94">
        <f t="shared" si="509"/>
        <v>0</v>
      </c>
      <c r="BS227" s="9">
        <f t="shared" si="510"/>
        <v>155000</v>
      </c>
    </row>
    <row r="228" spans="1:71" s="38" customFormat="1">
      <c r="A228" s="34"/>
      <c r="B228" s="34"/>
      <c r="C228" s="35" t="s">
        <v>387</v>
      </c>
      <c r="D228" s="37"/>
      <c r="E228" s="37"/>
      <c r="F228" s="37">
        <f>SUM(F215:F227)</f>
        <v>155000</v>
      </c>
      <c r="G228" s="37">
        <f t="shared" ref="G228:BO228" si="511">SUM(G215:G227)</f>
        <v>3068447</v>
      </c>
      <c r="H228" s="37">
        <f t="shared" si="511"/>
        <v>3114500</v>
      </c>
      <c r="I228" s="37">
        <f t="shared" si="511"/>
        <v>1622500</v>
      </c>
      <c r="J228" s="37">
        <f t="shared" si="511"/>
        <v>3446000</v>
      </c>
      <c r="K228" s="37">
        <f t="shared" si="511"/>
        <v>3461116</v>
      </c>
      <c r="L228" s="37">
        <f t="shared" si="511"/>
        <v>3287145</v>
      </c>
      <c r="M228" s="37">
        <f t="shared" ref="M228" si="512">SUM(M215:M227)</f>
        <v>3185000</v>
      </c>
      <c r="N228" s="37">
        <f t="shared" si="511"/>
        <v>21339708</v>
      </c>
      <c r="O228" s="37">
        <f t="shared" si="511"/>
        <v>290000</v>
      </c>
      <c r="P228" s="37">
        <f t="shared" si="511"/>
        <v>1270000</v>
      </c>
      <c r="Q228" s="37">
        <f t="shared" si="511"/>
        <v>850000</v>
      </c>
      <c r="R228" s="37">
        <f t="shared" si="511"/>
        <v>835000</v>
      </c>
      <c r="S228" s="37">
        <f t="shared" si="511"/>
        <v>910000</v>
      </c>
      <c r="T228" s="37">
        <f t="shared" si="511"/>
        <v>1755000</v>
      </c>
      <c r="U228" s="37">
        <f t="shared" si="511"/>
        <v>1540000</v>
      </c>
      <c r="V228" s="37">
        <f t="shared" ref="V228" si="513">SUM(V215:V227)</f>
        <v>1260000</v>
      </c>
      <c r="W228" s="37">
        <f t="shared" si="511"/>
        <v>8710000</v>
      </c>
      <c r="X228" s="37">
        <f t="shared" si="511"/>
        <v>0</v>
      </c>
      <c r="Y228" s="37">
        <f t="shared" si="511"/>
        <v>0</v>
      </c>
      <c r="Z228" s="37">
        <f t="shared" si="511"/>
        <v>290000</v>
      </c>
      <c r="AA228" s="37">
        <f t="shared" si="511"/>
        <v>0</v>
      </c>
      <c r="AB228" s="37">
        <f t="shared" si="511"/>
        <v>0</v>
      </c>
      <c r="AC228" s="37">
        <f t="shared" si="511"/>
        <v>0</v>
      </c>
      <c r="AD228" s="37">
        <f t="shared" si="511"/>
        <v>0</v>
      </c>
      <c r="AE228" s="37">
        <f t="shared" ref="AE228" si="514">SUM(AE215:AE227)</f>
        <v>0</v>
      </c>
      <c r="AF228" s="37">
        <f t="shared" si="511"/>
        <v>290000</v>
      </c>
      <c r="AG228" s="37">
        <f t="shared" si="511"/>
        <v>195000</v>
      </c>
      <c r="AH228" s="37">
        <f t="shared" si="511"/>
        <v>3131550</v>
      </c>
      <c r="AI228" s="37">
        <f t="shared" si="511"/>
        <v>3591300</v>
      </c>
      <c r="AJ228" s="37">
        <f t="shared" si="511"/>
        <v>1146000</v>
      </c>
      <c r="AK228" s="37">
        <f t="shared" si="511"/>
        <v>1242500</v>
      </c>
      <c r="AL228" s="37">
        <f t="shared" si="511"/>
        <v>900400</v>
      </c>
      <c r="AM228" s="37">
        <f t="shared" si="511"/>
        <v>1168250</v>
      </c>
      <c r="AN228" s="37">
        <f t="shared" ref="AN228" si="515">SUM(AN215:AN227)</f>
        <v>1474800</v>
      </c>
      <c r="AO228" s="37">
        <f t="shared" si="511"/>
        <v>12849800</v>
      </c>
      <c r="AP228" s="37">
        <f t="shared" si="511"/>
        <v>2571500</v>
      </c>
      <c r="AQ228" s="37">
        <f t="shared" si="511"/>
        <v>8873000</v>
      </c>
      <c r="AR228" s="37">
        <f t="shared" si="511"/>
        <v>9137082</v>
      </c>
      <c r="AS228" s="37">
        <f t="shared" si="511"/>
        <v>7860850</v>
      </c>
      <c r="AT228" s="37">
        <f t="shared" ref="AT228" si="516">SUM(AT215:AT227)</f>
        <v>8871200</v>
      </c>
      <c r="AU228" s="37">
        <f t="shared" si="511"/>
        <v>37313632</v>
      </c>
      <c r="AV228" s="37">
        <f t="shared" si="511"/>
        <v>0</v>
      </c>
      <c r="AW228" s="37">
        <f t="shared" si="511"/>
        <v>0</v>
      </c>
      <c r="AX228" s="37">
        <f t="shared" si="511"/>
        <v>0</v>
      </c>
      <c r="AY228" s="37">
        <f t="shared" si="511"/>
        <v>0</v>
      </c>
      <c r="AZ228" s="37">
        <f t="shared" ref="AZ228" si="517">SUM(AZ215:AZ227)</f>
        <v>0</v>
      </c>
      <c r="BA228" s="37">
        <f t="shared" si="511"/>
        <v>0</v>
      </c>
      <c r="BB228" s="37">
        <f t="shared" si="511"/>
        <v>0</v>
      </c>
      <c r="BC228" s="37">
        <f t="shared" si="511"/>
        <v>400000</v>
      </c>
      <c r="BD228" s="37">
        <f t="shared" si="511"/>
        <v>1687600</v>
      </c>
      <c r="BE228" s="37">
        <f t="shared" si="511"/>
        <v>270000</v>
      </c>
      <c r="BF228" s="37">
        <f t="shared" si="511"/>
        <v>0</v>
      </c>
      <c r="BG228" s="37">
        <f t="shared" si="511"/>
        <v>0</v>
      </c>
      <c r="BH228" s="37">
        <f t="shared" si="511"/>
        <v>0</v>
      </c>
      <c r="BI228" s="37">
        <f t="shared" ref="BI228" si="518">SUM(BI215:BI227)</f>
        <v>0</v>
      </c>
      <c r="BJ228" s="37">
        <f t="shared" si="511"/>
        <v>2357600</v>
      </c>
      <c r="BK228" s="37">
        <f t="shared" si="511"/>
        <v>640000</v>
      </c>
      <c r="BL228" s="37">
        <f t="shared" si="511"/>
        <v>7869997</v>
      </c>
      <c r="BM228" s="37">
        <f t="shared" si="511"/>
        <v>9533400</v>
      </c>
      <c r="BN228" s="37">
        <f t="shared" si="511"/>
        <v>6445000</v>
      </c>
      <c r="BO228" s="37">
        <f t="shared" si="511"/>
        <v>14471500</v>
      </c>
      <c r="BP228" s="144">
        <f>SUM(BP215:BP227)</f>
        <v>15253598</v>
      </c>
      <c r="BQ228" s="37">
        <f t="shared" ref="BQ228:BR228" si="519">SUM(BQ215:BQ227)</f>
        <v>13856245</v>
      </c>
      <c r="BR228" s="37">
        <f t="shared" si="519"/>
        <v>14791000</v>
      </c>
      <c r="BS228" s="37">
        <f>SUM(BS215:BS227)</f>
        <v>82860740</v>
      </c>
    </row>
    <row r="229" spans="1:71" s="14" customFormat="1">
      <c r="A229" s="65"/>
      <c r="B229" s="86"/>
      <c r="C229" s="66"/>
      <c r="D229" s="67"/>
      <c r="E229" s="67"/>
      <c r="F229" s="67"/>
      <c r="G229" s="67"/>
      <c r="H229" s="68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95"/>
      <c r="BP229" s="95"/>
      <c r="BQ229" s="95"/>
      <c r="BR229" s="95"/>
      <c r="BS229" s="155"/>
    </row>
    <row r="230" spans="1:71" s="16" customFormat="1" ht="16.5" thickBot="1">
      <c r="A230" s="15"/>
      <c r="B230" s="87"/>
      <c r="C230" s="19" t="s">
        <v>63</v>
      </c>
      <c r="D230" s="15"/>
      <c r="E230" s="15"/>
      <c r="F230" s="15">
        <f t="shared" ref="F230:AK230" si="520">F16+F21+F27+F30+F35+F45+F54+F63+F68+F71+F73+F84+F86+F118+F123+F127+F129+F131+F148+F151+F153+F159+F168+F174+F212+F214+F228</f>
        <v>5115000</v>
      </c>
      <c r="G230" s="15">
        <f t="shared" si="520"/>
        <v>31213052</v>
      </c>
      <c r="H230" s="15">
        <f t="shared" si="520"/>
        <v>33449181</v>
      </c>
      <c r="I230" s="15">
        <f t="shared" si="520"/>
        <v>16926000</v>
      </c>
      <c r="J230" s="15">
        <f t="shared" si="520"/>
        <v>12376000</v>
      </c>
      <c r="K230" s="15">
        <f t="shared" si="520"/>
        <v>15406301</v>
      </c>
      <c r="L230" s="15">
        <f t="shared" si="520"/>
        <v>15250735</v>
      </c>
      <c r="M230" s="15">
        <f t="shared" si="520"/>
        <v>18431611</v>
      </c>
      <c r="N230" s="15">
        <f t="shared" si="520"/>
        <v>148167880</v>
      </c>
      <c r="O230" s="15">
        <f t="shared" si="520"/>
        <v>3480000</v>
      </c>
      <c r="P230" s="15">
        <f t="shared" si="520"/>
        <v>36620000</v>
      </c>
      <c r="Q230" s="15">
        <f t="shared" si="520"/>
        <v>40371999</v>
      </c>
      <c r="R230" s="15">
        <f t="shared" si="520"/>
        <v>18123500</v>
      </c>
      <c r="S230" s="15">
        <f t="shared" si="520"/>
        <v>13675000</v>
      </c>
      <c r="T230" s="15">
        <f t="shared" si="520"/>
        <v>31550000</v>
      </c>
      <c r="U230" s="15">
        <f t="shared" si="520"/>
        <v>37320000</v>
      </c>
      <c r="V230" s="15">
        <f t="shared" si="520"/>
        <v>38700000</v>
      </c>
      <c r="W230" s="15">
        <f t="shared" si="520"/>
        <v>219840499</v>
      </c>
      <c r="X230" s="15">
        <f t="shared" si="520"/>
        <v>4060000</v>
      </c>
      <c r="Y230" s="15">
        <f t="shared" si="520"/>
        <v>24874479</v>
      </c>
      <c r="Z230" s="15">
        <f t="shared" si="520"/>
        <v>30501935</v>
      </c>
      <c r="AA230" s="15">
        <f t="shared" si="520"/>
        <v>11338000</v>
      </c>
      <c r="AB230" s="15">
        <f t="shared" si="520"/>
        <v>7805000</v>
      </c>
      <c r="AC230" s="15">
        <f t="shared" si="520"/>
        <v>12869000</v>
      </c>
      <c r="AD230" s="15">
        <f t="shared" si="520"/>
        <v>15301000</v>
      </c>
      <c r="AE230" s="15">
        <f t="shared" si="520"/>
        <v>18083000</v>
      </c>
      <c r="AF230" s="15">
        <f t="shared" si="520"/>
        <v>124832414</v>
      </c>
      <c r="AG230" s="15">
        <f t="shared" si="520"/>
        <v>5265000</v>
      </c>
      <c r="AH230" s="15">
        <f t="shared" si="520"/>
        <v>62724231</v>
      </c>
      <c r="AI230" s="15">
        <f t="shared" si="520"/>
        <v>47459700</v>
      </c>
      <c r="AJ230" s="15">
        <f t="shared" si="520"/>
        <v>28552500</v>
      </c>
      <c r="AK230" s="15">
        <f t="shared" si="520"/>
        <v>19982000</v>
      </c>
      <c r="AL230" s="15">
        <f t="shared" ref="AL230:BS230" si="521">AL16+AL21+AL27+AL30+AL35+AL45+AL54+AL63+AL68+AL71+AL73+AL84+AL86+AL118+AL123+AL127+AL129+AL131+AL148+AL151+AL153+AL159+AL168+AL174+AL212+AL214+AL228</f>
        <v>26529856</v>
      </c>
      <c r="AM230" s="15">
        <f t="shared" si="521"/>
        <v>33952208</v>
      </c>
      <c r="AN230" s="15">
        <f t="shared" si="521"/>
        <v>36515250</v>
      </c>
      <c r="AO230" s="15">
        <f t="shared" si="521"/>
        <v>260353445</v>
      </c>
      <c r="AP230" s="15">
        <f t="shared" si="521"/>
        <v>29535500</v>
      </c>
      <c r="AQ230" s="15">
        <f t="shared" si="521"/>
        <v>42111500</v>
      </c>
      <c r="AR230" s="15">
        <f t="shared" si="521"/>
        <v>57648170</v>
      </c>
      <c r="AS230" s="15">
        <f t="shared" si="521"/>
        <v>57947176</v>
      </c>
      <c r="AT230" s="15">
        <f t="shared" si="521"/>
        <v>58399100</v>
      </c>
      <c r="AU230" s="15">
        <f t="shared" si="521"/>
        <v>245641446</v>
      </c>
      <c r="AV230" s="15">
        <f t="shared" si="521"/>
        <v>7090000</v>
      </c>
      <c r="AW230" s="15">
        <f t="shared" si="521"/>
        <v>13055000</v>
      </c>
      <c r="AX230" s="15">
        <f t="shared" si="521"/>
        <v>23552500</v>
      </c>
      <c r="AY230" s="15">
        <f t="shared" si="521"/>
        <v>29248000</v>
      </c>
      <c r="AZ230" s="15">
        <f t="shared" si="521"/>
        <v>34671500</v>
      </c>
      <c r="BA230" s="15">
        <f t="shared" si="521"/>
        <v>107617000</v>
      </c>
      <c r="BB230" s="15">
        <f t="shared" si="521"/>
        <v>0</v>
      </c>
      <c r="BC230" s="15">
        <f t="shared" si="521"/>
        <v>4682000</v>
      </c>
      <c r="BD230" s="15">
        <f t="shared" si="521"/>
        <v>11835750</v>
      </c>
      <c r="BE230" s="15">
        <f t="shared" si="521"/>
        <v>1463000</v>
      </c>
      <c r="BF230" s="15">
        <f t="shared" si="521"/>
        <v>0</v>
      </c>
      <c r="BG230" s="15">
        <f t="shared" si="521"/>
        <v>0</v>
      </c>
      <c r="BH230" s="15">
        <f t="shared" si="521"/>
        <v>266800</v>
      </c>
      <c r="BI230" s="15">
        <f t="shared" si="521"/>
        <v>0</v>
      </c>
      <c r="BJ230" s="15">
        <f t="shared" si="521"/>
        <v>18247550</v>
      </c>
      <c r="BK230" s="15">
        <f t="shared" si="521"/>
        <v>17920000</v>
      </c>
      <c r="BL230" s="15">
        <f t="shared" si="521"/>
        <v>160113762</v>
      </c>
      <c r="BM230" s="15">
        <f t="shared" si="521"/>
        <v>163618565</v>
      </c>
      <c r="BN230" s="15">
        <f t="shared" si="521"/>
        <v>113028500</v>
      </c>
      <c r="BO230" s="15">
        <f t="shared" si="521"/>
        <v>109004500</v>
      </c>
      <c r="BP230" s="15">
        <f t="shared" si="521"/>
        <v>167555827</v>
      </c>
      <c r="BQ230" s="15">
        <f t="shared" si="521"/>
        <v>189285919</v>
      </c>
      <c r="BR230" s="15">
        <f t="shared" si="521"/>
        <v>204800461</v>
      </c>
      <c r="BS230" s="15">
        <f t="shared" si="521"/>
        <v>1124700234</v>
      </c>
    </row>
    <row r="231" spans="1:71" s="136" customFormat="1" ht="16.5" thickTop="1">
      <c r="A231" s="137"/>
      <c r="B231" s="138"/>
      <c r="C231" s="135" t="s">
        <v>479</v>
      </c>
      <c r="D231" s="137"/>
      <c r="E231" s="137"/>
      <c r="F231" s="137">
        <v>0</v>
      </c>
      <c r="G231" s="137">
        <v>0</v>
      </c>
      <c r="H231" s="137">
        <v>0</v>
      </c>
      <c r="I231" s="137">
        <v>0</v>
      </c>
      <c r="J231" s="137">
        <v>0</v>
      </c>
      <c r="K231" s="137">
        <v>5475198</v>
      </c>
      <c r="L231" s="137">
        <v>0</v>
      </c>
      <c r="M231" s="137">
        <v>0</v>
      </c>
      <c r="N231" s="137">
        <f>SUM(F231:L231)</f>
        <v>5475198</v>
      </c>
      <c r="O231" s="137">
        <v>0</v>
      </c>
      <c r="P231" s="137">
        <v>0</v>
      </c>
      <c r="Q231" s="137">
        <v>0</v>
      </c>
      <c r="R231" s="137">
        <v>0</v>
      </c>
      <c r="S231" s="137">
        <v>0</v>
      </c>
      <c r="T231" s="137">
        <v>702778</v>
      </c>
      <c r="U231" s="137">
        <v>0</v>
      </c>
      <c r="V231" s="137">
        <v>0</v>
      </c>
      <c r="W231" s="137">
        <f>SUM(O231:U231)</f>
        <v>702778</v>
      </c>
      <c r="X231" s="137">
        <v>0</v>
      </c>
      <c r="Y231" s="137">
        <v>0</v>
      </c>
      <c r="Z231" s="137">
        <v>0</v>
      </c>
      <c r="AA231" s="137">
        <v>0</v>
      </c>
      <c r="AB231" s="137">
        <v>0</v>
      </c>
      <c r="AC231" s="137">
        <v>593847</v>
      </c>
      <c r="AD231" s="137">
        <v>0</v>
      </c>
      <c r="AE231" s="137">
        <v>0</v>
      </c>
      <c r="AF231" s="137">
        <f>SUM(X231:AD231)</f>
        <v>593847</v>
      </c>
      <c r="AG231" s="137">
        <v>0</v>
      </c>
      <c r="AH231" s="137">
        <v>0</v>
      </c>
      <c r="AI231" s="137">
        <v>0</v>
      </c>
      <c r="AJ231" s="137">
        <v>0</v>
      </c>
      <c r="AK231" s="137">
        <v>0</v>
      </c>
      <c r="AL231" s="137">
        <v>8231288</v>
      </c>
      <c r="AM231" s="137">
        <v>0</v>
      </c>
      <c r="AN231" s="137">
        <v>0</v>
      </c>
      <c r="AO231" s="137">
        <f>SUM(AG231:AM231)</f>
        <v>8231288</v>
      </c>
      <c r="AP231" s="137">
        <v>0</v>
      </c>
      <c r="AQ231" s="137">
        <v>0</v>
      </c>
      <c r="AR231" s="137">
        <v>13759935</v>
      </c>
      <c r="AS231" s="137">
        <v>0</v>
      </c>
      <c r="AT231" s="137">
        <v>0</v>
      </c>
      <c r="AU231" s="137">
        <f>SUM(AP231:AS231)</f>
        <v>13759935</v>
      </c>
      <c r="AV231" s="137">
        <v>0</v>
      </c>
      <c r="AW231" s="137">
        <v>0</v>
      </c>
      <c r="AX231" s="137">
        <v>671559</v>
      </c>
      <c r="AY231" s="137">
        <v>0</v>
      </c>
      <c r="AZ231" s="137">
        <v>0</v>
      </c>
      <c r="BA231" s="137">
        <f>SUM(AV231:AY231)</f>
        <v>671559</v>
      </c>
      <c r="BB231" s="137">
        <v>0</v>
      </c>
      <c r="BC231" s="137">
        <v>0</v>
      </c>
      <c r="BD231" s="137">
        <v>0</v>
      </c>
      <c r="BE231" s="137">
        <v>0</v>
      </c>
      <c r="BF231" s="137">
        <v>0</v>
      </c>
      <c r="BG231" s="137">
        <v>0</v>
      </c>
      <c r="BH231" s="137">
        <v>0</v>
      </c>
      <c r="BI231" s="137">
        <v>0</v>
      </c>
      <c r="BJ231" s="137">
        <f>SUM(BB231:BH231)</f>
        <v>0</v>
      </c>
      <c r="BK231" s="137">
        <f>F231+O231+X231+AG231+BB231</f>
        <v>0</v>
      </c>
      <c r="BL231" s="137">
        <f>G231+P231+Y231+AH231+BC231</f>
        <v>0</v>
      </c>
      <c r="BM231" s="137">
        <f>H231+Q231+Z231+AI231+BD231</f>
        <v>0</v>
      </c>
      <c r="BN231" s="137">
        <f>I231+R231+AA231+AJ231+AP231+AV231+BE231</f>
        <v>0</v>
      </c>
      <c r="BO231" s="137">
        <f>J231+S231+AB231+AK231+AQ231+AW231+BF231</f>
        <v>0</v>
      </c>
      <c r="BP231" s="137">
        <f>K231+T231+AC231+AL231+AR231+AX231+BG231</f>
        <v>29434605</v>
      </c>
      <c r="BQ231" s="137">
        <f>L231+U231+AD231+AM231+AS231+AY231+BH231</f>
        <v>0</v>
      </c>
      <c r="BR231" s="137">
        <f>M231+V231+AE231+AN231+AT231+AZ231+BI231</f>
        <v>0</v>
      </c>
      <c r="BS231" s="137">
        <f>SUM(BK231:BR231)</f>
        <v>29434605</v>
      </c>
    </row>
    <row r="232" spans="1:71" s="16" customFormat="1" ht="16.5" thickBot="1">
      <c r="A232" s="132"/>
      <c r="B232" s="133"/>
      <c r="C232" s="134"/>
      <c r="D232" s="132"/>
      <c r="E232" s="132"/>
      <c r="F232" s="132">
        <f t="shared" ref="F232:J232" si="522">F230+F231</f>
        <v>5115000</v>
      </c>
      <c r="G232" s="132">
        <f t="shared" si="522"/>
        <v>31213052</v>
      </c>
      <c r="H232" s="132">
        <f t="shared" si="522"/>
        <v>33449181</v>
      </c>
      <c r="I232" s="132">
        <f t="shared" si="522"/>
        <v>16926000</v>
      </c>
      <c r="J232" s="132">
        <f t="shared" si="522"/>
        <v>12376000</v>
      </c>
      <c r="K232" s="132">
        <f>K230+K231</f>
        <v>20881499</v>
      </c>
      <c r="L232" s="132">
        <f>L230+L231</f>
        <v>15250735</v>
      </c>
      <c r="M232" s="132">
        <f>M230+M231</f>
        <v>18431611</v>
      </c>
      <c r="N232" s="132">
        <f t="shared" ref="N232:AN232" si="523">N230+N231</f>
        <v>153643078</v>
      </c>
      <c r="O232" s="132">
        <f t="shared" si="523"/>
        <v>3480000</v>
      </c>
      <c r="P232" s="132">
        <f t="shared" si="523"/>
        <v>36620000</v>
      </c>
      <c r="Q232" s="132">
        <f t="shared" si="523"/>
        <v>40371999</v>
      </c>
      <c r="R232" s="132">
        <f t="shared" si="523"/>
        <v>18123500</v>
      </c>
      <c r="S232" s="132">
        <f t="shared" si="523"/>
        <v>13675000</v>
      </c>
      <c r="T232" s="132">
        <f t="shared" si="523"/>
        <v>32252778</v>
      </c>
      <c r="U232" s="132">
        <f t="shared" si="523"/>
        <v>37320000</v>
      </c>
      <c r="V232" s="132">
        <f t="shared" ref="V232" si="524">V230+V231</f>
        <v>38700000</v>
      </c>
      <c r="W232" s="132">
        <f t="shared" si="523"/>
        <v>220543277</v>
      </c>
      <c r="X232" s="132">
        <f t="shared" si="523"/>
        <v>4060000</v>
      </c>
      <c r="Y232" s="132">
        <f t="shared" si="523"/>
        <v>24874479</v>
      </c>
      <c r="Z232" s="132">
        <f t="shared" si="523"/>
        <v>30501935</v>
      </c>
      <c r="AA232" s="132">
        <f t="shared" si="523"/>
        <v>11338000</v>
      </c>
      <c r="AB232" s="132">
        <f t="shared" si="523"/>
        <v>7805000</v>
      </c>
      <c r="AC232" s="132">
        <f t="shared" si="523"/>
        <v>13462847</v>
      </c>
      <c r="AD232" s="132">
        <f t="shared" si="523"/>
        <v>15301000</v>
      </c>
      <c r="AE232" s="132">
        <f t="shared" ref="AE232" si="525">AE230+AE231</f>
        <v>18083000</v>
      </c>
      <c r="AF232" s="132">
        <f t="shared" si="523"/>
        <v>125426261</v>
      </c>
      <c r="AG232" s="132">
        <f t="shared" si="523"/>
        <v>5265000</v>
      </c>
      <c r="AH232" s="132">
        <f t="shared" si="523"/>
        <v>62724231</v>
      </c>
      <c r="AI232" s="132">
        <f t="shared" si="523"/>
        <v>47459700</v>
      </c>
      <c r="AJ232" s="132">
        <f t="shared" si="523"/>
        <v>28552500</v>
      </c>
      <c r="AK232" s="132">
        <f t="shared" si="523"/>
        <v>19982000</v>
      </c>
      <c r="AL232" s="132">
        <f t="shared" si="523"/>
        <v>34761144</v>
      </c>
      <c r="AM232" s="132">
        <f t="shared" si="523"/>
        <v>33952208</v>
      </c>
      <c r="AN232" s="132">
        <f t="shared" si="523"/>
        <v>36515250</v>
      </c>
      <c r="AO232" s="132">
        <f>AO230+AO231</f>
        <v>268584733</v>
      </c>
      <c r="AP232" s="132">
        <f t="shared" ref="AP232:BH232" si="526">AP230+AP231</f>
        <v>29535500</v>
      </c>
      <c r="AQ232" s="132">
        <f t="shared" si="526"/>
        <v>42111500</v>
      </c>
      <c r="AR232" s="132">
        <f t="shared" si="526"/>
        <v>71408105</v>
      </c>
      <c r="AS232" s="132">
        <f t="shared" si="526"/>
        <v>57947176</v>
      </c>
      <c r="AT232" s="132">
        <f t="shared" ref="AT232" si="527">AT230+AT231</f>
        <v>58399100</v>
      </c>
      <c r="AU232" s="132">
        <f t="shared" si="526"/>
        <v>259401381</v>
      </c>
      <c r="AV232" s="132">
        <f t="shared" si="526"/>
        <v>7090000</v>
      </c>
      <c r="AW232" s="132">
        <f t="shared" si="526"/>
        <v>13055000</v>
      </c>
      <c r="AX232" s="132">
        <f t="shared" si="526"/>
        <v>24224059</v>
      </c>
      <c r="AY232" s="132">
        <f t="shared" si="526"/>
        <v>29248000</v>
      </c>
      <c r="AZ232" s="132">
        <f t="shared" ref="AZ232" si="528">AZ230+AZ231</f>
        <v>34671500</v>
      </c>
      <c r="BA232" s="132">
        <f t="shared" si="526"/>
        <v>108288559</v>
      </c>
      <c r="BB232" s="132">
        <f t="shared" si="526"/>
        <v>0</v>
      </c>
      <c r="BC232" s="132">
        <f t="shared" si="526"/>
        <v>4682000</v>
      </c>
      <c r="BD232" s="132">
        <f t="shared" si="526"/>
        <v>11835750</v>
      </c>
      <c r="BE232" s="132">
        <f t="shared" si="526"/>
        <v>1463000</v>
      </c>
      <c r="BF232" s="132">
        <f t="shared" si="526"/>
        <v>0</v>
      </c>
      <c r="BG232" s="132">
        <f t="shared" si="526"/>
        <v>0</v>
      </c>
      <c r="BH232" s="132">
        <f t="shared" si="526"/>
        <v>266800</v>
      </c>
      <c r="BI232" s="132">
        <f t="shared" ref="BI232" si="529">BI230+BI231</f>
        <v>0</v>
      </c>
      <c r="BJ232" s="132">
        <f>BJ230+BJ231</f>
        <v>18247550</v>
      </c>
      <c r="BK232" s="132">
        <f t="shared" ref="BK232:BS232" si="530">BK230+BK231</f>
        <v>17920000</v>
      </c>
      <c r="BL232" s="132">
        <f t="shared" si="530"/>
        <v>160113762</v>
      </c>
      <c r="BM232" s="132">
        <f t="shared" si="530"/>
        <v>163618565</v>
      </c>
      <c r="BN232" s="132">
        <f t="shared" si="530"/>
        <v>113028500</v>
      </c>
      <c r="BO232" s="132">
        <f t="shared" si="530"/>
        <v>109004500</v>
      </c>
      <c r="BP232" s="132">
        <f t="shared" si="530"/>
        <v>196990432</v>
      </c>
      <c r="BQ232" s="132">
        <f t="shared" si="530"/>
        <v>189285919</v>
      </c>
      <c r="BR232" s="132">
        <f t="shared" ref="BR232" si="531">BR230+BR231</f>
        <v>204800461</v>
      </c>
      <c r="BS232" s="132">
        <f t="shared" si="530"/>
        <v>1154134839</v>
      </c>
    </row>
    <row r="233" spans="1:71" ht="16.5" thickTop="1">
      <c r="D233" s="183" t="s">
        <v>392</v>
      </c>
      <c r="E233" s="183"/>
      <c r="F233" s="3">
        <v>5115000</v>
      </c>
      <c r="G233" s="3">
        <v>31213052</v>
      </c>
      <c r="H233" s="31">
        <v>33449181</v>
      </c>
      <c r="I233" s="3">
        <v>16926000</v>
      </c>
      <c r="J233" s="3">
        <v>12376000</v>
      </c>
      <c r="K233" s="3">
        <v>20881499</v>
      </c>
      <c r="L233" s="3">
        <v>15250735</v>
      </c>
      <c r="M233" s="3">
        <v>18431611</v>
      </c>
      <c r="N233" s="3"/>
      <c r="O233" s="3">
        <v>3480000</v>
      </c>
      <c r="P233" s="3">
        <v>36620000</v>
      </c>
      <c r="Q233" s="3">
        <v>40371999</v>
      </c>
      <c r="R233" s="3">
        <v>18123500</v>
      </c>
      <c r="S233" s="3">
        <v>13675000</v>
      </c>
      <c r="T233" s="3">
        <v>32252778</v>
      </c>
      <c r="U233" s="3">
        <v>37320000</v>
      </c>
      <c r="V233" s="3">
        <v>38700000</v>
      </c>
      <c r="X233" s="3">
        <v>4060000</v>
      </c>
      <c r="Y233" s="3">
        <v>24874479</v>
      </c>
      <c r="Z233" s="3">
        <v>30501935</v>
      </c>
      <c r="AA233" s="3">
        <v>11338000</v>
      </c>
      <c r="AB233" s="3">
        <v>7805000</v>
      </c>
      <c r="AC233" s="3">
        <v>13462847</v>
      </c>
      <c r="AD233" s="3">
        <v>15301000</v>
      </c>
      <c r="AE233" s="3">
        <v>18083000</v>
      </c>
      <c r="AG233" s="3">
        <v>5265000</v>
      </c>
      <c r="AH233" s="3">
        <v>62724231</v>
      </c>
      <c r="AI233" s="3">
        <v>47459700</v>
      </c>
      <c r="AJ233" s="3">
        <v>28552500</v>
      </c>
      <c r="AK233" s="3">
        <v>19982000</v>
      </c>
      <c r="AL233" s="3">
        <v>34761144</v>
      </c>
      <c r="AM233" s="3">
        <v>33952208</v>
      </c>
      <c r="AN233" s="3">
        <v>36515250</v>
      </c>
      <c r="AO233" s="3">
        <v>5199650</v>
      </c>
      <c r="AP233" s="3">
        <v>29535500</v>
      </c>
      <c r="AQ233" s="3">
        <v>42111500</v>
      </c>
      <c r="AR233" s="3">
        <v>71408105</v>
      </c>
      <c r="AS233" s="3">
        <v>57947176</v>
      </c>
      <c r="AT233" s="3">
        <v>58399100</v>
      </c>
      <c r="AU233" s="3"/>
      <c r="AV233" s="3">
        <v>7090000</v>
      </c>
      <c r="AW233" s="3">
        <v>13055000</v>
      </c>
      <c r="AX233" s="3">
        <v>24224059</v>
      </c>
      <c r="AY233" s="3">
        <v>29248000</v>
      </c>
      <c r="AZ233" s="3">
        <v>34671500</v>
      </c>
      <c r="BB233" s="3">
        <v>0</v>
      </c>
      <c r="BC233" s="3">
        <v>4682000</v>
      </c>
      <c r="BD233" s="3">
        <v>11835750</v>
      </c>
      <c r="BE233" s="3">
        <v>1463000</v>
      </c>
      <c r="BF233" s="14">
        <v>0</v>
      </c>
      <c r="BG233" s="14">
        <v>0</v>
      </c>
      <c r="BH233" s="14">
        <v>266800</v>
      </c>
      <c r="BI233" s="14">
        <v>0</v>
      </c>
    </row>
    <row r="234" spans="1:71" ht="31.5">
      <c r="E234" s="74" t="s">
        <v>393</v>
      </c>
      <c r="F234" s="3">
        <f t="shared" ref="F234:M234" si="532">F232-F233</f>
        <v>0</v>
      </c>
      <c r="G234" s="3">
        <f t="shared" si="532"/>
        <v>0</v>
      </c>
      <c r="H234" s="3">
        <f t="shared" si="532"/>
        <v>0</v>
      </c>
      <c r="I234" s="3">
        <f t="shared" si="532"/>
        <v>0</v>
      </c>
      <c r="J234" s="3">
        <f t="shared" si="532"/>
        <v>0</v>
      </c>
      <c r="K234" s="3">
        <f t="shared" si="532"/>
        <v>0</v>
      </c>
      <c r="L234" s="3">
        <f t="shared" si="532"/>
        <v>0</v>
      </c>
      <c r="M234" s="3">
        <f t="shared" si="532"/>
        <v>0</v>
      </c>
      <c r="N234" s="3"/>
      <c r="O234" s="3">
        <f t="shared" ref="O234:V234" si="533">O232-O233</f>
        <v>0</v>
      </c>
      <c r="P234" s="3">
        <f t="shared" si="533"/>
        <v>0</v>
      </c>
      <c r="Q234" s="3">
        <f t="shared" si="533"/>
        <v>0</v>
      </c>
      <c r="R234" s="3">
        <f t="shared" si="533"/>
        <v>0</v>
      </c>
      <c r="S234" s="3">
        <f t="shared" si="533"/>
        <v>0</v>
      </c>
      <c r="T234" s="3">
        <f t="shared" si="533"/>
        <v>0</v>
      </c>
      <c r="U234" s="3">
        <f t="shared" si="533"/>
        <v>0</v>
      </c>
      <c r="V234" s="3">
        <f t="shared" si="533"/>
        <v>0</v>
      </c>
      <c r="W234" s="3"/>
      <c r="X234" s="3">
        <f t="shared" ref="X234:AE234" si="534">X232-X233</f>
        <v>0</v>
      </c>
      <c r="Y234" s="3">
        <f t="shared" si="534"/>
        <v>0</v>
      </c>
      <c r="Z234" s="3">
        <f t="shared" si="534"/>
        <v>0</v>
      </c>
      <c r="AA234" s="3">
        <f t="shared" si="534"/>
        <v>0</v>
      </c>
      <c r="AB234" s="3">
        <f t="shared" si="534"/>
        <v>0</v>
      </c>
      <c r="AC234" s="3">
        <f t="shared" si="534"/>
        <v>0</v>
      </c>
      <c r="AD234" s="3">
        <f t="shared" si="534"/>
        <v>0</v>
      </c>
      <c r="AE234" s="3">
        <f t="shared" si="534"/>
        <v>0</v>
      </c>
      <c r="AF234" s="3"/>
      <c r="AG234" s="3">
        <f t="shared" ref="AG234:AN234" si="535">AG232-AG233</f>
        <v>0</v>
      </c>
      <c r="AH234" s="3">
        <f t="shared" si="535"/>
        <v>0</v>
      </c>
      <c r="AI234" s="3">
        <f t="shared" si="535"/>
        <v>0</v>
      </c>
      <c r="AJ234" s="3">
        <f t="shared" si="535"/>
        <v>0</v>
      </c>
      <c r="AK234" s="3">
        <f t="shared" si="535"/>
        <v>0</v>
      </c>
      <c r="AL234" s="3">
        <f t="shared" si="535"/>
        <v>0</v>
      </c>
      <c r="AM234" s="3">
        <f t="shared" si="535"/>
        <v>0</v>
      </c>
      <c r="AN234" s="3">
        <f t="shared" si="535"/>
        <v>0</v>
      </c>
      <c r="AO234" s="3"/>
      <c r="AP234" s="3">
        <f>AP232-AP233</f>
        <v>0</v>
      </c>
      <c r="AQ234" s="3">
        <f>AQ232-AQ233</f>
        <v>0</v>
      </c>
      <c r="AR234" s="3">
        <f>AR232-AR233</f>
        <v>0</v>
      </c>
      <c r="AS234" s="3">
        <f>AS232-AS233</f>
        <v>0</v>
      </c>
      <c r="AT234" s="3">
        <f>AT232-AT233</f>
        <v>0</v>
      </c>
      <c r="AU234" s="3"/>
      <c r="AV234" s="3">
        <f>AV232-AV233</f>
        <v>0</v>
      </c>
      <c r="AW234" s="3">
        <f>AW232-AW233</f>
        <v>0</v>
      </c>
      <c r="AX234" s="3">
        <f>AX232-AX233</f>
        <v>0</v>
      </c>
      <c r="AY234" s="3">
        <f>AY232-AY233</f>
        <v>0</v>
      </c>
      <c r="AZ234" s="3">
        <f>AZ232-AZ233</f>
        <v>0</v>
      </c>
      <c r="BA234" s="3"/>
      <c r="BB234" s="3">
        <f t="shared" ref="BB234:BI234" si="536">BB230-BB233</f>
        <v>0</v>
      </c>
      <c r="BC234" s="3">
        <f t="shared" si="536"/>
        <v>0</v>
      </c>
      <c r="BD234" s="3">
        <f t="shared" si="536"/>
        <v>0</v>
      </c>
      <c r="BE234" s="3">
        <f t="shared" si="536"/>
        <v>0</v>
      </c>
      <c r="BF234" s="3">
        <f t="shared" si="536"/>
        <v>0</v>
      </c>
      <c r="BG234" s="3">
        <f t="shared" si="536"/>
        <v>0</v>
      </c>
      <c r="BH234" s="3">
        <f t="shared" si="536"/>
        <v>0</v>
      </c>
      <c r="BI234" s="3">
        <f t="shared" si="536"/>
        <v>0</v>
      </c>
      <c r="BJ234" s="3"/>
      <c r="BN234" s="78"/>
      <c r="BO234" s="97"/>
      <c r="BP234" s="97"/>
      <c r="BQ234" s="97"/>
      <c r="BR234" s="97"/>
      <c r="BS234" s="78"/>
    </row>
    <row r="235" spans="1:71" ht="47.25">
      <c r="A235" s="3"/>
      <c r="B235" s="3"/>
      <c r="C235" s="182" t="s">
        <v>505</v>
      </c>
      <c r="D235" s="182"/>
      <c r="E235" s="88" t="s">
        <v>515</v>
      </c>
      <c r="F235" s="88"/>
      <c r="H235" s="3"/>
      <c r="J235" s="88"/>
      <c r="K235" s="88"/>
      <c r="L235" s="88"/>
      <c r="M235" s="88" t="s">
        <v>515</v>
      </c>
      <c r="N235" s="3"/>
      <c r="S235" s="88"/>
      <c r="T235" s="88"/>
      <c r="U235" s="88"/>
      <c r="V235" s="88" t="s">
        <v>515</v>
      </c>
      <c r="W235" s="3"/>
      <c r="AB235" s="88"/>
      <c r="AC235" s="88"/>
      <c r="AD235" s="88"/>
      <c r="AE235" s="88" t="s">
        <v>515</v>
      </c>
      <c r="AF235" s="3"/>
      <c r="AK235" s="88"/>
      <c r="AL235" s="88"/>
      <c r="AM235" s="88"/>
      <c r="AN235" s="88" t="s">
        <v>515</v>
      </c>
      <c r="AO235" s="3"/>
      <c r="AQ235" s="88"/>
      <c r="AR235" s="88"/>
      <c r="AS235" s="88"/>
      <c r="AT235" s="88" t="s">
        <v>515</v>
      </c>
      <c r="AU235" s="88"/>
      <c r="AW235" s="88"/>
      <c r="AX235" s="88"/>
      <c r="AY235" s="88"/>
      <c r="AZ235" s="88" t="s">
        <v>515</v>
      </c>
      <c r="BA235" s="78"/>
      <c r="BF235" s="88"/>
      <c r="BG235" s="88"/>
      <c r="BH235" s="88"/>
      <c r="BI235" s="88" t="s">
        <v>515</v>
      </c>
      <c r="BJ235" s="3"/>
      <c r="BO235" s="88"/>
      <c r="BP235" s="88"/>
      <c r="BQ235" s="88"/>
      <c r="BR235" s="88" t="s">
        <v>515</v>
      </c>
      <c r="BS235" s="88" t="s">
        <v>515</v>
      </c>
    </row>
    <row r="236" spans="1:71" ht="283.5">
      <c r="A236" s="3"/>
      <c r="B236" s="3"/>
      <c r="C236" s="71" t="s">
        <v>390</v>
      </c>
      <c r="G236" s="80" t="s">
        <v>480</v>
      </c>
      <c r="H236" s="79" t="s">
        <v>398</v>
      </c>
      <c r="J236" s="103"/>
      <c r="K236" s="120" t="s">
        <v>462</v>
      </c>
      <c r="Q236" s="81" t="s">
        <v>437</v>
      </c>
      <c r="S236" s="79" t="s">
        <v>435</v>
      </c>
      <c r="T236" s="120" t="s">
        <v>466</v>
      </c>
      <c r="U236" s="3"/>
      <c r="V236" s="3"/>
      <c r="W236" s="75"/>
      <c r="X236" s="75"/>
      <c r="Y236" s="75"/>
      <c r="Z236" s="79" t="s">
        <v>398</v>
      </c>
      <c r="AB236" s="75"/>
      <c r="AC236" s="120" t="s">
        <v>467</v>
      </c>
      <c r="AD236" s="75"/>
      <c r="AE236" s="75"/>
      <c r="AF236" s="75"/>
      <c r="AH236" s="81" t="s">
        <v>397</v>
      </c>
      <c r="AL236" s="120" t="s">
        <v>463</v>
      </c>
      <c r="AR236" s="120" t="s">
        <v>464</v>
      </c>
      <c r="AX236" s="120" t="s">
        <v>468</v>
      </c>
      <c r="BC236" s="193"/>
      <c r="BD236" s="193"/>
      <c r="BS236" s="3"/>
    </row>
    <row r="237" spans="1:71">
      <c r="A237" s="3"/>
      <c r="B237" s="3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BS237" s="3"/>
    </row>
    <row r="239" spans="1:71">
      <c r="A239" s="3"/>
      <c r="B239" s="3"/>
      <c r="I239" s="14"/>
      <c r="BS239" s="3"/>
    </row>
  </sheetData>
  <autoFilter ref="A4:BS228"/>
  <mergeCells count="41">
    <mergeCell ref="BK2:BS2"/>
    <mergeCell ref="A3:A4"/>
    <mergeCell ref="B3:B4"/>
    <mergeCell ref="C3:C4"/>
    <mergeCell ref="D3:D4"/>
    <mergeCell ref="E3:E4"/>
    <mergeCell ref="F3:N3"/>
    <mergeCell ref="BK3:BS3"/>
    <mergeCell ref="BB3:BJ3"/>
    <mergeCell ref="A36:A44"/>
    <mergeCell ref="A46:A53"/>
    <mergeCell ref="A55:A62"/>
    <mergeCell ref="A1:BE1"/>
    <mergeCell ref="A2:E2"/>
    <mergeCell ref="F2:BJ2"/>
    <mergeCell ref="A31:A34"/>
    <mergeCell ref="O3:W3"/>
    <mergeCell ref="X3:AF3"/>
    <mergeCell ref="AG3:AO3"/>
    <mergeCell ref="AP3:AU3"/>
    <mergeCell ref="A5:A15"/>
    <mergeCell ref="A17:A20"/>
    <mergeCell ref="A22:A26"/>
    <mergeCell ref="A28:A29"/>
    <mergeCell ref="AV3:BA3"/>
    <mergeCell ref="A64:A67"/>
    <mergeCell ref="A74:A83"/>
    <mergeCell ref="BC236:BD236"/>
    <mergeCell ref="A119:A122"/>
    <mergeCell ref="A124:A126"/>
    <mergeCell ref="A132:A147"/>
    <mergeCell ref="A149:A150"/>
    <mergeCell ref="A154:A158"/>
    <mergeCell ref="A160:A167"/>
    <mergeCell ref="A169:A173"/>
    <mergeCell ref="A175:A211"/>
    <mergeCell ref="A215:A227"/>
    <mergeCell ref="D233:E233"/>
    <mergeCell ref="C235:D235"/>
    <mergeCell ref="A87:A117"/>
    <mergeCell ref="A69:A70"/>
  </mergeCells>
  <conditionalFormatting sqref="C30">
    <cfRule type="duplicateValues" dxfId="26" priority="40"/>
  </conditionalFormatting>
  <conditionalFormatting sqref="C85">
    <cfRule type="duplicateValues" dxfId="25" priority="39"/>
  </conditionalFormatting>
  <conditionalFormatting sqref="C236:E1048576 D230:E234 C202:C209 C134:C135 C5:C12 C86:C87 C178:C200 C147:C158 C160:C162 C31:C39 C137:C141 C211:C234 D3:E4 C3 C14:C28 C90:C125 C127:C132 C164:C176 C43:C84">
    <cfRule type="duplicateValues" dxfId="24" priority="38"/>
  </conditionalFormatting>
  <conditionalFormatting sqref="C236:E1048576 C230:E234">
    <cfRule type="duplicateValues" dxfId="23" priority="37"/>
  </conditionalFormatting>
  <conditionalFormatting sqref="A3:B3">
    <cfRule type="duplicateValues" dxfId="22" priority="36"/>
  </conditionalFormatting>
  <conditionalFormatting sqref="D230:E234">
    <cfRule type="duplicateValues" dxfId="21" priority="33"/>
  </conditionalFormatting>
  <conditionalFormatting sqref="C230:E234">
    <cfRule type="duplicateValues" dxfId="20" priority="32"/>
  </conditionalFormatting>
  <conditionalFormatting sqref="C231:E232">
    <cfRule type="duplicateValues" dxfId="19" priority="30"/>
  </conditionalFormatting>
  <conditionalFormatting sqref="D231:E232">
    <cfRule type="duplicateValues" dxfId="18" priority="28"/>
  </conditionalFormatting>
  <conditionalFormatting sqref="C170">
    <cfRule type="duplicateValues" dxfId="17" priority="26"/>
  </conditionalFormatting>
  <conditionalFormatting sqref="C76">
    <cfRule type="duplicateValues" dxfId="16" priority="6"/>
  </conditionalFormatting>
  <conditionalFormatting sqref="C76">
    <cfRule type="duplicateValues" dxfId="15" priority="5"/>
  </conditionalFormatting>
  <conditionalFormatting sqref="C76">
    <cfRule type="duplicateValues" dxfId="14" priority="4"/>
  </conditionalFormatting>
  <conditionalFormatting sqref="C76">
    <cfRule type="duplicateValues" dxfId="13" priority="3"/>
  </conditionalFormatting>
  <conditionalFormatting sqref="C76">
    <cfRule type="duplicateValues" dxfId="12" priority="2"/>
  </conditionalFormatting>
  <conditionalFormatting sqref="C76">
    <cfRule type="duplicateValues" dxfId="11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240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3" sqref="C3:C4"/>
    </sheetView>
  </sheetViews>
  <sheetFormatPr defaultRowHeight="15.75"/>
  <cols>
    <col min="1" max="1" width="21.140625" style="74" customWidth="1"/>
    <col min="2" max="2" width="7.28515625" style="74" customWidth="1"/>
    <col min="3" max="3" width="42.28515625" style="17" customWidth="1"/>
    <col min="4" max="4" width="16.140625" style="17" customWidth="1"/>
    <col min="5" max="5" width="19.140625" style="17" customWidth="1"/>
    <col min="6" max="7" width="12.5703125" style="3" customWidth="1"/>
    <col min="8" max="8" width="12.140625" style="31" customWidth="1"/>
    <col min="9" max="9" width="13" style="3" customWidth="1"/>
    <col min="10" max="14" width="14.7109375" style="14" customWidth="1"/>
    <col min="15" max="15" width="15.140625" style="14" customWidth="1"/>
    <col min="16" max="16" width="10.7109375" style="3" customWidth="1"/>
    <col min="17" max="17" width="11" style="3" customWidth="1"/>
    <col min="18" max="18" width="10.7109375" style="3" customWidth="1"/>
    <col min="19" max="19" width="15.140625" style="3" customWidth="1"/>
    <col min="20" max="20" width="10.140625" style="14" customWidth="1"/>
    <col min="21" max="24" width="11.140625" style="14" customWidth="1"/>
    <col min="25" max="25" width="11.28515625" style="14" customWidth="1"/>
    <col min="26" max="26" width="16.28515625" style="3" customWidth="1"/>
    <col min="27" max="27" width="15.140625" style="14" customWidth="1"/>
    <col min="28" max="31" width="14.85546875" style="14" customWidth="1"/>
    <col min="32" max="32" width="15.85546875" style="14" customWidth="1"/>
    <col min="33" max="33" width="13" style="3" customWidth="1"/>
    <col min="34" max="35" width="10.7109375" style="3" customWidth="1"/>
    <col min="36" max="36" width="14.5703125" style="3" customWidth="1"/>
    <col min="37" max="41" width="15.7109375" style="14" customWidth="1"/>
    <col min="42" max="42" width="13.5703125" style="14" customWidth="1"/>
    <col min="43" max="45" width="13.140625" style="3" customWidth="1"/>
    <col min="46" max="46" width="15" style="3" customWidth="1"/>
    <col min="47" max="51" width="16.28515625" style="14" customWidth="1"/>
    <col min="52" max="52" width="13.42578125" style="14" customWidth="1"/>
    <col min="53" max="53" width="13.140625" style="3" customWidth="1"/>
    <col min="54" max="59" width="15" style="14" customWidth="1"/>
    <col min="60" max="62" width="10.7109375" style="3" customWidth="1"/>
    <col min="63" max="63" width="12.7109375" style="3" customWidth="1"/>
    <col min="64" max="68" width="15" style="14" customWidth="1"/>
    <col min="69" max="69" width="12.5703125" style="14" customWidth="1"/>
    <col min="70" max="70" width="10.7109375" style="3" customWidth="1"/>
    <col min="71" max="72" width="14.140625" style="3" customWidth="1"/>
    <col min="73" max="73" width="15.85546875" style="3" customWidth="1"/>
    <col min="74" max="78" width="15.85546875" style="96" customWidth="1"/>
    <col min="79" max="79" width="15" style="14" customWidth="1"/>
    <col min="80" max="81" width="9.140625" style="3" customWidth="1"/>
    <col min="82" max="16384" width="9.140625" style="3"/>
  </cols>
  <sheetData>
    <row r="1" spans="1:79" s="6" customFormat="1" ht="23.25">
      <c r="A1" s="181" t="s">
        <v>522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1:79" s="6" customFormat="1" ht="23.25">
      <c r="A2" s="194" t="s">
        <v>433</v>
      </c>
      <c r="B2" s="194"/>
      <c r="C2" s="194"/>
      <c r="D2" s="194"/>
      <c r="E2" s="194"/>
      <c r="F2" s="194" t="s">
        <v>434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200"/>
      <c r="BR2" s="201" t="s">
        <v>65</v>
      </c>
      <c r="BS2" s="194"/>
      <c r="BT2" s="194"/>
      <c r="BU2" s="194"/>
      <c r="BV2" s="194"/>
      <c r="BW2" s="194"/>
      <c r="BX2" s="194"/>
      <c r="BY2" s="194"/>
      <c r="BZ2" s="194"/>
      <c r="CA2" s="200"/>
    </row>
    <row r="3" spans="1:79" s="7" customFormat="1" ht="18.75" customHeight="1">
      <c r="A3" s="185" t="s">
        <v>53</v>
      </c>
      <c r="B3" s="185" t="s">
        <v>47</v>
      </c>
      <c r="C3" s="185" t="s">
        <v>13</v>
      </c>
      <c r="D3" s="185" t="s">
        <v>46</v>
      </c>
      <c r="E3" s="185" t="s">
        <v>16</v>
      </c>
      <c r="F3" s="195" t="s">
        <v>388</v>
      </c>
      <c r="G3" s="198"/>
      <c r="H3" s="198"/>
      <c r="I3" s="198"/>
      <c r="J3" s="198"/>
      <c r="K3" s="198"/>
      <c r="L3" s="198"/>
      <c r="M3" s="198"/>
      <c r="N3" s="198"/>
      <c r="O3" s="199"/>
      <c r="P3" s="195" t="s">
        <v>56</v>
      </c>
      <c r="Q3" s="198"/>
      <c r="R3" s="198"/>
      <c r="S3" s="198"/>
      <c r="T3" s="198"/>
      <c r="U3" s="198"/>
      <c r="V3" s="198"/>
      <c r="W3" s="198"/>
      <c r="X3" s="198"/>
      <c r="Y3" s="199"/>
      <c r="Z3" s="195" t="s">
        <v>429</v>
      </c>
      <c r="AA3" s="198"/>
      <c r="AB3" s="198"/>
      <c r="AC3" s="198"/>
      <c r="AD3" s="198"/>
      <c r="AE3" s="198"/>
      <c r="AF3" s="199"/>
      <c r="AG3" s="195" t="s">
        <v>55</v>
      </c>
      <c r="AH3" s="198"/>
      <c r="AI3" s="198"/>
      <c r="AJ3" s="198"/>
      <c r="AK3" s="198"/>
      <c r="AL3" s="198"/>
      <c r="AM3" s="198"/>
      <c r="AN3" s="198"/>
      <c r="AO3" s="198"/>
      <c r="AP3" s="199"/>
      <c r="AQ3" s="195" t="s">
        <v>54</v>
      </c>
      <c r="AR3" s="198"/>
      <c r="AS3" s="198"/>
      <c r="AT3" s="198"/>
      <c r="AU3" s="198"/>
      <c r="AV3" s="198"/>
      <c r="AW3" s="198"/>
      <c r="AX3" s="198"/>
      <c r="AY3" s="198"/>
      <c r="AZ3" s="199"/>
      <c r="BA3" s="195" t="s">
        <v>391</v>
      </c>
      <c r="BB3" s="198"/>
      <c r="BC3" s="198"/>
      <c r="BD3" s="198"/>
      <c r="BE3" s="198"/>
      <c r="BF3" s="198"/>
      <c r="BG3" s="199"/>
      <c r="BH3" s="195" t="s">
        <v>389</v>
      </c>
      <c r="BI3" s="198"/>
      <c r="BJ3" s="198"/>
      <c r="BK3" s="198"/>
      <c r="BL3" s="198"/>
      <c r="BM3" s="198"/>
      <c r="BN3" s="198"/>
      <c r="BO3" s="198"/>
      <c r="BP3" s="198"/>
      <c r="BQ3" s="199"/>
      <c r="BR3" s="202" t="s">
        <v>57</v>
      </c>
      <c r="BS3" s="203"/>
      <c r="BT3" s="203"/>
      <c r="BU3" s="203"/>
      <c r="BV3" s="203"/>
      <c r="BW3" s="203"/>
      <c r="BX3" s="203"/>
      <c r="BY3" s="203"/>
      <c r="BZ3" s="203"/>
      <c r="CA3" s="204"/>
    </row>
    <row r="4" spans="1:79" s="7" customFormat="1">
      <c r="A4" s="187"/>
      <c r="B4" s="187"/>
      <c r="C4" s="187"/>
      <c r="D4" s="187"/>
      <c r="E4" s="187"/>
      <c r="F4" s="168" t="s">
        <v>48</v>
      </c>
      <c r="G4" s="168" t="s">
        <v>49</v>
      </c>
      <c r="H4" s="30" t="s">
        <v>50</v>
      </c>
      <c r="I4" s="168" t="s">
        <v>64</v>
      </c>
      <c r="J4" s="168" t="s">
        <v>430</v>
      </c>
      <c r="K4" s="92" t="s">
        <v>456</v>
      </c>
      <c r="L4" s="92" t="s">
        <v>469</v>
      </c>
      <c r="M4" s="92" t="s">
        <v>504</v>
      </c>
      <c r="N4" s="92" t="s">
        <v>517</v>
      </c>
      <c r="O4" s="169" t="s">
        <v>51</v>
      </c>
      <c r="P4" s="168" t="s">
        <v>48</v>
      </c>
      <c r="Q4" s="168" t="s">
        <v>49</v>
      </c>
      <c r="R4" s="168" t="s">
        <v>50</v>
      </c>
      <c r="S4" s="170" t="s">
        <v>400</v>
      </c>
      <c r="T4" s="92" t="s">
        <v>430</v>
      </c>
      <c r="U4" s="92" t="s">
        <v>456</v>
      </c>
      <c r="V4" s="92" t="s">
        <v>469</v>
      </c>
      <c r="W4" s="92" t="s">
        <v>504</v>
      </c>
      <c r="X4" s="92" t="s">
        <v>517</v>
      </c>
      <c r="Y4" s="169" t="s">
        <v>51</v>
      </c>
      <c r="Z4" s="168" t="s">
        <v>64</v>
      </c>
      <c r="AA4" s="168" t="s">
        <v>430</v>
      </c>
      <c r="AB4" s="168" t="s">
        <v>456</v>
      </c>
      <c r="AC4" s="168" t="s">
        <v>469</v>
      </c>
      <c r="AD4" s="168" t="s">
        <v>504</v>
      </c>
      <c r="AE4" s="168" t="s">
        <v>517</v>
      </c>
      <c r="AF4" s="168" t="s">
        <v>51</v>
      </c>
      <c r="AG4" s="168" t="s">
        <v>48</v>
      </c>
      <c r="AH4" s="168" t="s">
        <v>49</v>
      </c>
      <c r="AI4" s="168" t="s">
        <v>50</v>
      </c>
      <c r="AJ4" s="170" t="s">
        <v>64</v>
      </c>
      <c r="AK4" s="92" t="s">
        <v>430</v>
      </c>
      <c r="AL4" s="92" t="s">
        <v>456</v>
      </c>
      <c r="AM4" s="92" t="s">
        <v>469</v>
      </c>
      <c r="AN4" s="92" t="s">
        <v>504</v>
      </c>
      <c r="AO4" s="92" t="s">
        <v>517</v>
      </c>
      <c r="AP4" s="169" t="s">
        <v>51</v>
      </c>
      <c r="AQ4" s="168" t="s">
        <v>48</v>
      </c>
      <c r="AR4" s="168" t="s">
        <v>49</v>
      </c>
      <c r="AS4" s="168" t="s">
        <v>50</v>
      </c>
      <c r="AT4" s="170" t="s">
        <v>64</v>
      </c>
      <c r="AU4" s="168" t="s">
        <v>430</v>
      </c>
      <c r="AV4" s="169" t="s">
        <v>456</v>
      </c>
      <c r="AW4" s="169" t="s">
        <v>469</v>
      </c>
      <c r="AX4" s="169" t="s">
        <v>504</v>
      </c>
      <c r="AY4" s="169" t="s">
        <v>517</v>
      </c>
      <c r="AZ4" s="169" t="s">
        <v>51</v>
      </c>
      <c r="BA4" s="168" t="s">
        <v>64</v>
      </c>
      <c r="BB4" s="168" t="s">
        <v>430</v>
      </c>
      <c r="BC4" s="168" t="s">
        <v>456</v>
      </c>
      <c r="BD4" s="168" t="s">
        <v>469</v>
      </c>
      <c r="BE4" s="168" t="s">
        <v>504</v>
      </c>
      <c r="BF4" s="168" t="s">
        <v>517</v>
      </c>
      <c r="BG4" s="168" t="s">
        <v>51</v>
      </c>
      <c r="BH4" s="168" t="s">
        <v>48</v>
      </c>
      <c r="BI4" s="168" t="s">
        <v>49</v>
      </c>
      <c r="BJ4" s="168" t="s">
        <v>50</v>
      </c>
      <c r="BK4" s="168" t="s">
        <v>64</v>
      </c>
      <c r="BL4" s="92" t="s">
        <v>430</v>
      </c>
      <c r="BM4" s="92" t="s">
        <v>456</v>
      </c>
      <c r="BN4" s="92" t="s">
        <v>469</v>
      </c>
      <c r="BO4" s="92" t="s">
        <v>504</v>
      </c>
      <c r="BP4" s="92" t="s">
        <v>517</v>
      </c>
      <c r="BQ4" s="169" t="s">
        <v>51</v>
      </c>
      <c r="BR4" s="168" t="s">
        <v>48</v>
      </c>
      <c r="BS4" s="168" t="s">
        <v>49</v>
      </c>
      <c r="BT4" s="168" t="s">
        <v>50</v>
      </c>
      <c r="BU4" s="171" t="s">
        <v>64</v>
      </c>
      <c r="BV4" s="93" t="s">
        <v>430</v>
      </c>
      <c r="BW4" s="93" t="s">
        <v>456</v>
      </c>
      <c r="BX4" s="93" t="s">
        <v>469</v>
      </c>
      <c r="BY4" s="93" t="s">
        <v>504</v>
      </c>
      <c r="BZ4" s="93" t="s">
        <v>517</v>
      </c>
      <c r="CA4" s="168" t="s">
        <v>407</v>
      </c>
    </row>
    <row r="5" spans="1:79">
      <c r="A5" s="185" t="s">
        <v>29</v>
      </c>
      <c r="B5" s="8">
        <v>1</v>
      </c>
      <c r="C5" s="1" t="s">
        <v>66</v>
      </c>
      <c r="D5" s="4" t="s">
        <v>67</v>
      </c>
      <c r="E5" s="4" t="s">
        <v>29</v>
      </c>
      <c r="F5" s="4"/>
      <c r="G5" s="4">
        <v>448500</v>
      </c>
      <c r="H5" s="4">
        <f>165000+154000+198000+20000+60000</f>
        <v>597000</v>
      </c>
      <c r="I5" s="4">
        <f>20000+20000</f>
        <v>40000</v>
      </c>
      <c r="J5" s="4"/>
      <c r="K5" s="4"/>
      <c r="L5" s="4"/>
      <c r="M5" s="4"/>
      <c r="N5" s="4"/>
      <c r="O5" s="9">
        <f>SUM(F5:N5)</f>
        <v>1085500</v>
      </c>
      <c r="P5" s="4"/>
      <c r="Q5" s="4">
        <v>383150</v>
      </c>
      <c r="R5" s="10">
        <f>805550+120000</f>
        <v>925550</v>
      </c>
      <c r="S5" s="27">
        <v>30000</v>
      </c>
      <c r="T5" s="20"/>
      <c r="U5" s="20"/>
      <c r="V5" s="20"/>
      <c r="W5" s="20"/>
      <c r="X5" s="20"/>
      <c r="Y5" s="21">
        <f>SUM(P5:X5)</f>
        <v>1338700</v>
      </c>
      <c r="Z5" s="27">
        <v>1050000</v>
      </c>
      <c r="AA5" s="20">
        <f>105000+210000+315000+315000+210000</f>
        <v>1155000</v>
      </c>
      <c r="AB5" s="20">
        <f>1309000+312000+156000</f>
        <v>1777000</v>
      </c>
      <c r="AC5" s="20">
        <v>1707000</v>
      </c>
      <c r="AD5" s="20">
        <v>1560000</v>
      </c>
      <c r="AE5" s="175">
        <v>1248000</v>
      </c>
      <c r="AF5" s="21">
        <f>SUM(Z5:AE5)</f>
        <v>8497000</v>
      </c>
      <c r="AG5" s="4"/>
      <c r="AH5" s="4"/>
      <c r="AI5" s="4"/>
      <c r="AJ5" s="4"/>
      <c r="AK5" s="4"/>
      <c r="AL5" s="4"/>
      <c r="AM5" s="4"/>
      <c r="AN5" s="4"/>
      <c r="AO5" s="4"/>
      <c r="AP5" s="9">
        <f>SUM(AG5:AO5)</f>
        <v>0</v>
      </c>
      <c r="AQ5" s="4"/>
      <c r="AR5" s="4"/>
      <c r="AS5" s="4"/>
      <c r="AT5" s="4"/>
      <c r="AU5" s="4"/>
      <c r="AV5" s="4"/>
      <c r="AW5" s="4"/>
      <c r="AX5" s="4"/>
      <c r="AY5" s="4"/>
      <c r="AZ5" s="9">
        <f>SUM(AQ5:AY5)</f>
        <v>0</v>
      </c>
      <c r="BA5" s="10"/>
      <c r="BB5" s="20"/>
      <c r="BC5" s="20"/>
      <c r="BD5" s="20"/>
      <c r="BE5" s="20"/>
      <c r="BF5" s="4"/>
      <c r="BG5" s="21">
        <f>SUM(BA5:BF5)</f>
        <v>0</v>
      </c>
      <c r="BH5" s="10"/>
      <c r="BI5" s="10"/>
      <c r="BJ5" s="10"/>
      <c r="BK5" s="10"/>
      <c r="BL5" s="20"/>
      <c r="BM5" s="20"/>
      <c r="BN5" s="20"/>
      <c r="BO5" s="20"/>
      <c r="BP5" s="20"/>
      <c r="BQ5" s="21">
        <f>SUM(BH5:BP5)</f>
        <v>0</v>
      </c>
      <c r="BR5" s="4">
        <f>F5+P5+AG5+AQ5+BH5</f>
        <v>0</v>
      </c>
      <c r="BS5" s="4">
        <f>G5+Q5+AH5+AR5+BI5</f>
        <v>831650</v>
      </c>
      <c r="BT5" s="4">
        <f>H5+R5+AI5+AS5+BJ5</f>
        <v>1522550</v>
      </c>
      <c r="BU5" s="4">
        <f>I5+S5+Z5+AJ5+AT5+BA5+BK5</f>
        <v>1120000</v>
      </c>
      <c r="BV5" s="94">
        <f>J5+T5+AA5+AK5+AU5+BB5+BL5</f>
        <v>1155000</v>
      </c>
      <c r="BW5" s="94">
        <f>K5+U5+AB5+AM5+AV5+BC5+BM5</f>
        <v>1777000</v>
      </c>
      <c r="BX5" s="94">
        <f>L5+V5+AC5+AM5+AW5+BD5+BN5</f>
        <v>1707000</v>
      </c>
      <c r="BY5" s="94">
        <f>M5+W5+AD5+AO5+AX5+BE5+BO5</f>
        <v>1560000</v>
      </c>
      <c r="BZ5" s="94">
        <f>N5+X5+AE5+AO5+AY5+BF5+BP5</f>
        <v>1248000</v>
      </c>
      <c r="CA5" s="9">
        <f>SUM(BR5:BZ5)</f>
        <v>10921200</v>
      </c>
    </row>
    <row r="6" spans="1:79">
      <c r="A6" s="186"/>
      <c r="B6" s="8">
        <v>2</v>
      </c>
      <c r="C6" s="1" t="s">
        <v>68</v>
      </c>
      <c r="D6" s="4" t="s">
        <v>39</v>
      </c>
      <c r="E6" s="4" t="s">
        <v>29</v>
      </c>
      <c r="F6" s="4">
        <v>155000</v>
      </c>
      <c r="G6" s="4">
        <v>981065</v>
      </c>
      <c r="H6" s="4">
        <v>220000</v>
      </c>
      <c r="I6" s="4">
        <f>100000+120000+20000</f>
        <v>240000</v>
      </c>
      <c r="J6" s="4"/>
      <c r="K6" s="4"/>
      <c r="L6" s="4"/>
      <c r="M6" s="4"/>
      <c r="N6" s="4"/>
      <c r="O6" s="9">
        <f t="shared" ref="O6:O15" si="0">SUM(F6:N6)</f>
        <v>1596065</v>
      </c>
      <c r="P6" s="4">
        <v>195000</v>
      </c>
      <c r="Q6" s="10">
        <v>1237100</v>
      </c>
      <c r="R6" s="10">
        <v>145500</v>
      </c>
      <c r="S6" s="27">
        <v>330000</v>
      </c>
      <c r="T6" s="20"/>
      <c r="U6" s="20"/>
      <c r="V6" s="20"/>
      <c r="W6" s="20"/>
      <c r="X6" s="20"/>
      <c r="Y6" s="21">
        <f t="shared" ref="Y6:Y15" si="1">SUM(P6:X6)</f>
        <v>1907600</v>
      </c>
      <c r="Z6" s="10">
        <v>1043000</v>
      </c>
      <c r="AA6" s="20">
        <f>105000+210000+315000+315000+210000</f>
        <v>1155000</v>
      </c>
      <c r="AB6" s="20">
        <f>1294254+299658+148627</f>
        <v>1742539</v>
      </c>
      <c r="AC6" s="20">
        <v>1843279</v>
      </c>
      <c r="AD6" s="20">
        <v>1716000</v>
      </c>
      <c r="AE6" s="175">
        <v>1237600</v>
      </c>
      <c r="AF6" s="21">
        <f t="shared" ref="AF6:AF15" si="2">SUM(Z6:AE6)</f>
        <v>8737418</v>
      </c>
      <c r="AG6" s="4"/>
      <c r="AH6" s="4"/>
      <c r="AI6" s="4"/>
      <c r="AJ6" s="4"/>
      <c r="AK6" s="4"/>
      <c r="AL6" s="4"/>
      <c r="AM6" s="4"/>
      <c r="AN6" s="4"/>
      <c r="AO6" s="4"/>
      <c r="AP6" s="9">
        <f t="shared" ref="AP6:AP15" si="3">SUM(AG6:AO6)</f>
        <v>0</v>
      </c>
      <c r="AQ6" s="4"/>
      <c r="AR6" s="4"/>
      <c r="AS6" s="4"/>
      <c r="AT6" s="4"/>
      <c r="AU6" s="4"/>
      <c r="AV6" s="4"/>
      <c r="AW6" s="4"/>
      <c r="AX6" s="4"/>
      <c r="AY6" s="4"/>
      <c r="AZ6" s="9">
        <f t="shared" ref="AZ6:AZ15" si="4">SUM(AQ6:AY6)</f>
        <v>0</v>
      </c>
      <c r="BA6" s="10"/>
      <c r="BB6" s="20"/>
      <c r="BC6" s="20"/>
      <c r="BD6" s="20"/>
      <c r="BE6" s="20"/>
      <c r="BF6" s="4"/>
      <c r="BG6" s="21">
        <f t="shared" ref="BG6:BG15" si="5">SUM(BA6:BF6)</f>
        <v>0</v>
      </c>
      <c r="BH6" s="10"/>
      <c r="BI6" s="10"/>
      <c r="BJ6" s="10"/>
      <c r="BK6" s="10"/>
      <c r="BL6" s="20"/>
      <c r="BM6" s="20"/>
      <c r="BN6" s="20"/>
      <c r="BO6" s="20"/>
      <c r="BP6" s="20"/>
      <c r="BQ6" s="21">
        <f t="shared" ref="BQ6:BQ15" si="6">SUM(BH6:BP6)</f>
        <v>0</v>
      </c>
      <c r="BR6" s="4">
        <f t="shared" ref="BR6:BR15" si="7">F6+P6+AG6+AQ6+BH6</f>
        <v>350000</v>
      </c>
      <c r="BS6" s="4">
        <f t="shared" ref="BS6:BS15" si="8">G6+Q6+AH6+AR6+BI6</f>
        <v>2218165</v>
      </c>
      <c r="BT6" s="4">
        <f t="shared" ref="BT6:BT15" si="9">H6+R6+AI6+AS6+BJ6</f>
        <v>365500</v>
      </c>
      <c r="BU6" s="4">
        <f t="shared" ref="BU6:BU15" si="10">I6+S6+Z6+AJ6+AT6+BA6+BK6</f>
        <v>1613000</v>
      </c>
      <c r="BV6" s="94">
        <f t="shared" ref="BV6:BV15" si="11">J6+T6+AA6+AK6+AU6+BB6+BL6</f>
        <v>1155000</v>
      </c>
      <c r="BW6" s="94">
        <f t="shared" ref="BW6:BW15" si="12">K6+U6+AB6+AM6+AV6+BC6+BM6</f>
        <v>1742539</v>
      </c>
      <c r="BX6" s="94">
        <f t="shared" ref="BX6:BX15" si="13">L6+V6+AC6+AM6+AW6+BD6+BN6</f>
        <v>1843279</v>
      </c>
      <c r="BY6" s="94">
        <f t="shared" ref="BY6:BY15" si="14">M6+W6+AD6+AO6+AX6+BE6+BO6</f>
        <v>1716000</v>
      </c>
      <c r="BZ6" s="94">
        <f t="shared" ref="BZ6:BZ15" si="15">N6+X6+AE6+AO6+AY6+BF6+BP6</f>
        <v>1237600</v>
      </c>
      <c r="CA6" s="9">
        <f t="shared" ref="CA6:CA15" si="16">SUM(BR6:BZ6)</f>
        <v>12241083</v>
      </c>
    </row>
    <row r="7" spans="1:79">
      <c r="A7" s="186"/>
      <c r="B7" s="8">
        <v>3</v>
      </c>
      <c r="C7" s="1" t="s">
        <v>69</v>
      </c>
      <c r="D7" s="4" t="s">
        <v>67</v>
      </c>
      <c r="E7" s="4" t="s">
        <v>29</v>
      </c>
      <c r="F7" s="4">
        <v>155000</v>
      </c>
      <c r="G7" s="4">
        <v>316345</v>
      </c>
      <c r="H7" s="4">
        <v>330000</v>
      </c>
      <c r="I7" s="4">
        <f>360000+20000</f>
        <v>380000</v>
      </c>
      <c r="J7" s="4"/>
      <c r="K7" s="4"/>
      <c r="L7" s="4"/>
      <c r="M7" s="4"/>
      <c r="N7" s="4"/>
      <c r="O7" s="9">
        <f t="shared" si="0"/>
        <v>1181345</v>
      </c>
      <c r="P7" s="4">
        <v>195000</v>
      </c>
      <c r="Q7" s="10">
        <v>1233000</v>
      </c>
      <c r="R7" s="10">
        <f>669300+90000</f>
        <v>759300</v>
      </c>
      <c r="S7" s="27">
        <v>120000</v>
      </c>
      <c r="T7" s="20"/>
      <c r="U7" s="20"/>
      <c r="V7" s="20"/>
      <c r="W7" s="20"/>
      <c r="X7" s="20"/>
      <c r="Y7" s="21">
        <f t="shared" si="1"/>
        <v>2307300</v>
      </c>
      <c r="Z7" s="10">
        <v>1113000</v>
      </c>
      <c r="AA7" s="20">
        <f>101500+304500+609000+203000</f>
        <v>1218000</v>
      </c>
      <c r="AB7" s="20">
        <f>1362660+293840+148490</f>
        <v>1804990</v>
      </c>
      <c r="AC7" s="20">
        <v>1764276</v>
      </c>
      <c r="AD7" s="20">
        <v>1596400</v>
      </c>
      <c r="AE7" s="175">
        <v>1216800</v>
      </c>
      <c r="AF7" s="21">
        <f t="shared" si="2"/>
        <v>8713466</v>
      </c>
      <c r="AG7" s="4"/>
      <c r="AH7" s="4"/>
      <c r="AI7" s="4"/>
      <c r="AJ7" s="4"/>
      <c r="AK7" s="4"/>
      <c r="AL7" s="4"/>
      <c r="AM7" s="4"/>
      <c r="AN7" s="4"/>
      <c r="AO7" s="4"/>
      <c r="AP7" s="9">
        <f t="shared" si="3"/>
        <v>0</v>
      </c>
      <c r="AQ7" s="4"/>
      <c r="AR7" s="4"/>
      <c r="AS7" s="4"/>
      <c r="AT7" s="4"/>
      <c r="AU7" s="4"/>
      <c r="AV7" s="4"/>
      <c r="AW7" s="4"/>
      <c r="AX7" s="4"/>
      <c r="AY7" s="4"/>
      <c r="AZ7" s="9">
        <f t="shared" si="4"/>
        <v>0</v>
      </c>
      <c r="BA7" s="10"/>
      <c r="BB7" s="20"/>
      <c r="BC7" s="20"/>
      <c r="BD7" s="20"/>
      <c r="BE7" s="20"/>
      <c r="BF7" s="4"/>
      <c r="BG7" s="21">
        <f t="shared" si="5"/>
        <v>0</v>
      </c>
      <c r="BH7" s="10"/>
      <c r="BI7" s="10"/>
      <c r="BJ7" s="10"/>
      <c r="BK7" s="10"/>
      <c r="BL7" s="20"/>
      <c r="BM7" s="20"/>
      <c r="BN7" s="20"/>
      <c r="BO7" s="20"/>
      <c r="BP7" s="20"/>
      <c r="BQ7" s="21">
        <f t="shared" si="6"/>
        <v>0</v>
      </c>
      <c r="BR7" s="4">
        <f t="shared" si="7"/>
        <v>350000</v>
      </c>
      <c r="BS7" s="4">
        <f t="shared" si="8"/>
        <v>1549345</v>
      </c>
      <c r="BT7" s="4">
        <f t="shared" si="9"/>
        <v>1089300</v>
      </c>
      <c r="BU7" s="4">
        <f t="shared" si="10"/>
        <v>1613000</v>
      </c>
      <c r="BV7" s="94">
        <f t="shared" si="11"/>
        <v>1218000</v>
      </c>
      <c r="BW7" s="94">
        <f t="shared" si="12"/>
        <v>1804990</v>
      </c>
      <c r="BX7" s="94">
        <f t="shared" si="13"/>
        <v>1764276</v>
      </c>
      <c r="BY7" s="94">
        <f t="shared" si="14"/>
        <v>1596400</v>
      </c>
      <c r="BZ7" s="94">
        <f t="shared" si="15"/>
        <v>1216800</v>
      </c>
      <c r="CA7" s="9">
        <f t="shared" si="16"/>
        <v>12202111</v>
      </c>
    </row>
    <row r="8" spans="1:79">
      <c r="A8" s="186"/>
      <c r="B8" s="8">
        <v>4</v>
      </c>
      <c r="C8" s="1" t="s">
        <v>70</v>
      </c>
      <c r="D8" s="4" t="s">
        <v>71</v>
      </c>
      <c r="E8" s="4" t="s">
        <v>29</v>
      </c>
      <c r="F8" s="4"/>
      <c r="G8" s="4"/>
      <c r="H8" s="4">
        <f>155000+313500</f>
        <v>468500</v>
      </c>
      <c r="I8" s="4">
        <f>100000+20000</f>
        <v>120000</v>
      </c>
      <c r="J8" s="4"/>
      <c r="K8" s="4"/>
      <c r="L8" s="4"/>
      <c r="M8" s="4"/>
      <c r="N8" s="4"/>
      <c r="O8" s="9">
        <f t="shared" si="0"/>
        <v>588500</v>
      </c>
      <c r="P8" s="4"/>
      <c r="Q8" s="4">
        <v>195000</v>
      </c>
      <c r="R8" s="10">
        <f>620800+150000</f>
        <v>770800</v>
      </c>
      <c r="S8" s="27">
        <v>30000</v>
      </c>
      <c r="T8" s="20"/>
      <c r="U8" s="20"/>
      <c r="V8" s="20"/>
      <c r="W8" s="20"/>
      <c r="X8" s="20"/>
      <c r="Y8" s="21">
        <f t="shared" si="1"/>
        <v>995800</v>
      </c>
      <c r="Z8" s="10">
        <v>1155000</v>
      </c>
      <c r="AA8" s="20">
        <f>105000+315000+315000+315000+210000</f>
        <v>1260000</v>
      </c>
      <c r="AB8" s="20">
        <f>1290400+132960+144000+144000</f>
        <v>1711360</v>
      </c>
      <c r="AC8" s="20">
        <v>1776000</v>
      </c>
      <c r="AD8" s="20">
        <v>1716000</v>
      </c>
      <c r="AE8" s="175">
        <v>1248000</v>
      </c>
      <c r="AF8" s="21">
        <f t="shared" si="2"/>
        <v>8866360</v>
      </c>
      <c r="AG8" s="4"/>
      <c r="AH8" s="4">
        <v>290000</v>
      </c>
      <c r="AI8" s="4">
        <v>2759000</v>
      </c>
      <c r="AJ8" s="11">
        <v>300000</v>
      </c>
      <c r="AK8" s="11"/>
      <c r="AL8" s="11"/>
      <c r="AM8" s="11"/>
      <c r="AN8" s="11"/>
      <c r="AO8" s="11"/>
      <c r="AP8" s="9">
        <f t="shared" si="3"/>
        <v>3349000</v>
      </c>
      <c r="AQ8" s="4"/>
      <c r="AR8" s="4"/>
      <c r="AS8" s="4"/>
      <c r="AT8" s="4"/>
      <c r="AU8" s="4"/>
      <c r="AV8" s="4"/>
      <c r="AW8" s="4"/>
      <c r="AX8" s="4"/>
      <c r="AY8" s="4"/>
      <c r="AZ8" s="9">
        <f t="shared" si="4"/>
        <v>0</v>
      </c>
      <c r="BA8" s="10"/>
      <c r="BB8" s="20"/>
      <c r="BC8" s="20"/>
      <c r="BD8" s="20"/>
      <c r="BE8" s="20"/>
      <c r="BF8" s="11"/>
      <c r="BG8" s="21">
        <f t="shared" si="5"/>
        <v>0</v>
      </c>
      <c r="BH8" s="10"/>
      <c r="BI8" s="10"/>
      <c r="BJ8" s="10"/>
      <c r="BK8" s="10"/>
      <c r="BL8" s="20"/>
      <c r="BM8" s="20"/>
      <c r="BN8" s="20"/>
      <c r="BO8" s="20"/>
      <c r="BP8" s="20"/>
      <c r="BQ8" s="21">
        <f t="shared" si="6"/>
        <v>0</v>
      </c>
      <c r="BR8" s="4">
        <f t="shared" si="7"/>
        <v>0</v>
      </c>
      <c r="BS8" s="4">
        <f t="shared" si="8"/>
        <v>485000</v>
      </c>
      <c r="BT8" s="4">
        <f t="shared" si="9"/>
        <v>3998300</v>
      </c>
      <c r="BU8" s="4">
        <f t="shared" si="10"/>
        <v>1605000</v>
      </c>
      <c r="BV8" s="94">
        <f t="shared" si="11"/>
        <v>1260000</v>
      </c>
      <c r="BW8" s="94">
        <f t="shared" si="12"/>
        <v>1711360</v>
      </c>
      <c r="BX8" s="94">
        <f t="shared" si="13"/>
        <v>1776000</v>
      </c>
      <c r="BY8" s="94">
        <f t="shared" si="14"/>
        <v>1716000</v>
      </c>
      <c r="BZ8" s="94">
        <f t="shared" si="15"/>
        <v>1248000</v>
      </c>
      <c r="CA8" s="9">
        <f t="shared" si="16"/>
        <v>13799660</v>
      </c>
    </row>
    <row r="9" spans="1:79">
      <c r="A9" s="186"/>
      <c r="B9" s="8">
        <v>5</v>
      </c>
      <c r="C9" s="1" t="s">
        <v>11</v>
      </c>
      <c r="D9" s="4" t="s">
        <v>39</v>
      </c>
      <c r="E9" s="4" t="s">
        <v>29</v>
      </c>
      <c r="F9" s="4"/>
      <c r="G9" s="4"/>
      <c r="H9" s="4"/>
      <c r="I9" s="4"/>
      <c r="J9" s="4"/>
      <c r="K9" s="4"/>
      <c r="L9" s="4"/>
      <c r="M9" s="4"/>
      <c r="N9" s="4"/>
      <c r="O9" s="9">
        <f t="shared" si="0"/>
        <v>0</v>
      </c>
      <c r="P9" s="4"/>
      <c r="Q9" s="10">
        <v>1169850</v>
      </c>
      <c r="R9" s="10">
        <v>1051200</v>
      </c>
      <c r="S9" s="27">
        <v>30000</v>
      </c>
      <c r="T9" s="20"/>
      <c r="U9" s="20"/>
      <c r="V9" s="20"/>
      <c r="W9" s="20"/>
      <c r="X9" s="20"/>
      <c r="Y9" s="21">
        <f t="shared" si="1"/>
        <v>2251050</v>
      </c>
      <c r="Z9" s="10">
        <v>0</v>
      </c>
      <c r="AA9" s="20"/>
      <c r="AB9" s="20"/>
      <c r="AC9" s="20"/>
      <c r="AD9" s="20"/>
      <c r="AE9" s="20"/>
      <c r="AF9" s="21">
        <f t="shared" si="2"/>
        <v>0</v>
      </c>
      <c r="AG9" s="4"/>
      <c r="AH9" s="4">
        <v>1263000</v>
      </c>
      <c r="AI9" s="4">
        <v>840000</v>
      </c>
      <c r="AJ9" s="11">
        <v>300000</v>
      </c>
      <c r="AK9" s="11"/>
      <c r="AL9" s="11"/>
      <c r="AM9" s="11"/>
      <c r="AN9" s="11"/>
      <c r="AO9" s="22"/>
      <c r="AP9" s="9">
        <f t="shared" si="3"/>
        <v>2403000</v>
      </c>
      <c r="AQ9" s="76">
        <v>290000</v>
      </c>
      <c r="AR9" s="76">
        <v>1260000</v>
      </c>
      <c r="AS9" s="76">
        <v>920000</v>
      </c>
      <c r="AT9" s="76">
        <v>300000</v>
      </c>
      <c r="AU9" s="4"/>
      <c r="AV9" s="4"/>
      <c r="AW9" s="4"/>
      <c r="AX9" s="4"/>
      <c r="AY9" s="4"/>
      <c r="AZ9" s="9">
        <f t="shared" si="4"/>
        <v>2770000</v>
      </c>
      <c r="BA9" s="10"/>
      <c r="BB9" s="20">
        <f>1400000+300000+200000</f>
        <v>1900000</v>
      </c>
      <c r="BC9" s="20">
        <f>1621500+510000</f>
        <v>2131500</v>
      </c>
      <c r="BD9" s="20">
        <f>170000+340000+680000+170000</f>
        <v>1360000</v>
      </c>
      <c r="BE9" s="20">
        <f>493000+153000+178500+178500+178500+357000+357000+178500</f>
        <v>2074000</v>
      </c>
      <c r="BF9" s="22">
        <v>1496000</v>
      </c>
      <c r="BG9" s="21">
        <f t="shared" si="5"/>
        <v>8961500</v>
      </c>
      <c r="BH9" s="10"/>
      <c r="BI9" s="10"/>
      <c r="BJ9" s="10"/>
      <c r="BK9" s="10"/>
      <c r="BL9" s="20"/>
      <c r="BM9" s="20"/>
      <c r="BN9" s="20"/>
      <c r="BO9" s="20"/>
      <c r="BP9" s="20"/>
      <c r="BQ9" s="21">
        <f t="shared" si="6"/>
        <v>0</v>
      </c>
      <c r="BR9" s="4">
        <f t="shared" si="7"/>
        <v>290000</v>
      </c>
      <c r="BS9" s="4">
        <f t="shared" si="8"/>
        <v>3692850</v>
      </c>
      <c r="BT9" s="4">
        <f t="shared" si="9"/>
        <v>2811200</v>
      </c>
      <c r="BU9" s="4">
        <f t="shared" si="10"/>
        <v>630000</v>
      </c>
      <c r="BV9" s="94">
        <f t="shared" si="11"/>
        <v>1900000</v>
      </c>
      <c r="BW9" s="94">
        <f t="shared" si="12"/>
        <v>2131500</v>
      </c>
      <c r="BX9" s="94">
        <f t="shared" si="13"/>
        <v>1360000</v>
      </c>
      <c r="BY9" s="94">
        <f t="shared" si="14"/>
        <v>2074000</v>
      </c>
      <c r="BZ9" s="94">
        <f t="shared" si="15"/>
        <v>1496000</v>
      </c>
      <c r="CA9" s="9">
        <f t="shared" si="16"/>
        <v>16385550</v>
      </c>
    </row>
    <row r="10" spans="1:79">
      <c r="A10" s="186"/>
      <c r="B10" s="8">
        <v>6</v>
      </c>
      <c r="C10" s="1" t="s">
        <v>72</v>
      </c>
      <c r="D10" s="33" t="s">
        <v>73</v>
      </c>
      <c r="E10" s="4" t="s">
        <v>29</v>
      </c>
      <c r="F10" s="4"/>
      <c r="G10" s="4"/>
      <c r="H10" s="4"/>
      <c r="I10" s="4"/>
      <c r="J10" s="4"/>
      <c r="K10" s="4"/>
      <c r="L10" s="4"/>
      <c r="M10" s="4"/>
      <c r="N10" s="4"/>
      <c r="O10" s="9">
        <f t="shared" si="0"/>
        <v>0</v>
      </c>
      <c r="P10" s="4"/>
      <c r="Q10" s="10">
        <v>195000</v>
      </c>
      <c r="R10" s="10">
        <f>494700+150000</f>
        <v>644700</v>
      </c>
      <c r="S10" s="27">
        <v>625000</v>
      </c>
      <c r="T10" s="20">
        <f>119000+178500+178500+178500+119000</f>
        <v>773500</v>
      </c>
      <c r="U10" s="20">
        <f>648550+130900+65450</f>
        <v>844900</v>
      </c>
      <c r="V10" s="20">
        <v>454300</v>
      </c>
      <c r="W10" s="20">
        <v>872950</v>
      </c>
      <c r="X10" s="174">
        <v>543200</v>
      </c>
      <c r="Y10" s="21">
        <f t="shared" si="1"/>
        <v>4953550</v>
      </c>
      <c r="Z10" s="10">
        <v>0</v>
      </c>
      <c r="AA10" s="20"/>
      <c r="AB10" s="20"/>
      <c r="AC10" s="20"/>
      <c r="AD10" s="20"/>
      <c r="AE10" s="20"/>
      <c r="AF10" s="21">
        <f t="shared" si="2"/>
        <v>0</v>
      </c>
      <c r="AG10" s="4"/>
      <c r="AH10" s="4"/>
      <c r="AI10" s="4"/>
      <c r="AJ10" s="4"/>
      <c r="AK10" s="4"/>
      <c r="AL10" s="4"/>
      <c r="AM10" s="4"/>
      <c r="AN10" s="4"/>
      <c r="AO10" s="4"/>
      <c r="AP10" s="9">
        <f t="shared" si="3"/>
        <v>0</v>
      </c>
      <c r="AQ10" s="4"/>
      <c r="AR10" s="4"/>
      <c r="AS10" s="4"/>
      <c r="AT10" s="4"/>
      <c r="AU10" s="4"/>
      <c r="AV10" s="4"/>
      <c r="AW10" s="4"/>
      <c r="AX10" s="4"/>
      <c r="AY10" s="4"/>
      <c r="AZ10" s="9">
        <f t="shared" si="4"/>
        <v>0</v>
      </c>
      <c r="BA10" s="10"/>
      <c r="BB10" s="20"/>
      <c r="BC10" s="20"/>
      <c r="BD10" s="20"/>
      <c r="BE10" s="20"/>
      <c r="BF10" s="4"/>
      <c r="BG10" s="21">
        <f t="shared" si="5"/>
        <v>0</v>
      </c>
      <c r="BH10" s="10"/>
      <c r="BI10" s="10"/>
      <c r="BJ10" s="10"/>
      <c r="BK10" s="10"/>
      <c r="BL10" s="20"/>
      <c r="BM10" s="20"/>
      <c r="BN10" s="20"/>
      <c r="BO10" s="20"/>
      <c r="BP10" s="20"/>
      <c r="BQ10" s="21">
        <f t="shared" si="6"/>
        <v>0</v>
      </c>
      <c r="BR10" s="4">
        <f t="shared" si="7"/>
        <v>0</v>
      </c>
      <c r="BS10" s="4">
        <f t="shared" si="8"/>
        <v>195000</v>
      </c>
      <c r="BT10" s="4">
        <f t="shared" si="9"/>
        <v>644700</v>
      </c>
      <c r="BU10" s="4">
        <f t="shared" si="10"/>
        <v>625000</v>
      </c>
      <c r="BV10" s="94">
        <f t="shared" si="11"/>
        <v>773500</v>
      </c>
      <c r="BW10" s="94">
        <f t="shared" si="12"/>
        <v>844900</v>
      </c>
      <c r="BX10" s="94">
        <f t="shared" si="13"/>
        <v>454300</v>
      </c>
      <c r="BY10" s="94">
        <f t="shared" si="14"/>
        <v>872950</v>
      </c>
      <c r="BZ10" s="94">
        <f t="shared" si="15"/>
        <v>543200</v>
      </c>
      <c r="CA10" s="9">
        <f t="shared" si="16"/>
        <v>4953550</v>
      </c>
    </row>
    <row r="11" spans="1:79">
      <c r="A11" s="186"/>
      <c r="B11" s="8">
        <v>7</v>
      </c>
      <c r="C11" s="1" t="s">
        <v>74</v>
      </c>
      <c r="D11" s="4" t="s">
        <v>75</v>
      </c>
      <c r="E11" s="4" t="s">
        <v>29</v>
      </c>
      <c r="F11" s="4">
        <v>155000</v>
      </c>
      <c r="G11" s="4">
        <v>1238552</v>
      </c>
      <c r="H11" s="4">
        <v>220000</v>
      </c>
      <c r="I11" s="4"/>
      <c r="J11" s="4"/>
      <c r="K11" s="4"/>
      <c r="L11" s="4"/>
      <c r="M11" s="4"/>
      <c r="N11" s="4"/>
      <c r="O11" s="9">
        <f t="shared" si="0"/>
        <v>1613552</v>
      </c>
      <c r="P11" s="4"/>
      <c r="Q11" s="10">
        <v>1451150</v>
      </c>
      <c r="R11" s="10">
        <v>523800</v>
      </c>
      <c r="S11" s="27"/>
      <c r="T11" s="20"/>
      <c r="U11" s="20"/>
      <c r="V11" s="20"/>
      <c r="W11" s="20"/>
      <c r="X11" s="20"/>
      <c r="Y11" s="21">
        <f t="shared" si="1"/>
        <v>1974950</v>
      </c>
      <c r="Z11" s="10">
        <v>840000</v>
      </c>
      <c r="AA11" s="20">
        <f>105000+285000+315000+15000+315000+210000</f>
        <v>1245000</v>
      </c>
      <c r="AB11" s="20">
        <f>609000+890570+129000</f>
        <v>1628570</v>
      </c>
      <c r="AC11" s="20">
        <v>1548200</v>
      </c>
      <c r="AD11" s="20">
        <v>1642000</v>
      </c>
      <c r="AE11" s="175">
        <v>1081600</v>
      </c>
      <c r="AF11" s="21">
        <f t="shared" si="2"/>
        <v>7985370</v>
      </c>
      <c r="AG11" s="4"/>
      <c r="AH11" s="4"/>
      <c r="AI11" s="4"/>
      <c r="AJ11" s="4"/>
      <c r="AK11" s="4"/>
      <c r="AL11" s="4"/>
      <c r="AM11" s="4"/>
      <c r="AN11" s="4"/>
      <c r="AO11" s="4"/>
      <c r="AP11" s="9">
        <f t="shared" si="3"/>
        <v>0</v>
      </c>
      <c r="AQ11" s="4"/>
      <c r="AR11" s="4"/>
      <c r="AS11" s="4"/>
      <c r="AT11" s="4"/>
      <c r="AU11" s="4"/>
      <c r="AV11" s="4"/>
      <c r="AW11" s="4"/>
      <c r="AX11" s="4"/>
      <c r="AY11" s="4"/>
      <c r="AZ11" s="9">
        <f t="shared" si="4"/>
        <v>0</v>
      </c>
      <c r="BA11" s="10"/>
      <c r="BB11" s="20"/>
      <c r="BC11" s="20"/>
      <c r="BD11" s="20"/>
      <c r="BE11" s="20"/>
      <c r="BF11" s="4"/>
      <c r="BG11" s="21">
        <f t="shared" si="5"/>
        <v>0</v>
      </c>
      <c r="BH11" s="10"/>
      <c r="BI11" s="10"/>
      <c r="BJ11" s="10"/>
      <c r="BK11" s="10"/>
      <c r="BL11" s="20"/>
      <c r="BM11" s="20"/>
      <c r="BN11" s="20"/>
      <c r="BO11" s="20"/>
      <c r="BP11" s="20"/>
      <c r="BQ11" s="21">
        <f t="shared" si="6"/>
        <v>0</v>
      </c>
      <c r="BR11" s="4">
        <f t="shared" si="7"/>
        <v>155000</v>
      </c>
      <c r="BS11" s="4">
        <f t="shared" si="8"/>
        <v>2689702</v>
      </c>
      <c r="BT11" s="4">
        <f t="shared" si="9"/>
        <v>743800</v>
      </c>
      <c r="BU11" s="4">
        <f t="shared" si="10"/>
        <v>840000</v>
      </c>
      <c r="BV11" s="94">
        <f t="shared" si="11"/>
        <v>1245000</v>
      </c>
      <c r="BW11" s="94">
        <f t="shared" si="12"/>
        <v>1628570</v>
      </c>
      <c r="BX11" s="94">
        <f t="shared" si="13"/>
        <v>1548200</v>
      </c>
      <c r="BY11" s="94">
        <f t="shared" si="14"/>
        <v>1642000</v>
      </c>
      <c r="BZ11" s="94">
        <f t="shared" si="15"/>
        <v>1081600</v>
      </c>
      <c r="CA11" s="9">
        <f t="shared" si="16"/>
        <v>11573872</v>
      </c>
    </row>
    <row r="12" spans="1:79">
      <c r="A12" s="186"/>
      <c r="B12" s="8">
        <v>8</v>
      </c>
      <c r="C12" s="1" t="s">
        <v>76</v>
      </c>
      <c r="D12" s="5" t="s">
        <v>67</v>
      </c>
      <c r="E12" s="4" t="s">
        <v>29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0"/>
        <v>0</v>
      </c>
      <c r="P12" s="4"/>
      <c r="Q12" s="4">
        <v>195000</v>
      </c>
      <c r="R12" s="10">
        <f>1004850+120000</f>
        <v>1124850</v>
      </c>
      <c r="S12" s="27">
        <v>660000</v>
      </c>
      <c r="T12" s="20">
        <f>140000+140000+210000+210000+140000</f>
        <v>840000</v>
      </c>
      <c r="U12" s="20">
        <f>921315+251452+126792</f>
        <v>1299559</v>
      </c>
      <c r="V12" s="20">
        <v>1585478</v>
      </c>
      <c r="W12" s="20">
        <v>1600500</v>
      </c>
      <c r="X12" s="174">
        <v>1130050</v>
      </c>
      <c r="Y12" s="21">
        <f t="shared" si="1"/>
        <v>8435437</v>
      </c>
      <c r="Z12" s="10">
        <v>0</v>
      </c>
      <c r="AA12" s="20"/>
      <c r="AB12" s="20"/>
      <c r="AC12" s="20"/>
      <c r="AD12" s="20"/>
      <c r="AE12" s="20"/>
      <c r="AF12" s="21">
        <f t="shared" si="2"/>
        <v>0</v>
      </c>
      <c r="AG12" s="4"/>
      <c r="AH12" s="4"/>
      <c r="AI12" s="4"/>
      <c r="AJ12" s="4"/>
      <c r="AK12" s="4"/>
      <c r="AL12" s="4"/>
      <c r="AM12" s="4"/>
      <c r="AN12" s="4"/>
      <c r="AO12" s="4"/>
      <c r="AP12" s="9">
        <f t="shared" si="3"/>
        <v>0</v>
      </c>
      <c r="AQ12" s="4"/>
      <c r="AR12" s="4"/>
      <c r="AS12" s="4"/>
      <c r="AT12" s="4"/>
      <c r="AU12" s="4"/>
      <c r="AV12" s="4"/>
      <c r="AW12" s="4"/>
      <c r="AX12" s="4"/>
      <c r="AY12" s="4"/>
      <c r="AZ12" s="9">
        <f t="shared" si="4"/>
        <v>0</v>
      </c>
      <c r="BA12" s="10"/>
      <c r="BB12" s="20"/>
      <c r="BC12" s="20"/>
      <c r="BD12" s="20"/>
      <c r="BE12" s="20"/>
      <c r="BF12" s="4"/>
      <c r="BG12" s="21">
        <f t="shared" si="5"/>
        <v>0</v>
      </c>
      <c r="BH12" s="10"/>
      <c r="BI12" s="10"/>
      <c r="BJ12" s="10"/>
      <c r="BK12" s="10"/>
      <c r="BL12" s="20"/>
      <c r="BM12" s="20"/>
      <c r="BN12" s="20"/>
      <c r="BO12" s="20"/>
      <c r="BP12" s="20"/>
      <c r="BQ12" s="21">
        <f t="shared" si="6"/>
        <v>0</v>
      </c>
      <c r="BR12" s="4">
        <f t="shared" si="7"/>
        <v>0</v>
      </c>
      <c r="BS12" s="4">
        <f t="shared" si="8"/>
        <v>195000</v>
      </c>
      <c r="BT12" s="4">
        <f t="shared" si="9"/>
        <v>1124850</v>
      </c>
      <c r="BU12" s="4">
        <f t="shared" si="10"/>
        <v>660000</v>
      </c>
      <c r="BV12" s="94">
        <f t="shared" si="11"/>
        <v>840000</v>
      </c>
      <c r="BW12" s="94">
        <f t="shared" si="12"/>
        <v>1299559</v>
      </c>
      <c r="BX12" s="94">
        <f t="shared" si="13"/>
        <v>1585478</v>
      </c>
      <c r="BY12" s="94">
        <f t="shared" si="14"/>
        <v>1600500</v>
      </c>
      <c r="BZ12" s="94">
        <f t="shared" si="15"/>
        <v>1130050</v>
      </c>
      <c r="CA12" s="9">
        <f t="shared" si="16"/>
        <v>8435437</v>
      </c>
    </row>
    <row r="13" spans="1:79">
      <c r="A13" s="186"/>
      <c r="B13" s="8">
        <v>9</v>
      </c>
      <c r="C13" s="1" t="s">
        <v>77</v>
      </c>
      <c r="D13" s="4" t="s">
        <v>78</v>
      </c>
      <c r="E13" s="4" t="s">
        <v>29</v>
      </c>
      <c r="F13" s="4"/>
      <c r="G13" s="4"/>
      <c r="H13" s="4"/>
      <c r="I13" s="4"/>
      <c r="J13" s="4"/>
      <c r="K13" s="4"/>
      <c r="L13" s="4"/>
      <c r="M13" s="4"/>
      <c r="N13" s="4"/>
      <c r="O13" s="9">
        <f t="shared" si="0"/>
        <v>0</v>
      </c>
      <c r="P13" s="4"/>
      <c r="Q13" s="10"/>
      <c r="R13" s="10"/>
      <c r="S13" s="10"/>
      <c r="T13" s="20"/>
      <c r="U13" s="20"/>
      <c r="V13" s="20"/>
      <c r="W13" s="20"/>
      <c r="X13" s="20"/>
      <c r="Y13" s="21">
        <f t="shared" si="1"/>
        <v>0</v>
      </c>
      <c r="Z13" s="10">
        <v>0</v>
      </c>
      <c r="AA13" s="20"/>
      <c r="AB13" s="20"/>
      <c r="AC13" s="20"/>
      <c r="AD13" s="20"/>
      <c r="AE13" s="20"/>
      <c r="AF13" s="21">
        <f t="shared" si="2"/>
        <v>0</v>
      </c>
      <c r="AG13" s="4"/>
      <c r="AH13" s="4"/>
      <c r="AI13" s="4"/>
      <c r="AJ13" s="4"/>
      <c r="AK13" s="4"/>
      <c r="AL13" s="4"/>
      <c r="AM13" s="4"/>
      <c r="AN13" s="4"/>
      <c r="AO13" s="4"/>
      <c r="AP13" s="9">
        <f t="shared" si="3"/>
        <v>0</v>
      </c>
      <c r="AQ13" s="76"/>
      <c r="AR13" s="76"/>
      <c r="AS13" s="76">
        <v>290000</v>
      </c>
      <c r="AT13" s="76">
        <v>775000</v>
      </c>
      <c r="AU13" s="4">
        <f>150000+675000+225000+150000</f>
        <v>1200000</v>
      </c>
      <c r="AV13" s="4">
        <f>1425000+450000</f>
        <v>1875000</v>
      </c>
      <c r="AW13" s="4">
        <f>600000+300000+150000+150000+150000+300000+150000</f>
        <v>1800000</v>
      </c>
      <c r="AX13" s="4">
        <f>300000+150000+150000+150000+150000+300000+450000</f>
        <v>1650000</v>
      </c>
      <c r="AY13" s="4">
        <v>950000</v>
      </c>
      <c r="AZ13" s="9">
        <f t="shared" si="4"/>
        <v>8540000</v>
      </c>
      <c r="BA13" s="10"/>
      <c r="BB13" s="20"/>
      <c r="BC13" s="20"/>
      <c r="BD13" s="20"/>
      <c r="BE13" s="20"/>
      <c r="BF13" s="4"/>
      <c r="BG13" s="21">
        <f t="shared" si="5"/>
        <v>0</v>
      </c>
      <c r="BH13" s="10"/>
      <c r="BI13" s="10"/>
      <c r="BJ13" s="10"/>
      <c r="BK13" s="10"/>
      <c r="BL13" s="20"/>
      <c r="BM13" s="20"/>
      <c r="BN13" s="20"/>
      <c r="BO13" s="20"/>
      <c r="BP13" s="20"/>
      <c r="BQ13" s="21">
        <f t="shared" si="6"/>
        <v>0</v>
      </c>
      <c r="BR13" s="4">
        <f t="shared" si="7"/>
        <v>0</v>
      </c>
      <c r="BS13" s="4">
        <f t="shared" si="8"/>
        <v>0</v>
      </c>
      <c r="BT13" s="4">
        <f t="shared" si="9"/>
        <v>290000</v>
      </c>
      <c r="BU13" s="4">
        <f t="shared" si="10"/>
        <v>775000</v>
      </c>
      <c r="BV13" s="94">
        <f t="shared" si="11"/>
        <v>1200000</v>
      </c>
      <c r="BW13" s="94">
        <f t="shared" si="12"/>
        <v>1875000</v>
      </c>
      <c r="BX13" s="94">
        <f t="shared" si="13"/>
        <v>1800000</v>
      </c>
      <c r="BY13" s="94">
        <f t="shared" si="14"/>
        <v>1650000</v>
      </c>
      <c r="BZ13" s="94">
        <f t="shared" si="15"/>
        <v>950000</v>
      </c>
      <c r="CA13" s="9">
        <f t="shared" si="16"/>
        <v>8540000</v>
      </c>
    </row>
    <row r="14" spans="1:79" ht="31.5">
      <c r="A14" s="186"/>
      <c r="B14" s="8">
        <v>10</v>
      </c>
      <c r="C14" s="1" t="s">
        <v>79</v>
      </c>
      <c r="D14" s="4" t="s">
        <v>80</v>
      </c>
      <c r="E14" s="4" t="s">
        <v>29</v>
      </c>
      <c r="F14" s="4"/>
      <c r="G14" s="4"/>
      <c r="H14" s="4">
        <f>155000+32667</f>
        <v>187667</v>
      </c>
      <c r="I14" s="4">
        <f>100000+20000+20000</f>
        <v>140000</v>
      </c>
      <c r="J14" s="4"/>
      <c r="K14" s="4"/>
      <c r="L14" s="4"/>
      <c r="M14" s="4"/>
      <c r="N14" s="4"/>
      <c r="O14" s="9">
        <f t="shared" si="0"/>
        <v>327667</v>
      </c>
      <c r="P14" s="4"/>
      <c r="Q14" s="10">
        <v>641000</v>
      </c>
      <c r="R14" s="10">
        <f>787850+210000</f>
        <v>997850</v>
      </c>
      <c r="S14" s="10">
        <v>60000</v>
      </c>
      <c r="T14" s="20"/>
      <c r="U14" s="20"/>
      <c r="V14" s="20"/>
      <c r="W14" s="20"/>
      <c r="X14" s="20"/>
      <c r="Y14" s="21">
        <f t="shared" si="1"/>
        <v>1698850</v>
      </c>
      <c r="Z14" s="10">
        <v>1155000</v>
      </c>
      <c r="AA14" s="20">
        <f>105000+315000+315000+315000+210000</f>
        <v>1260000</v>
      </c>
      <c r="AB14" s="20">
        <f>1421340+306320+156000</f>
        <v>1883660</v>
      </c>
      <c r="AC14" s="20">
        <v>1779690</v>
      </c>
      <c r="AD14" s="20">
        <v>1404000</v>
      </c>
      <c r="AE14" s="175"/>
      <c r="AF14" s="21">
        <f t="shared" si="2"/>
        <v>7482350</v>
      </c>
      <c r="AG14" s="4"/>
      <c r="AH14" s="4"/>
      <c r="AI14" s="4"/>
      <c r="AJ14" s="4"/>
      <c r="AK14" s="4"/>
      <c r="AL14" s="4"/>
      <c r="AM14" s="4"/>
      <c r="AN14" s="4"/>
      <c r="AO14" s="4"/>
      <c r="AP14" s="9">
        <f t="shared" si="3"/>
        <v>0</v>
      </c>
      <c r="AQ14" s="4"/>
      <c r="AR14" s="4"/>
      <c r="AS14" s="4"/>
      <c r="AT14" s="4"/>
      <c r="AU14" s="4"/>
      <c r="AV14" s="4"/>
      <c r="AW14" s="4"/>
      <c r="AX14" s="4"/>
      <c r="AY14" s="4"/>
      <c r="AZ14" s="9">
        <f t="shared" si="4"/>
        <v>0</v>
      </c>
      <c r="BA14" s="10"/>
      <c r="BB14" s="20"/>
      <c r="BC14" s="20"/>
      <c r="BD14" s="20"/>
      <c r="BE14" s="20"/>
      <c r="BF14" s="4"/>
      <c r="BG14" s="21">
        <f t="shared" si="5"/>
        <v>0</v>
      </c>
      <c r="BH14" s="10"/>
      <c r="BI14" s="10"/>
      <c r="BJ14" s="10"/>
      <c r="BK14" s="10"/>
      <c r="BL14" s="20"/>
      <c r="BM14" s="20"/>
      <c r="BN14" s="20"/>
      <c r="BO14" s="20"/>
      <c r="BP14" s="20"/>
      <c r="BQ14" s="21">
        <f t="shared" si="6"/>
        <v>0</v>
      </c>
      <c r="BR14" s="4">
        <f t="shared" si="7"/>
        <v>0</v>
      </c>
      <c r="BS14" s="4">
        <f t="shared" si="8"/>
        <v>641000</v>
      </c>
      <c r="BT14" s="4">
        <f t="shared" si="9"/>
        <v>1185517</v>
      </c>
      <c r="BU14" s="4">
        <f t="shared" si="10"/>
        <v>1355000</v>
      </c>
      <c r="BV14" s="94">
        <f t="shared" si="11"/>
        <v>1260000</v>
      </c>
      <c r="BW14" s="94">
        <f t="shared" si="12"/>
        <v>1883660</v>
      </c>
      <c r="BX14" s="94">
        <f t="shared" si="13"/>
        <v>1779690</v>
      </c>
      <c r="BY14" s="94">
        <f t="shared" si="14"/>
        <v>1404000</v>
      </c>
      <c r="BZ14" s="94">
        <f t="shared" si="15"/>
        <v>0</v>
      </c>
      <c r="CA14" s="9">
        <f t="shared" si="16"/>
        <v>9508867</v>
      </c>
    </row>
    <row r="15" spans="1:79">
      <c r="A15" s="187"/>
      <c r="B15" s="8">
        <v>11</v>
      </c>
      <c r="C15" s="1" t="s">
        <v>81</v>
      </c>
      <c r="D15" s="4" t="s">
        <v>82</v>
      </c>
      <c r="E15" s="4" t="s">
        <v>29</v>
      </c>
      <c r="F15" s="4"/>
      <c r="G15" s="4"/>
      <c r="H15" s="4">
        <f>155000+190500+20000</f>
        <v>365500</v>
      </c>
      <c r="I15" s="4">
        <f>80000+20000</f>
        <v>100000</v>
      </c>
      <c r="J15" s="4"/>
      <c r="K15" s="4"/>
      <c r="L15" s="4"/>
      <c r="M15" s="4"/>
      <c r="N15" s="4"/>
      <c r="O15" s="9">
        <f t="shared" si="0"/>
        <v>465500</v>
      </c>
      <c r="P15" s="4"/>
      <c r="Q15" s="4"/>
      <c r="R15" s="4"/>
      <c r="S15" s="4"/>
      <c r="T15" s="20"/>
      <c r="U15" s="20"/>
      <c r="V15" s="20"/>
      <c r="W15" s="20"/>
      <c r="X15" s="20"/>
      <c r="Y15" s="21">
        <f t="shared" si="1"/>
        <v>0</v>
      </c>
      <c r="Z15" s="10">
        <v>0</v>
      </c>
      <c r="AA15" s="20"/>
      <c r="AB15" s="20"/>
      <c r="AC15" s="20"/>
      <c r="AD15" s="20"/>
      <c r="AE15" s="20"/>
      <c r="AF15" s="21">
        <f t="shared" si="2"/>
        <v>0</v>
      </c>
      <c r="AG15" s="4"/>
      <c r="AH15" s="4"/>
      <c r="AI15" s="4"/>
      <c r="AJ15" s="4"/>
      <c r="AK15" s="4"/>
      <c r="AL15" s="4"/>
      <c r="AM15" s="4"/>
      <c r="AN15" s="4"/>
      <c r="AO15" s="4"/>
      <c r="AP15" s="9">
        <f t="shared" si="3"/>
        <v>0</v>
      </c>
      <c r="AQ15" s="76"/>
      <c r="AR15" s="76">
        <v>290000</v>
      </c>
      <c r="AS15" s="76">
        <v>970000</v>
      </c>
      <c r="AT15" s="76">
        <v>925000</v>
      </c>
      <c r="AU15" s="4">
        <f>225000+150000+75000+225000+225000+150000</f>
        <v>1050000</v>
      </c>
      <c r="AV15" s="4">
        <v>1950000</v>
      </c>
      <c r="AW15" s="4">
        <f>450000+450000+150000+190000+340000+200000+200000</f>
        <v>1980000</v>
      </c>
      <c r="AX15" s="4">
        <f>400000+200000+200000+200000+200000+400000+600000</f>
        <v>2200000</v>
      </c>
      <c r="AY15" s="4">
        <v>1600000</v>
      </c>
      <c r="AZ15" s="9">
        <f t="shared" si="4"/>
        <v>10965000</v>
      </c>
      <c r="BA15" s="10"/>
      <c r="BB15" s="20"/>
      <c r="BC15" s="20"/>
      <c r="BD15" s="20"/>
      <c r="BE15" s="20"/>
      <c r="BF15" s="4"/>
      <c r="BG15" s="21">
        <f t="shared" si="5"/>
        <v>0</v>
      </c>
      <c r="BH15" s="10"/>
      <c r="BI15" s="10"/>
      <c r="BJ15" s="10"/>
      <c r="BK15" s="10"/>
      <c r="BL15" s="20"/>
      <c r="BM15" s="20"/>
      <c r="BN15" s="20"/>
      <c r="BO15" s="20"/>
      <c r="BP15" s="20"/>
      <c r="BQ15" s="21">
        <f t="shared" si="6"/>
        <v>0</v>
      </c>
      <c r="BR15" s="4">
        <f t="shared" si="7"/>
        <v>0</v>
      </c>
      <c r="BS15" s="4">
        <f t="shared" si="8"/>
        <v>290000</v>
      </c>
      <c r="BT15" s="4">
        <f t="shared" si="9"/>
        <v>1335500</v>
      </c>
      <c r="BU15" s="4">
        <f t="shared" si="10"/>
        <v>1025000</v>
      </c>
      <c r="BV15" s="94">
        <f t="shared" si="11"/>
        <v>1050000</v>
      </c>
      <c r="BW15" s="94">
        <f t="shared" si="12"/>
        <v>1950000</v>
      </c>
      <c r="BX15" s="94">
        <f t="shared" si="13"/>
        <v>1980000</v>
      </c>
      <c r="BY15" s="94">
        <f t="shared" si="14"/>
        <v>2200000</v>
      </c>
      <c r="BZ15" s="94">
        <f t="shared" si="15"/>
        <v>1600000</v>
      </c>
      <c r="CA15" s="9">
        <f t="shared" si="16"/>
        <v>11430500</v>
      </c>
    </row>
    <row r="16" spans="1:79" s="38" customFormat="1">
      <c r="A16" s="34"/>
      <c r="B16" s="34"/>
      <c r="C16" s="35" t="s">
        <v>83</v>
      </c>
      <c r="D16" s="36"/>
      <c r="E16" s="37"/>
      <c r="F16" s="37">
        <f>SUM(F5:F15)</f>
        <v>465000</v>
      </c>
      <c r="G16" s="37">
        <f t="shared" ref="G16:CA16" si="17">SUM(G5:G15)</f>
        <v>2984462</v>
      </c>
      <c r="H16" s="37">
        <f t="shared" si="17"/>
        <v>2388667</v>
      </c>
      <c r="I16" s="37">
        <f t="shared" si="17"/>
        <v>1020000</v>
      </c>
      <c r="J16" s="37">
        <f t="shared" si="17"/>
        <v>0</v>
      </c>
      <c r="K16" s="37">
        <f t="shared" si="17"/>
        <v>0</v>
      </c>
      <c r="L16" s="37">
        <f t="shared" si="17"/>
        <v>0</v>
      </c>
      <c r="M16" s="37">
        <f t="shared" si="17"/>
        <v>0</v>
      </c>
      <c r="N16" s="37">
        <f t="shared" si="17"/>
        <v>0</v>
      </c>
      <c r="O16" s="37">
        <f>SUM(O5:O15)</f>
        <v>6858129</v>
      </c>
      <c r="P16" s="37">
        <f t="shared" ref="P16:AA16" si="18">SUM(P5:P15)</f>
        <v>390000</v>
      </c>
      <c r="Q16" s="37">
        <f t="shared" si="18"/>
        <v>6700250</v>
      </c>
      <c r="R16" s="37">
        <f t="shared" si="18"/>
        <v>6943550</v>
      </c>
      <c r="S16" s="37">
        <f t="shared" si="18"/>
        <v>1885000</v>
      </c>
      <c r="T16" s="37">
        <f t="shared" si="18"/>
        <v>1613500</v>
      </c>
      <c r="U16" s="37">
        <f t="shared" si="18"/>
        <v>2144459</v>
      </c>
      <c r="V16" s="37">
        <f t="shared" si="18"/>
        <v>2039778</v>
      </c>
      <c r="W16" s="37">
        <f t="shared" si="18"/>
        <v>2473450</v>
      </c>
      <c r="X16" s="37">
        <f t="shared" si="18"/>
        <v>1673250</v>
      </c>
      <c r="Y16" s="37">
        <f t="shared" si="18"/>
        <v>25863237</v>
      </c>
      <c r="Z16" s="37">
        <f t="shared" si="18"/>
        <v>6356000</v>
      </c>
      <c r="AA16" s="37">
        <f t="shared" si="18"/>
        <v>7293000</v>
      </c>
      <c r="AB16" s="37">
        <f>SUM(AB5:AB15)</f>
        <v>10548119</v>
      </c>
      <c r="AC16" s="37">
        <f>SUM(AC5:AC15)</f>
        <v>10418445</v>
      </c>
      <c r="AD16" s="37">
        <f>SUM(AD5:AD15)</f>
        <v>9634400</v>
      </c>
      <c r="AE16" s="37">
        <f>SUM(AE5:AE15)</f>
        <v>6032000</v>
      </c>
      <c r="AF16" s="37">
        <f>SUM(AF5:AF15)</f>
        <v>50281964</v>
      </c>
      <c r="AG16" s="37">
        <f t="shared" ref="AG16:AP16" si="19">SUM(AG5:AG15)</f>
        <v>0</v>
      </c>
      <c r="AH16" s="37">
        <f t="shared" si="19"/>
        <v>1553000</v>
      </c>
      <c r="AI16" s="37">
        <f t="shared" si="19"/>
        <v>3599000</v>
      </c>
      <c r="AJ16" s="37">
        <f t="shared" si="19"/>
        <v>600000</v>
      </c>
      <c r="AK16" s="37">
        <f t="shared" si="19"/>
        <v>0</v>
      </c>
      <c r="AL16" s="37">
        <f t="shared" si="19"/>
        <v>0</v>
      </c>
      <c r="AM16" s="37">
        <f t="shared" si="19"/>
        <v>0</v>
      </c>
      <c r="AN16" s="37">
        <f t="shared" si="19"/>
        <v>0</v>
      </c>
      <c r="AO16" s="37">
        <f t="shared" si="19"/>
        <v>0</v>
      </c>
      <c r="AP16" s="37">
        <f t="shared" si="19"/>
        <v>5752000</v>
      </c>
      <c r="AQ16" s="37">
        <f t="shared" si="17"/>
        <v>290000</v>
      </c>
      <c r="AR16" s="37">
        <f t="shared" si="17"/>
        <v>1550000</v>
      </c>
      <c r="AS16" s="37">
        <f t="shared" si="17"/>
        <v>2180000</v>
      </c>
      <c r="AT16" s="37">
        <f t="shared" si="17"/>
        <v>2000000</v>
      </c>
      <c r="AU16" s="37">
        <f t="shared" si="17"/>
        <v>2250000</v>
      </c>
      <c r="AV16" s="37">
        <f t="shared" si="17"/>
        <v>3825000</v>
      </c>
      <c r="AW16" s="37">
        <f t="shared" si="17"/>
        <v>3780000</v>
      </c>
      <c r="AX16" s="37">
        <f t="shared" si="17"/>
        <v>3850000</v>
      </c>
      <c r="AY16" s="37">
        <f t="shared" si="17"/>
        <v>2550000</v>
      </c>
      <c r="AZ16" s="37">
        <f t="shared" si="17"/>
        <v>22275000</v>
      </c>
      <c r="BA16" s="37">
        <f t="shared" si="17"/>
        <v>0</v>
      </c>
      <c r="BB16" s="37">
        <f t="shared" si="17"/>
        <v>1900000</v>
      </c>
      <c r="BC16" s="37">
        <f t="shared" si="17"/>
        <v>2131500</v>
      </c>
      <c r="BD16" s="37">
        <f t="shared" si="17"/>
        <v>1360000</v>
      </c>
      <c r="BE16" s="37">
        <f t="shared" si="17"/>
        <v>2074000</v>
      </c>
      <c r="BF16" s="37">
        <f t="shared" si="17"/>
        <v>1496000</v>
      </c>
      <c r="BG16" s="37">
        <f t="shared" si="17"/>
        <v>8961500</v>
      </c>
      <c r="BH16" s="37">
        <f t="shared" si="17"/>
        <v>0</v>
      </c>
      <c r="BI16" s="37">
        <f t="shared" si="17"/>
        <v>0</v>
      </c>
      <c r="BJ16" s="37">
        <f t="shared" si="17"/>
        <v>0</v>
      </c>
      <c r="BK16" s="37">
        <f t="shared" si="17"/>
        <v>0</v>
      </c>
      <c r="BL16" s="37">
        <f t="shared" si="17"/>
        <v>0</v>
      </c>
      <c r="BM16" s="37">
        <f t="shared" si="17"/>
        <v>0</v>
      </c>
      <c r="BN16" s="37">
        <f t="shared" si="17"/>
        <v>0</v>
      </c>
      <c r="BO16" s="37">
        <f t="shared" si="17"/>
        <v>0</v>
      </c>
      <c r="BP16" s="37">
        <f t="shared" si="17"/>
        <v>0</v>
      </c>
      <c r="BQ16" s="37">
        <f t="shared" si="17"/>
        <v>0</v>
      </c>
      <c r="BR16" s="37">
        <f t="shared" si="17"/>
        <v>1145000</v>
      </c>
      <c r="BS16" s="37">
        <f t="shared" si="17"/>
        <v>12787712</v>
      </c>
      <c r="BT16" s="37">
        <f t="shared" si="17"/>
        <v>15111217</v>
      </c>
      <c r="BU16" s="37">
        <f t="shared" si="17"/>
        <v>11861000</v>
      </c>
      <c r="BV16" s="37">
        <f t="shared" si="17"/>
        <v>13056500</v>
      </c>
      <c r="BW16" s="144">
        <f>SUM(BW5:BW15)</f>
        <v>18649078</v>
      </c>
      <c r="BX16" s="37">
        <f t="shared" ref="BX16:BY16" si="20">SUM(BX5:BX15)</f>
        <v>17598223</v>
      </c>
      <c r="BY16" s="37">
        <f t="shared" si="20"/>
        <v>18031850</v>
      </c>
      <c r="BZ16" s="144">
        <f>SUM(BZ5:BZ15)</f>
        <v>11751250</v>
      </c>
      <c r="CA16" s="37">
        <f t="shared" si="17"/>
        <v>119991830</v>
      </c>
    </row>
    <row r="17" spans="1:79">
      <c r="A17" s="185" t="s">
        <v>35</v>
      </c>
      <c r="B17" s="8">
        <v>1</v>
      </c>
      <c r="C17" s="1" t="s">
        <v>457</v>
      </c>
      <c r="D17" s="4" t="s">
        <v>458</v>
      </c>
      <c r="E17" s="4" t="s">
        <v>35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ref="O17:O20" si="21">SUM(F17:N17)</f>
        <v>0</v>
      </c>
      <c r="P17" s="4"/>
      <c r="Q17" s="4"/>
      <c r="R17" s="4"/>
      <c r="S17" s="4"/>
      <c r="T17" s="20"/>
      <c r="U17" s="20"/>
      <c r="V17" s="20"/>
      <c r="W17" s="20"/>
      <c r="X17" s="20"/>
      <c r="Y17" s="21">
        <f t="shared" ref="Y17:Y20" si="22">SUM(P17:X17)</f>
        <v>0</v>
      </c>
      <c r="Z17" s="10"/>
      <c r="AA17" s="20"/>
      <c r="AB17" s="20"/>
      <c r="AC17" s="20"/>
      <c r="AD17" s="20"/>
      <c r="AE17" s="20"/>
      <c r="AF17" s="21">
        <f t="shared" ref="AF17:AF20" si="23">SUM(Z17:AE17)</f>
        <v>0</v>
      </c>
      <c r="AG17" s="4"/>
      <c r="AH17" s="4"/>
      <c r="AI17" s="4"/>
      <c r="AJ17" s="4"/>
      <c r="AK17" s="4"/>
      <c r="AL17" s="4">
        <v>190000</v>
      </c>
      <c r="AM17" s="4"/>
      <c r="AN17" s="4">
        <f>231000+70000</f>
        <v>301000</v>
      </c>
      <c r="AO17" s="4">
        <v>756000</v>
      </c>
      <c r="AP17" s="9">
        <f t="shared" ref="AP17:AP20" si="24">SUM(AG17:AO17)</f>
        <v>1247000</v>
      </c>
      <c r="AQ17" s="4"/>
      <c r="AR17" s="4"/>
      <c r="AS17" s="4"/>
      <c r="AT17" s="4"/>
      <c r="AU17" s="4"/>
      <c r="AV17" s="4"/>
      <c r="AW17" s="4"/>
      <c r="AX17" s="4"/>
      <c r="AY17" s="4"/>
      <c r="AZ17" s="9">
        <f t="shared" ref="AZ17:AZ20" si="25">SUM(AQ17:AY17)</f>
        <v>0</v>
      </c>
      <c r="BA17" s="10"/>
      <c r="BB17" s="20"/>
      <c r="BC17" s="20"/>
      <c r="BD17" s="20"/>
      <c r="BE17" s="20"/>
      <c r="BF17" s="4"/>
      <c r="BG17" s="21">
        <f t="shared" ref="BG17:BG20" si="26">SUM(BA17:BF17)</f>
        <v>0</v>
      </c>
      <c r="BH17" s="10"/>
      <c r="BI17" s="10"/>
      <c r="BJ17" s="10"/>
      <c r="BK17" s="10"/>
      <c r="BL17" s="20"/>
      <c r="BM17" s="20"/>
      <c r="BN17" s="20"/>
      <c r="BO17" s="20"/>
      <c r="BP17" s="20"/>
      <c r="BQ17" s="21">
        <f t="shared" ref="BQ17:BQ20" si="27">SUM(BH17:BP17)</f>
        <v>0</v>
      </c>
      <c r="BR17" s="4">
        <f t="shared" ref="BR17:BR20" si="28">F17+P17+AG17+AQ17+BH17</f>
        <v>0</v>
      </c>
      <c r="BS17" s="4">
        <f t="shared" ref="BS17:BS20" si="29">G17+Q17+AH17+AR17+BI17</f>
        <v>0</v>
      </c>
      <c r="BT17" s="4">
        <f t="shared" ref="BT17:BT20" si="30">H17+R17+AI17+AS17+BJ17</f>
        <v>0</v>
      </c>
      <c r="BU17" s="4">
        <f t="shared" ref="BU17:BU20" si="31">I17+S17+Z17+AJ17+AT17+BA17+BK17</f>
        <v>0</v>
      </c>
      <c r="BV17" s="94">
        <f t="shared" ref="BV17:BV20" si="32">J17+T17+AA17+AK17+AU17+BB17+BL17</f>
        <v>0</v>
      </c>
      <c r="BW17" s="94">
        <f t="shared" ref="BW17:BW20" si="33">K17+U17+AB17+AM17+AV17+BC17+BM17</f>
        <v>0</v>
      </c>
      <c r="BX17" s="94">
        <f t="shared" ref="BX17:BX20" si="34">L17+V17+AC17+AM17+AW17+BD17+BN17</f>
        <v>0</v>
      </c>
      <c r="BY17" s="94">
        <f t="shared" ref="BY17:BY20" si="35">M17+W17+AD17+AO17+AX17+BE17+BO17</f>
        <v>756000</v>
      </c>
      <c r="BZ17" s="94">
        <f t="shared" ref="BZ17:BZ20" si="36">N17+X17+AE17+AO17+AY17+BF17+BP17</f>
        <v>756000</v>
      </c>
      <c r="CA17" s="9">
        <f t="shared" ref="CA17:CA20" si="37">SUM(BR17:BZ17)</f>
        <v>1512000</v>
      </c>
    </row>
    <row r="18" spans="1:79">
      <c r="A18" s="186"/>
      <c r="B18" s="8">
        <v>1</v>
      </c>
      <c r="C18" s="1" t="s">
        <v>84</v>
      </c>
      <c r="D18" s="4" t="s">
        <v>85</v>
      </c>
      <c r="E18" s="4" t="s">
        <v>35</v>
      </c>
      <c r="F18" s="4"/>
      <c r="G18" s="4"/>
      <c r="H18" s="4">
        <v>155000</v>
      </c>
      <c r="I18" s="4">
        <v>533000</v>
      </c>
      <c r="J18" s="4">
        <f>140000+105000+105000+70000</f>
        <v>420000</v>
      </c>
      <c r="K18" s="4">
        <f>454100+96000+47000</f>
        <v>597100</v>
      </c>
      <c r="L18" s="4">
        <v>547500</v>
      </c>
      <c r="M18" s="4">
        <v>585000</v>
      </c>
      <c r="N18" s="94">
        <f>319000+55000+55000</f>
        <v>429000</v>
      </c>
      <c r="O18" s="9">
        <f t="shared" si="21"/>
        <v>3266600</v>
      </c>
      <c r="P18" s="4"/>
      <c r="Q18" s="4"/>
      <c r="R18" s="4"/>
      <c r="S18" s="4"/>
      <c r="T18" s="20"/>
      <c r="U18" s="20"/>
      <c r="V18" s="20"/>
      <c r="W18" s="20"/>
      <c r="X18" s="20"/>
      <c r="Y18" s="21">
        <f t="shared" si="22"/>
        <v>0</v>
      </c>
      <c r="Z18" s="10"/>
      <c r="AA18" s="20"/>
      <c r="AB18" s="20"/>
      <c r="AC18" s="20"/>
      <c r="AD18" s="20"/>
      <c r="AE18" s="20"/>
      <c r="AF18" s="21">
        <f t="shared" si="23"/>
        <v>0</v>
      </c>
      <c r="AG18" s="4"/>
      <c r="AH18" s="4"/>
      <c r="AI18" s="4"/>
      <c r="AJ18" s="4"/>
      <c r="AK18" s="4"/>
      <c r="AL18" s="4"/>
      <c r="AM18" s="4"/>
      <c r="AN18" s="4"/>
      <c r="AO18" s="4"/>
      <c r="AP18" s="9">
        <f t="shared" si="24"/>
        <v>0</v>
      </c>
      <c r="AQ18" s="4"/>
      <c r="AR18" s="4"/>
      <c r="AS18" s="4"/>
      <c r="AT18" s="4"/>
      <c r="AU18" s="4"/>
      <c r="AV18" s="4"/>
      <c r="AW18" s="4"/>
      <c r="AX18" s="4"/>
      <c r="AY18" s="4"/>
      <c r="AZ18" s="9">
        <f t="shared" si="25"/>
        <v>0</v>
      </c>
      <c r="BA18" s="10"/>
      <c r="BB18" s="20"/>
      <c r="BC18" s="20"/>
      <c r="BD18" s="20"/>
      <c r="BE18" s="20"/>
      <c r="BF18" s="4"/>
      <c r="BG18" s="21">
        <f t="shared" si="26"/>
        <v>0</v>
      </c>
      <c r="BH18" s="10"/>
      <c r="BI18" s="10"/>
      <c r="BJ18" s="10"/>
      <c r="BK18" s="10"/>
      <c r="BL18" s="20"/>
      <c r="BM18" s="20"/>
      <c r="BN18" s="20"/>
      <c r="BO18" s="20"/>
      <c r="BP18" s="20"/>
      <c r="BQ18" s="21">
        <f t="shared" si="27"/>
        <v>0</v>
      </c>
      <c r="BR18" s="4">
        <f t="shared" si="28"/>
        <v>0</v>
      </c>
      <c r="BS18" s="4">
        <f t="shared" si="29"/>
        <v>0</v>
      </c>
      <c r="BT18" s="4">
        <f t="shared" si="30"/>
        <v>155000</v>
      </c>
      <c r="BU18" s="4">
        <f t="shared" si="31"/>
        <v>533000</v>
      </c>
      <c r="BV18" s="94">
        <f t="shared" si="32"/>
        <v>420000</v>
      </c>
      <c r="BW18" s="94">
        <f t="shared" si="33"/>
        <v>597100</v>
      </c>
      <c r="BX18" s="94">
        <f t="shared" si="34"/>
        <v>547500</v>
      </c>
      <c r="BY18" s="94">
        <f t="shared" si="35"/>
        <v>585000</v>
      </c>
      <c r="BZ18" s="94">
        <f t="shared" si="36"/>
        <v>429000</v>
      </c>
      <c r="CA18" s="9">
        <f t="shared" si="37"/>
        <v>3266600</v>
      </c>
    </row>
    <row r="19" spans="1:79">
      <c r="A19" s="186"/>
      <c r="B19" s="8">
        <v>2</v>
      </c>
      <c r="C19" s="100" t="s">
        <v>446</v>
      </c>
      <c r="D19" s="101" t="s">
        <v>447</v>
      </c>
      <c r="E19" s="101" t="s">
        <v>35</v>
      </c>
      <c r="F19" s="4"/>
      <c r="G19" s="4"/>
      <c r="H19" s="4"/>
      <c r="I19" s="4"/>
      <c r="J19" s="4">
        <v>155000</v>
      </c>
      <c r="K19" s="4">
        <v>309000</v>
      </c>
      <c r="L19" s="4">
        <v>646800</v>
      </c>
      <c r="M19" s="4"/>
      <c r="N19" s="4"/>
      <c r="O19" s="9">
        <f t="shared" si="21"/>
        <v>1110800</v>
      </c>
      <c r="P19" s="4"/>
      <c r="Q19" s="4"/>
      <c r="R19" s="4"/>
      <c r="S19" s="4"/>
      <c r="T19" s="20"/>
      <c r="U19" s="20"/>
      <c r="V19" s="20"/>
      <c r="W19" s="20"/>
      <c r="X19" s="20"/>
      <c r="Y19" s="21">
        <f t="shared" si="22"/>
        <v>0</v>
      </c>
      <c r="Z19" s="10"/>
      <c r="AA19" s="20"/>
      <c r="AB19" s="20"/>
      <c r="AC19" s="20"/>
      <c r="AD19" s="20"/>
      <c r="AE19" s="20"/>
      <c r="AF19" s="21">
        <f t="shared" si="23"/>
        <v>0</v>
      </c>
      <c r="AG19" s="4"/>
      <c r="AH19" s="4"/>
      <c r="AI19" s="4"/>
      <c r="AJ19" s="4"/>
      <c r="AK19" s="4"/>
      <c r="AL19" s="4"/>
      <c r="AM19" s="4"/>
      <c r="AN19" s="4"/>
      <c r="AO19" s="4"/>
      <c r="AP19" s="9">
        <f t="shared" si="24"/>
        <v>0</v>
      </c>
      <c r="AQ19" s="4"/>
      <c r="AR19" s="4"/>
      <c r="AS19" s="4"/>
      <c r="AT19" s="4"/>
      <c r="AU19" s="4"/>
      <c r="AV19" s="4"/>
      <c r="AW19" s="4"/>
      <c r="AX19" s="4"/>
      <c r="AY19" s="4"/>
      <c r="AZ19" s="9">
        <f t="shared" si="25"/>
        <v>0</v>
      </c>
      <c r="BA19" s="10"/>
      <c r="BB19" s="20"/>
      <c r="BC19" s="20"/>
      <c r="BD19" s="20"/>
      <c r="BE19" s="20"/>
      <c r="BF19" s="4"/>
      <c r="BG19" s="21">
        <f t="shared" si="26"/>
        <v>0</v>
      </c>
      <c r="BH19" s="10"/>
      <c r="BI19" s="10"/>
      <c r="BJ19" s="10"/>
      <c r="BK19" s="10"/>
      <c r="BL19" s="20"/>
      <c r="BM19" s="20"/>
      <c r="BN19" s="20"/>
      <c r="BO19" s="20"/>
      <c r="BP19" s="20"/>
      <c r="BQ19" s="21">
        <f t="shared" si="27"/>
        <v>0</v>
      </c>
      <c r="BR19" s="4">
        <f t="shared" si="28"/>
        <v>0</v>
      </c>
      <c r="BS19" s="4">
        <f t="shared" si="29"/>
        <v>0</v>
      </c>
      <c r="BT19" s="4">
        <f t="shared" si="30"/>
        <v>0</v>
      </c>
      <c r="BU19" s="4">
        <f t="shared" si="31"/>
        <v>0</v>
      </c>
      <c r="BV19" s="94">
        <f t="shared" si="32"/>
        <v>155000</v>
      </c>
      <c r="BW19" s="94">
        <f t="shared" si="33"/>
        <v>309000</v>
      </c>
      <c r="BX19" s="94">
        <f t="shared" si="34"/>
        <v>646800</v>
      </c>
      <c r="BY19" s="94">
        <f t="shared" si="35"/>
        <v>0</v>
      </c>
      <c r="BZ19" s="94">
        <f t="shared" si="36"/>
        <v>0</v>
      </c>
      <c r="CA19" s="9">
        <f t="shared" si="37"/>
        <v>1110800</v>
      </c>
    </row>
    <row r="20" spans="1:79">
      <c r="A20" s="187"/>
      <c r="B20" s="8">
        <v>3</v>
      </c>
      <c r="C20" s="1" t="s">
        <v>7</v>
      </c>
      <c r="D20" s="4" t="s">
        <v>40</v>
      </c>
      <c r="E20" s="4" t="s">
        <v>35</v>
      </c>
      <c r="F20" s="4">
        <v>155000</v>
      </c>
      <c r="G20" s="4"/>
      <c r="H20" s="4">
        <f>418500+93000+46500</f>
        <v>558000</v>
      </c>
      <c r="I20" s="4">
        <v>417000</v>
      </c>
      <c r="J20" s="4">
        <f>102000+98000+98500+106500+36000</f>
        <v>441000</v>
      </c>
      <c r="K20" s="4">
        <f>533300+99000+49500</f>
        <v>681800</v>
      </c>
      <c r="L20" s="4">
        <v>247500</v>
      </c>
      <c r="M20" s="4">
        <v>734500</v>
      </c>
      <c r="N20" s="94">
        <f>508000+80000</f>
        <v>588000</v>
      </c>
      <c r="O20" s="9">
        <f t="shared" si="21"/>
        <v>3822800</v>
      </c>
      <c r="P20" s="4"/>
      <c r="Q20" s="4"/>
      <c r="R20" s="4"/>
      <c r="S20" s="4"/>
      <c r="T20" s="20"/>
      <c r="U20" s="20"/>
      <c r="V20" s="20"/>
      <c r="W20" s="20"/>
      <c r="X20" s="20"/>
      <c r="Y20" s="21">
        <f t="shared" si="22"/>
        <v>0</v>
      </c>
      <c r="Z20" s="10"/>
      <c r="AA20" s="20"/>
      <c r="AB20" s="20"/>
      <c r="AC20" s="20"/>
      <c r="AD20" s="20"/>
      <c r="AE20" s="20"/>
      <c r="AF20" s="21">
        <f t="shared" si="23"/>
        <v>0</v>
      </c>
      <c r="AG20" s="4">
        <v>290000</v>
      </c>
      <c r="AH20" s="4"/>
      <c r="AI20" s="4"/>
      <c r="AJ20" s="4">
        <v>800000</v>
      </c>
      <c r="AK20" s="4"/>
      <c r="AL20" s="4"/>
      <c r="AM20" s="4"/>
      <c r="AN20" s="4"/>
      <c r="AO20" s="4"/>
      <c r="AP20" s="9">
        <f t="shared" si="24"/>
        <v>1090000</v>
      </c>
      <c r="AQ20" s="4"/>
      <c r="AR20" s="4"/>
      <c r="AS20" s="4"/>
      <c r="AT20" s="4"/>
      <c r="AU20" s="4"/>
      <c r="AV20" s="4"/>
      <c r="AW20" s="4"/>
      <c r="AX20" s="4"/>
      <c r="AY20" s="4"/>
      <c r="AZ20" s="9">
        <f t="shared" si="25"/>
        <v>0</v>
      </c>
      <c r="BA20" s="10"/>
      <c r="BB20" s="20"/>
      <c r="BC20" s="20"/>
      <c r="BD20" s="20"/>
      <c r="BE20" s="20"/>
      <c r="BF20" s="4"/>
      <c r="BG20" s="21">
        <f t="shared" si="26"/>
        <v>0</v>
      </c>
      <c r="BH20" s="10"/>
      <c r="BI20" s="10"/>
      <c r="BJ20" s="10"/>
      <c r="BK20" s="10"/>
      <c r="BL20" s="20"/>
      <c r="BM20" s="20"/>
      <c r="BN20" s="20"/>
      <c r="BO20" s="20"/>
      <c r="BP20" s="20"/>
      <c r="BQ20" s="21">
        <f t="shared" si="27"/>
        <v>0</v>
      </c>
      <c r="BR20" s="4">
        <f t="shared" si="28"/>
        <v>445000</v>
      </c>
      <c r="BS20" s="4">
        <f t="shared" si="29"/>
        <v>0</v>
      </c>
      <c r="BT20" s="4">
        <f t="shared" si="30"/>
        <v>558000</v>
      </c>
      <c r="BU20" s="4">
        <f t="shared" si="31"/>
        <v>1217000</v>
      </c>
      <c r="BV20" s="94">
        <f t="shared" si="32"/>
        <v>441000</v>
      </c>
      <c r="BW20" s="94">
        <f t="shared" si="33"/>
        <v>681800</v>
      </c>
      <c r="BX20" s="94">
        <f t="shared" si="34"/>
        <v>247500</v>
      </c>
      <c r="BY20" s="94">
        <f t="shared" si="35"/>
        <v>734500</v>
      </c>
      <c r="BZ20" s="94">
        <f t="shared" si="36"/>
        <v>588000</v>
      </c>
      <c r="CA20" s="9">
        <f t="shared" si="37"/>
        <v>4912800</v>
      </c>
    </row>
    <row r="21" spans="1:79" s="38" customFormat="1">
      <c r="A21" s="34"/>
      <c r="B21" s="34"/>
      <c r="C21" s="35" t="s">
        <v>86</v>
      </c>
      <c r="D21" s="36"/>
      <c r="E21" s="37"/>
      <c r="F21" s="37">
        <f>SUM(F17:F20)</f>
        <v>155000</v>
      </c>
      <c r="G21" s="37">
        <f t="shared" ref="G21:CA21" si="38">SUM(G17:G20)</f>
        <v>0</v>
      </c>
      <c r="H21" s="37">
        <f t="shared" si="38"/>
        <v>713000</v>
      </c>
      <c r="I21" s="37">
        <f t="shared" si="38"/>
        <v>950000</v>
      </c>
      <c r="J21" s="37">
        <f t="shared" si="38"/>
        <v>1016000</v>
      </c>
      <c r="K21" s="37">
        <f t="shared" si="38"/>
        <v>1587900</v>
      </c>
      <c r="L21" s="37">
        <f t="shared" si="38"/>
        <v>1441800</v>
      </c>
      <c r="M21" s="37">
        <f t="shared" si="38"/>
        <v>1319500</v>
      </c>
      <c r="N21" s="37">
        <f t="shared" si="38"/>
        <v>1017000</v>
      </c>
      <c r="O21" s="37">
        <f t="shared" si="38"/>
        <v>8200200</v>
      </c>
      <c r="P21" s="37">
        <f t="shared" ref="P21:AA21" si="39">SUM(P17:P20)</f>
        <v>0</v>
      </c>
      <c r="Q21" s="37">
        <f t="shared" si="39"/>
        <v>0</v>
      </c>
      <c r="R21" s="37">
        <f t="shared" si="39"/>
        <v>0</v>
      </c>
      <c r="S21" s="37">
        <f t="shared" si="39"/>
        <v>0</v>
      </c>
      <c r="T21" s="37">
        <f t="shared" si="39"/>
        <v>0</v>
      </c>
      <c r="U21" s="37">
        <f t="shared" si="39"/>
        <v>0</v>
      </c>
      <c r="V21" s="37">
        <f t="shared" si="39"/>
        <v>0</v>
      </c>
      <c r="W21" s="37">
        <f t="shared" si="39"/>
        <v>0</v>
      </c>
      <c r="X21" s="37">
        <f t="shared" si="39"/>
        <v>0</v>
      </c>
      <c r="Y21" s="37">
        <f t="shared" si="39"/>
        <v>0</v>
      </c>
      <c r="Z21" s="37">
        <f t="shared" si="39"/>
        <v>0</v>
      </c>
      <c r="AA21" s="37">
        <f t="shared" si="39"/>
        <v>0</v>
      </c>
      <c r="AB21" s="37">
        <f>SUM(AB17:AB20)</f>
        <v>0</v>
      </c>
      <c r="AC21" s="37">
        <f>SUM(AC17:AC20)</f>
        <v>0</v>
      </c>
      <c r="AD21" s="37">
        <f>SUM(AD17:AD20)</f>
        <v>0</v>
      </c>
      <c r="AE21" s="37">
        <f>SUM(AE17:AE20)</f>
        <v>0</v>
      </c>
      <c r="AF21" s="37">
        <f>SUM(AF17:AF20)</f>
        <v>0</v>
      </c>
      <c r="AG21" s="37">
        <f t="shared" ref="AG21:AP21" si="40">SUM(AG17:AG20)</f>
        <v>290000</v>
      </c>
      <c r="AH21" s="37">
        <f t="shared" si="40"/>
        <v>0</v>
      </c>
      <c r="AI21" s="37">
        <f t="shared" si="40"/>
        <v>0</v>
      </c>
      <c r="AJ21" s="37">
        <f t="shared" si="40"/>
        <v>800000</v>
      </c>
      <c r="AK21" s="37">
        <f t="shared" si="40"/>
        <v>0</v>
      </c>
      <c r="AL21" s="37">
        <f t="shared" si="40"/>
        <v>190000</v>
      </c>
      <c r="AM21" s="37">
        <f t="shared" si="40"/>
        <v>0</v>
      </c>
      <c r="AN21" s="37">
        <f t="shared" si="40"/>
        <v>301000</v>
      </c>
      <c r="AO21" s="37">
        <f t="shared" si="40"/>
        <v>756000</v>
      </c>
      <c r="AP21" s="37">
        <f t="shared" si="40"/>
        <v>2337000</v>
      </c>
      <c r="AQ21" s="37">
        <f t="shared" si="38"/>
        <v>0</v>
      </c>
      <c r="AR21" s="37">
        <f t="shared" si="38"/>
        <v>0</v>
      </c>
      <c r="AS21" s="37">
        <f t="shared" si="38"/>
        <v>0</v>
      </c>
      <c r="AT21" s="37">
        <f t="shared" si="38"/>
        <v>0</v>
      </c>
      <c r="AU21" s="37">
        <f t="shared" si="38"/>
        <v>0</v>
      </c>
      <c r="AV21" s="37">
        <f t="shared" si="38"/>
        <v>0</v>
      </c>
      <c r="AW21" s="37">
        <f t="shared" si="38"/>
        <v>0</v>
      </c>
      <c r="AX21" s="37">
        <f t="shared" si="38"/>
        <v>0</v>
      </c>
      <c r="AY21" s="37">
        <f t="shared" si="38"/>
        <v>0</v>
      </c>
      <c r="AZ21" s="37">
        <f t="shared" si="38"/>
        <v>0</v>
      </c>
      <c r="BA21" s="37">
        <f t="shared" si="38"/>
        <v>0</v>
      </c>
      <c r="BB21" s="37">
        <f t="shared" si="38"/>
        <v>0</v>
      </c>
      <c r="BC21" s="37">
        <f t="shared" si="38"/>
        <v>0</v>
      </c>
      <c r="BD21" s="37">
        <f t="shared" si="38"/>
        <v>0</v>
      </c>
      <c r="BE21" s="37">
        <f t="shared" si="38"/>
        <v>0</v>
      </c>
      <c r="BF21" s="37">
        <f t="shared" si="38"/>
        <v>0</v>
      </c>
      <c r="BG21" s="37">
        <f t="shared" si="38"/>
        <v>0</v>
      </c>
      <c r="BH21" s="37">
        <f t="shared" si="38"/>
        <v>0</v>
      </c>
      <c r="BI21" s="37">
        <f t="shared" si="38"/>
        <v>0</v>
      </c>
      <c r="BJ21" s="37">
        <f t="shared" si="38"/>
        <v>0</v>
      </c>
      <c r="BK21" s="37">
        <f t="shared" si="38"/>
        <v>0</v>
      </c>
      <c r="BL21" s="37">
        <f t="shared" si="38"/>
        <v>0</v>
      </c>
      <c r="BM21" s="37">
        <f t="shared" si="38"/>
        <v>0</v>
      </c>
      <c r="BN21" s="37">
        <f t="shared" si="38"/>
        <v>0</v>
      </c>
      <c r="BO21" s="37">
        <f t="shared" si="38"/>
        <v>0</v>
      </c>
      <c r="BP21" s="37">
        <f t="shared" si="38"/>
        <v>0</v>
      </c>
      <c r="BQ21" s="37">
        <f t="shared" si="38"/>
        <v>0</v>
      </c>
      <c r="BR21" s="37">
        <f t="shared" si="38"/>
        <v>445000</v>
      </c>
      <c r="BS21" s="37">
        <f t="shared" si="38"/>
        <v>0</v>
      </c>
      <c r="BT21" s="37">
        <f t="shared" si="38"/>
        <v>713000</v>
      </c>
      <c r="BU21" s="37">
        <f t="shared" si="38"/>
        <v>1750000</v>
      </c>
      <c r="BV21" s="37">
        <f t="shared" si="38"/>
        <v>1016000</v>
      </c>
      <c r="BW21" s="144">
        <f>SUM(BW17:BW20)</f>
        <v>1587900</v>
      </c>
      <c r="BX21" s="37">
        <f t="shared" ref="BX21:BY21" si="41">SUM(BX17:BX20)</f>
        <v>1441800</v>
      </c>
      <c r="BY21" s="37">
        <f t="shared" si="41"/>
        <v>2075500</v>
      </c>
      <c r="BZ21" s="144">
        <f>SUM(BZ17:BZ20)</f>
        <v>1773000</v>
      </c>
      <c r="CA21" s="37">
        <f t="shared" si="38"/>
        <v>10802200</v>
      </c>
    </row>
    <row r="22" spans="1:79" ht="31.5">
      <c r="A22" s="185" t="s">
        <v>18</v>
      </c>
      <c r="B22" s="8">
        <v>1</v>
      </c>
      <c r="C22" s="1" t="s">
        <v>87</v>
      </c>
      <c r="D22" s="4" t="s">
        <v>88</v>
      </c>
      <c r="E22" s="4" t="s">
        <v>18</v>
      </c>
      <c r="F22" s="4"/>
      <c r="G22" s="4"/>
      <c r="H22" s="4">
        <v>155000</v>
      </c>
      <c r="I22" s="4">
        <f>100000+40000</f>
        <v>140000</v>
      </c>
      <c r="J22" s="4"/>
      <c r="K22" s="4"/>
      <c r="L22" s="4"/>
      <c r="M22" s="4"/>
      <c r="N22" s="4"/>
      <c r="O22" s="9">
        <f t="shared" ref="O22:O26" si="42">SUM(F22:N22)</f>
        <v>295000</v>
      </c>
      <c r="P22" s="4"/>
      <c r="Q22" s="4"/>
      <c r="R22" s="10">
        <v>259750</v>
      </c>
      <c r="S22" s="27">
        <v>172000</v>
      </c>
      <c r="T22" s="20"/>
      <c r="U22" s="20"/>
      <c r="V22" s="20"/>
      <c r="W22" s="20"/>
      <c r="X22" s="20"/>
      <c r="Y22" s="21">
        <f t="shared" ref="Y22:Y26" si="43">SUM(P22:X22)</f>
        <v>431750</v>
      </c>
      <c r="Z22" s="10">
        <v>945000</v>
      </c>
      <c r="AA22" s="20">
        <f>315000+315000+315000+210000</f>
        <v>1155000</v>
      </c>
      <c r="AB22" s="20">
        <f>1698000+309000+156000</f>
        <v>2163000</v>
      </c>
      <c r="AC22" s="20">
        <v>1872000</v>
      </c>
      <c r="AD22" s="20">
        <v>1716000</v>
      </c>
      <c r="AE22" s="175">
        <v>1248000</v>
      </c>
      <c r="AF22" s="21">
        <f t="shared" ref="AF22:AF26" si="44">SUM(Z22:AE22)</f>
        <v>9099000</v>
      </c>
      <c r="AG22" s="4"/>
      <c r="AH22" s="4"/>
      <c r="AI22" s="4"/>
      <c r="AJ22" s="4"/>
      <c r="AK22" s="4"/>
      <c r="AL22" s="4"/>
      <c r="AM22" s="4"/>
      <c r="AN22" s="4"/>
      <c r="AO22" s="4"/>
      <c r="AP22" s="9">
        <f t="shared" ref="AP22:AP26" si="45">SUM(AG22:AO22)</f>
        <v>0</v>
      </c>
      <c r="AQ22" s="4"/>
      <c r="AR22" s="4"/>
      <c r="AS22" s="4"/>
      <c r="AT22" s="4"/>
      <c r="AU22" s="4"/>
      <c r="AV22" s="4"/>
      <c r="AW22" s="4"/>
      <c r="AX22" s="4"/>
      <c r="AY22" s="4"/>
      <c r="AZ22" s="9">
        <f t="shared" ref="AZ22:AZ26" si="46">SUM(AQ22:AY22)</f>
        <v>0</v>
      </c>
      <c r="BA22" s="10"/>
      <c r="BB22" s="20"/>
      <c r="BC22" s="20"/>
      <c r="BD22" s="20"/>
      <c r="BE22" s="20"/>
      <c r="BF22" s="4"/>
      <c r="BG22" s="21">
        <f t="shared" ref="BG22:BG26" si="47">SUM(BA22:BF22)</f>
        <v>0</v>
      </c>
      <c r="BH22" s="10"/>
      <c r="BI22" s="10"/>
      <c r="BJ22" s="10">
        <v>376000</v>
      </c>
      <c r="BK22" s="10"/>
      <c r="BL22" s="20"/>
      <c r="BM22" s="20"/>
      <c r="BN22" s="20"/>
      <c r="BO22" s="20"/>
      <c r="BP22" s="20"/>
      <c r="BQ22" s="21">
        <f t="shared" ref="BQ22:BQ26" si="48">SUM(BH22:BP22)</f>
        <v>376000</v>
      </c>
      <c r="BR22" s="4">
        <f t="shared" ref="BR22:BR26" si="49">F22+P22+AG22+AQ22+BH22</f>
        <v>0</v>
      </c>
      <c r="BS22" s="4">
        <f t="shared" ref="BS22:BS26" si="50">G22+Q22+AH22+AR22+BI22</f>
        <v>0</v>
      </c>
      <c r="BT22" s="4">
        <f t="shared" ref="BT22:BT26" si="51">H22+R22+AI22+AS22+BJ22</f>
        <v>790750</v>
      </c>
      <c r="BU22" s="4">
        <f t="shared" ref="BU22:BU26" si="52">I22+S22+Z22+AJ22+AT22+BA22+BK22</f>
        <v>1257000</v>
      </c>
      <c r="BV22" s="94">
        <f t="shared" ref="BV22:BV26" si="53">J22+T22+AA22+AK22+AU22+BB22+BL22</f>
        <v>1155000</v>
      </c>
      <c r="BW22" s="94">
        <f t="shared" ref="BW22:BW26" si="54">K22+U22+AB22+AM22+AV22+BC22+BM22</f>
        <v>2163000</v>
      </c>
      <c r="BX22" s="94">
        <f t="shared" ref="BX22:BX26" si="55">L22+V22+AC22+AM22+AW22+BD22+BN22</f>
        <v>1872000</v>
      </c>
      <c r="BY22" s="94">
        <f t="shared" ref="BY22:BY26" si="56">M22+W22+AD22+AO22+AX22+BE22+BO22</f>
        <v>1716000</v>
      </c>
      <c r="BZ22" s="94">
        <f t="shared" ref="BZ22:BZ26" si="57">N22+X22+AE22+AO22+AY22+BF22+BP22</f>
        <v>1248000</v>
      </c>
      <c r="CA22" s="9">
        <f t="shared" ref="CA22:CA26" si="58">SUM(BR22:BZ22)</f>
        <v>10201750</v>
      </c>
    </row>
    <row r="23" spans="1:79">
      <c r="A23" s="186"/>
      <c r="B23" s="8">
        <v>2</v>
      </c>
      <c r="C23" s="1" t="s">
        <v>89</v>
      </c>
      <c r="D23" s="4" t="s">
        <v>90</v>
      </c>
      <c r="E23" s="4" t="s">
        <v>18</v>
      </c>
      <c r="F23" s="4"/>
      <c r="G23" s="4"/>
      <c r="H23" s="4">
        <v>155000</v>
      </c>
      <c r="I23" s="4">
        <f>120000+20000</f>
        <v>140000</v>
      </c>
      <c r="J23" s="4"/>
      <c r="K23" s="4"/>
      <c r="L23" s="4"/>
      <c r="M23" s="4"/>
      <c r="N23" s="4"/>
      <c r="O23" s="9">
        <f t="shared" si="42"/>
        <v>295000</v>
      </c>
      <c r="P23" s="4"/>
      <c r="Q23" s="4"/>
      <c r="R23" s="10">
        <f>258750+140000</f>
        <v>398750</v>
      </c>
      <c r="S23" s="27">
        <v>30000</v>
      </c>
      <c r="T23" s="20"/>
      <c r="U23" s="20"/>
      <c r="V23" s="20"/>
      <c r="W23" s="20"/>
      <c r="X23" s="20"/>
      <c r="Y23" s="21">
        <f t="shared" si="43"/>
        <v>428750</v>
      </c>
      <c r="Z23" s="10">
        <v>945000</v>
      </c>
      <c r="AA23" s="20">
        <f>315000+313500+315000+315000+210000</f>
        <v>1468500</v>
      </c>
      <c r="AB23" s="20">
        <f>1405000+312000+156000</f>
        <v>1873000</v>
      </c>
      <c r="AC23" s="20">
        <v>1872000</v>
      </c>
      <c r="AD23" s="20">
        <v>1716000</v>
      </c>
      <c r="AE23" s="175">
        <v>1248000</v>
      </c>
      <c r="AF23" s="21">
        <f t="shared" si="44"/>
        <v>9122500</v>
      </c>
      <c r="AG23" s="4"/>
      <c r="AH23" s="4"/>
      <c r="AI23" s="4"/>
      <c r="AJ23" s="4"/>
      <c r="AK23" s="4"/>
      <c r="AL23" s="4"/>
      <c r="AM23" s="4"/>
      <c r="AN23" s="4"/>
      <c r="AO23" s="4"/>
      <c r="AP23" s="9">
        <f t="shared" si="45"/>
        <v>0</v>
      </c>
      <c r="AQ23" s="4"/>
      <c r="AR23" s="4"/>
      <c r="AS23" s="4"/>
      <c r="AT23" s="4"/>
      <c r="AU23" s="4"/>
      <c r="AV23" s="4"/>
      <c r="AW23" s="4"/>
      <c r="AX23" s="4"/>
      <c r="AY23" s="4"/>
      <c r="AZ23" s="9">
        <f t="shared" si="46"/>
        <v>0</v>
      </c>
      <c r="BA23" s="10"/>
      <c r="BB23" s="20"/>
      <c r="BC23" s="20"/>
      <c r="BD23" s="20"/>
      <c r="BE23" s="20"/>
      <c r="BF23" s="4"/>
      <c r="BG23" s="21">
        <f t="shared" si="47"/>
        <v>0</v>
      </c>
      <c r="BH23" s="10"/>
      <c r="BI23" s="10"/>
      <c r="BJ23" s="10">
        <v>376000</v>
      </c>
      <c r="BK23" s="10"/>
      <c r="BL23" s="20"/>
      <c r="BM23" s="20"/>
      <c r="BN23" s="20"/>
      <c r="BO23" s="20"/>
      <c r="BP23" s="20"/>
      <c r="BQ23" s="21">
        <f t="shared" si="48"/>
        <v>376000</v>
      </c>
      <c r="BR23" s="4">
        <f t="shared" si="49"/>
        <v>0</v>
      </c>
      <c r="BS23" s="4">
        <f t="shared" si="50"/>
        <v>0</v>
      </c>
      <c r="BT23" s="4">
        <f t="shared" si="51"/>
        <v>929750</v>
      </c>
      <c r="BU23" s="4">
        <f t="shared" si="52"/>
        <v>1115000</v>
      </c>
      <c r="BV23" s="94">
        <f t="shared" si="53"/>
        <v>1468500</v>
      </c>
      <c r="BW23" s="94">
        <f t="shared" si="54"/>
        <v>1873000</v>
      </c>
      <c r="BX23" s="94">
        <f t="shared" si="55"/>
        <v>1872000</v>
      </c>
      <c r="BY23" s="94">
        <f t="shared" si="56"/>
        <v>1716000</v>
      </c>
      <c r="BZ23" s="94">
        <f t="shared" si="57"/>
        <v>1248000</v>
      </c>
      <c r="CA23" s="9">
        <f t="shared" si="58"/>
        <v>10222250</v>
      </c>
    </row>
    <row r="24" spans="1:79" ht="31.5">
      <c r="A24" s="186"/>
      <c r="B24" s="8">
        <v>3</v>
      </c>
      <c r="C24" s="1" t="s">
        <v>91</v>
      </c>
      <c r="D24" s="4" t="s">
        <v>92</v>
      </c>
      <c r="E24" s="4" t="s">
        <v>18</v>
      </c>
      <c r="F24" s="4"/>
      <c r="G24" s="4">
        <v>155000</v>
      </c>
      <c r="H24" s="4">
        <f>462000+77000+286000+330000+110000+40000</f>
        <v>1305000</v>
      </c>
      <c r="I24" s="4">
        <v>685500</v>
      </c>
      <c r="J24" s="4">
        <f>210000+210000</f>
        <v>420000</v>
      </c>
      <c r="K24" s="4"/>
      <c r="L24" s="4">
        <v>312500</v>
      </c>
      <c r="M24" s="4">
        <v>1210000</v>
      </c>
      <c r="N24" s="94">
        <v>857000</v>
      </c>
      <c r="O24" s="9">
        <f t="shared" si="42"/>
        <v>4945000</v>
      </c>
      <c r="P24" s="4"/>
      <c r="Q24" s="4"/>
      <c r="R24" s="4"/>
      <c r="S24" s="4"/>
      <c r="T24" s="20"/>
      <c r="U24" s="20"/>
      <c r="V24" s="20"/>
      <c r="W24" s="20"/>
      <c r="X24" s="20"/>
      <c r="Y24" s="21">
        <f t="shared" si="43"/>
        <v>0</v>
      </c>
      <c r="Z24" s="10"/>
      <c r="AA24" s="20"/>
      <c r="AB24" s="20"/>
      <c r="AC24" s="20"/>
      <c r="AD24" s="20"/>
      <c r="AE24" s="20"/>
      <c r="AF24" s="21">
        <f t="shared" si="44"/>
        <v>0</v>
      </c>
      <c r="AG24" s="4"/>
      <c r="AH24" s="4">
        <v>290000</v>
      </c>
      <c r="AI24" s="4">
        <v>1516000</v>
      </c>
      <c r="AJ24" s="11">
        <v>300000</v>
      </c>
      <c r="AK24" s="11"/>
      <c r="AL24" s="11"/>
      <c r="AM24" s="11"/>
      <c r="AN24" s="11"/>
      <c r="AO24" s="11"/>
      <c r="AP24" s="9">
        <f t="shared" si="45"/>
        <v>2106000</v>
      </c>
      <c r="AQ24" s="4"/>
      <c r="AR24" s="4"/>
      <c r="AS24" s="4"/>
      <c r="AT24" s="4"/>
      <c r="AU24" s="4"/>
      <c r="AV24" s="4"/>
      <c r="AW24" s="4"/>
      <c r="AX24" s="4"/>
      <c r="AY24" s="4"/>
      <c r="AZ24" s="9">
        <f t="shared" si="46"/>
        <v>0</v>
      </c>
      <c r="BA24" s="10"/>
      <c r="BB24" s="20"/>
      <c r="BC24" s="20"/>
      <c r="BD24" s="20"/>
      <c r="BE24" s="20"/>
      <c r="BF24" s="11"/>
      <c r="BG24" s="21">
        <f t="shared" si="47"/>
        <v>0</v>
      </c>
      <c r="BH24" s="10"/>
      <c r="BI24" s="10"/>
      <c r="BJ24" s="10"/>
      <c r="BK24" s="10"/>
      <c r="BL24" s="20"/>
      <c r="BM24" s="20"/>
      <c r="BN24" s="20"/>
      <c r="BO24" s="20"/>
      <c r="BP24" s="20"/>
      <c r="BQ24" s="21">
        <f t="shared" si="48"/>
        <v>0</v>
      </c>
      <c r="BR24" s="4">
        <f t="shared" si="49"/>
        <v>0</v>
      </c>
      <c r="BS24" s="4">
        <f t="shared" si="50"/>
        <v>445000</v>
      </c>
      <c r="BT24" s="4">
        <f t="shared" si="51"/>
        <v>2821000</v>
      </c>
      <c r="BU24" s="4">
        <f t="shared" si="52"/>
        <v>985500</v>
      </c>
      <c r="BV24" s="94">
        <f t="shared" si="53"/>
        <v>420000</v>
      </c>
      <c r="BW24" s="94">
        <f t="shared" si="54"/>
        <v>0</v>
      </c>
      <c r="BX24" s="94">
        <f t="shared" si="55"/>
        <v>312500</v>
      </c>
      <c r="BY24" s="94">
        <f t="shared" si="56"/>
        <v>1210000</v>
      </c>
      <c r="BZ24" s="94">
        <f t="shared" si="57"/>
        <v>857000</v>
      </c>
      <c r="CA24" s="9">
        <f t="shared" si="58"/>
        <v>7051000</v>
      </c>
    </row>
    <row r="25" spans="1:79">
      <c r="A25" s="186"/>
      <c r="B25" s="8">
        <v>4</v>
      </c>
      <c r="C25" s="1" t="s">
        <v>9</v>
      </c>
      <c r="D25" s="4" t="s">
        <v>42</v>
      </c>
      <c r="E25" s="4" t="s">
        <v>18</v>
      </c>
      <c r="F25" s="4"/>
      <c r="G25" s="4"/>
      <c r="H25" s="4"/>
      <c r="I25" s="4"/>
      <c r="J25" s="4"/>
      <c r="K25" s="4"/>
      <c r="L25" s="4"/>
      <c r="M25" s="4"/>
      <c r="N25" s="4"/>
      <c r="O25" s="9">
        <f t="shared" si="42"/>
        <v>0</v>
      </c>
      <c r="P25" s="4">
        <v>195000</v>
      </c>
      <c r="Q25" s="10">
        <v>1426450</v>
      </c>
      <c r="R25" s="10">
        <v>1018500</v>
      </c>
      <c r="S25" s="10">
        <v>950000</v>
      </c>
      <c r="T25" s="20">
        <f>70000+210000</f>
        <v>280000</v>
      </c>
      <c r="U25" s="20"/>
      <c r="V25" s="20">
        <v>2250400</v>
      </c>
      <c r="W25" s="20">
        <v>1600500</v>
      </c>
      <c r="X25" s="174">
        <v>1018500</v>
      </c>
      <c r="Y25" s="21">
        <f t="shared" si="43"/>
        <v>8739350</v>
      </c>
      <c r="Z25" s="10"/>
      <c r="AA25" s="20"/>
      <c r="AB25" s="20"/>
      <c r="AC25" s="20"/>
      <c r="AD25" s="20"/>
      <c r="AE25" s="20"/>
      <c r="AF25" s="21">
        <f t="shared" si="44"/>
        <v>0</v>
      </c>
      <c r="AG25" s="4">
        <v>290000</v>
      </c>
      <c r="AH25" s="70">
        <v>2093000</v>
      </c>
      <c r="AI25" s="4">
        <v>1575000</v>
      </c>
      <c r="AJ25" s="11"/>
      <c r="AK25" s="11"/>
      <c r="AL25" s="11"/>
      <c r="AM25" s="11"/>
      <c r="AN25" s="11"/>
      <c r="AO25" s="11"/>
      <c r="AP25" s="9">
        <f t="shared" si="45"/>
        <v>3958000</v>
      </c>
      <c r="AQ25" s="4"/>
      <c r="AR25" s="4"/>
      <c r="AS25" s="4"/>
      <c r="AT25" s="4"/>
      <c r="AU25" s="4"/>
      <c r="AV25" s="4"/>
      <c r="AW25" s="4"/>
      <c r="AX25" s="4"/>
      <c r="AY25" s="4"/>
      <c r="AZ25" s="9">
        <f t="shared" si="46"/>
        <v>0</v>
      </c>
      <c r="BA25" s="10"/>
      <c r="BB25" s="20"/>
      <c r="BC25" s="20"/>
      <c r="BD25" s="20"/>
      <c r="BE25" s="20"/>
      <c r="BF25" s="11"/>
      <c r="BG25" s="21">
        <f t="shared" si="47"/>
        <v>0</v>
      </c>
      <c r="BH25" s="10"/>
      <c r="BI25" s="10">
        <v>100000</v>
      </c>
      <c r="BJ25" s="10">
        <v>522000</v>
      </c>
      <c r="BK25" s="10"/>
      <c r="BL25" s="20"/>
      <c r="BM25" s="20"/>
      <c r="BN25" s="20"/>
      <c r="BO25" s="20"/>
      <c r="BP25" s="20"/>
      <c r="BQ25" s="21">
        <f t="shared" si="48"/>
        <v>622000</v>
      </c>
      <c r="BR25" s="4">
        <f t="shared" si="49"/>
        <v>485000</v>
      </c>
      <c r="BS25" s="4">
        <f t="shared" si="50"/>
        <v>3619450</v>
      </c>
      <c r="BT25" s="4">
        <f t="shared" si="51"/>
        <v>3115500</v>
      </c>
      <c r="BU25" s="4">
        <f t="shared" si="52"/>
        <v>950000</v>
      </c>
      <c r="BV25" s="94">
        <f t="shared" si="53"/>
        <v>280000</v>
      </c>
      <c r="BW25" s="94">
        <f t="shared" si="54"/>
        <v>0</v>
      </c>
      <c r="BX25" s="94">
        <f t="shared" si="55"/>
        <v>2250400</v>
      </c>
      <c r="BY25" s="94">
        <f t="shared" si="56"/>
        <v>1600500</v>
      </c>
      <c r="BZ25" s="94">
        <f t="shared" si="57"/>
        <v>1018500</v>
      </c>
      <c r="CA25" s="9">
        <f t="shared" si="58"/>
        <v>13319350</v>
      </c>
    </row>
    <row r="26" spans="1:79" ht="31.5">
      <c r="A26" s="187"/>
      <c r="B26" s="8">
        <v>5</v>
      </c>
      <c r="C26" s="1" t="s">
        <v>93</v>
      </c>
      <c r="D26" s="4" t="s">
        <v>94</v>
      </c>
      <c r="E26" s="4" t="s">
        <v>18</v>
      </c>
      <c r="F26" s="4">
        <v>155000</v>
      </c>
      <c r="G26" s="4">
        <v>207500</v>
      </c>
      <c r="H26" s="4">
        <v>379500</v>
      </c>
      <c r="I26" s="4"/>
      <c r="J26" s="4"/>
      <c r="K26" s="4"/>
      <c r="L26" s="4"/>
      <c r="M26" s="4"/>
      <c r="N26" s="4"/>
      <c r="O26" s="9">
        <f t="shared" si="42"/>
        <v>742000</v>
      </c>
      <c r="P26" s="4"/>
      <c r="Q26" s="10">
        <v>629500</v>
      </c>
      <c r="R26" s="10">
        <v>436500</v>
      </c>
      <c r="S26" s="10"/>
      <c r="T26" s="20"/>
      <c r="U26" s="20"/>
      <c r="V26" s="20"/>
      <c r="W26" s="20"/>
      <c r="X26" s="20"/>
      <c r="Y26" s="21">
        <f t="shared" si="43"/>
        <v>1066000</v>
      </c>
      <c r="Z26" s="10"/>
      <c r="AA26" s="20"/>
      <c r="AB26" s="20"/>
      <c r="AC26" s="20">
        <v>1846200</v>
      </c>
      <c r="AD26" s="20">
        <v>1716000</v>
      </c>
      <c r="AE26" s="175">
        <v>1190800</v>
      </c>
      <c r="AF26" s="21">
        <f t="shared" si="44"/>
        <v>4753000</v>
      </c>
      <c r="AG26" s="4"/>
      <c r="AH26" s="4"/>
      <c r="AI26" s="4"/>
      <c r="AJ26" s="4"/>
      <c r="AK26" s="4"/>
      <c r="AL26" s="4"/>
      <c r="AM26" s="4"/>
      <c r="AN26" s="4"/>
      <c r="AO26" s="4"/>
      <c r="AP26" s="9">
        <f t="shared" si="45"/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9">
        <f t="shared" si="46"/>
        <v>0</v>
      </c>
      <c r="BA26" s="10"/>
      <c r="BB26" s="20"/>
      <c r="BC26" s="20"/>
      <c r="BD26" s="20"/>
      <c r="BE26" s="20"/>
      <c r="BF26" s="4"/>
      <c r="BG26" s="21">
        <f t="shared" si="47"/>
        <v>0</v>
      </c>
      <c r="BH26" s="10"/>
      <c r="BI26" s="10"/>
      <c r="BJ26" s="10"/>
      <c r="BK26" s="10"/>
      <c r="BL26" s="20"/>
      <c r="BM26" s="20"/>
      <c r="BN26" s="20"/>
      <c r="BO26" s="20"/>
      <c r="BP26" s="20"/>
      <c r="BQ26" s="21">
        <f t="shared" si="48"/>
        <v>0</v>
      </c>
      <c r="BR26" s="4">
        <f t="shared" si="49"/>
        <v>155000</v>
      </c>
      <c r="BS26" s="4">
        <f t="shared" si="50"/>
        <v>837000</v>
      </c>
      <c r="BT26" s="4">
        <f t="shared" si="51"/>
        <v>816000</v>
      </c>
      <c r="BU26" s="4">
        <f t="shared" si="52"/>
        <v>0</v>
      </c>
      <c r="BV26" s="94">
        <f t="shared" si="53"/>
        <v>0</v>
      </c>
      <c r="BW26" s="94">
        <f t="shared" si="54"/>
        <v>0</v>
      </c>
      <c r="BX26" s="94">
        <f t="shared" si="55"/>
        <v>1846200</v>
      </c>
      <c r="BY26" s="94">
        <f t="shared" si="56"/>
        <v>1716000</v>
      </c>
      <c r="BZ26" s="94">
        <f t="shared" si="57"/>
        <v>1190800</v>
      </c>
      <c r="CA26" s="9">
        <f t="shared" si="58"/>
        <v>6561000</v>
      </c>
    </row>
    <row r="27" spans="1:79" s="38" customFormat="1">
      <c r="A27" s="34"/>
      <c r="B27" s="34"/>
      <c r="C27" s="35" t="s">
        <v>95</v>
      </c>
      <c r="D27" s="37"/>
      <c r="E27" s="37"/>
      <c r="F27" s="37">
        <f>SUM(F22:F26)</f>
        <v>155000</v>
      </c>
      <c r="G27" s="37">
        <f t="shared" ref="G27:CA27" si="59">SUM(G22:G26)</f>
        <v>362500</v>
      </c>
      <c r="H27" s="37">
        <f t="shared" si="59"/>
        <v>1994500</v>
      </c>
      <c r="I27" s="37">
        <f t="shared" si="59"/>
        <v>965500</v>
      </c>
      <c r="J27" s="37">
        <f t="shared" si="59"/>
        <v>420000</v>
      </c>
      <c r="K27" s="37">
        <f t="shared" si="59"/>
        <v>0</v>
      </c>
      <c r="L27" s="37">
        <f t="shared" si="59"/>
        <v>312500</v>
      </c>
      <c r="M27" s="37">
        <f t="shared" si="59"/>
        <v>1210000</v>
      </c>
      <c r="N27" s="37">
        <f t="shared" si="59"/>
        <v>857000</v>
      </c>
      <c r="O27" s="37">
        <f t="shared" si="59"/>
        <v>6277000</v>
      </c>
      <c r="P27" s="37">
        <f t="shared" ref="P27:AA27" si="60">SUM(P22:P26)</f>
        <v>195000</v>
      </c>
      <c r="Q27" s="37">
        <f t="shared" si="60"/>
        <v>2055950</v>
      </c>
      <c r="R27" s="37">
        <f t="shared" si="60"/>
        <v>2113500</v>
      </c>
      <c r="S27" s="37">
        <f t="shared" si="60"/>
        <v>1152000</v>
      </c>
      <c r="T27" s="37">
        <f t="shared" si="60"/>
        <v>280000</v>
      </c>
      <c r="U27" s="37">
        <f t="shared" si="60"/>
        <v>0</v>
      </c>
      <c r="V27" s="37">
        <f t="shared" si="60"/>
        <v>2250400</v>
      </c>
      <c r="W27" s="37">
        <f t="shared" si="60"/>
        <v>1600500</v>
      </c>
      <c r="X27" s="37">
        <f t="shared" si="60"/>
        <v>1018500</v>
      </c>
      <c r="Y27" s="37">
        <f t="shared" si="60"/>
        <v>10665850</v>
      </c>
      <c r="Z27" s="37">
        <f t="shared" si="60"/>
        <v>1890000</v>
      </c>
      <c r="AA27" s="37">
        <f t="shared" si="60"/>
        <v>2623500</v>
      </c>
      <c r="AB27" s="37">
        <f>SUM(AB22:AB26)</f>
        <v>4036000</v>
      </c>
      <c r="AC27" s="37">
        <f>SUM(AC22:AC26)</f>
        <v>5590200</v>
      </c>
      <c r="AD27" s="37">
        <f>SUM(AD22:AD26)</f>
        <v>5148000</v>
      </c>
      <c r="AE27" s="37">
        <f>SUM(AE22:AE26)</f>
        <v>3686800</v>
      </c>
      <c r="AF27" s="37">
        <f>SUM(AF22:AF26)</f>
        <v>22974500</v>
      </c>
      <c r="AG27" s="37">
        <f t="shared" ref="AG27:AP27" si="61">SUM(AG22:AG26)</f>
        <v>290000</v>
      </c>
      <c r="AH27" s="37">
        <f t="shared" si="61"/>
        <v>2383000</v>
      </c>
      <c r="AI27" s="37">
        <f t="shared" si="61"/>
        <v>3091000</v>
      </c>
      <c r="AJ27" s="37">
        <f t="shared" si="61"/>
        <v>300000</v>
      </c>
      <c r="AK27" s="37">
        <f t="shared" si="61"/>
        <v>0</v>
      </c>
      <c r="AL27" s="37">
        <f t="shared" si="61"/>
        <v>0</v>
      </c>
      <c r="AM27" s="37">
        <f t="shared" si="61"/>
        <v>0</v>
      </c>
      <c r="AN27" s="37">
        <f t="shared" si="61"/>
        <v>0</v>
      </c>
      <c r="AO27" s="37">
        <f t="shared" si="61"/>
        <v>0</v>
      </c>
      <c r="AP27" s="37">
        <f t="shared" si="61"/>
        <v>6064000</v>
      </c>
      <c r="AQ27" s="37">
        <f t="shared" si="59"/>
        <v>0</v>
      </c>
      <c r="AR27" s="37">
        <f t="shared" si="59"/>
        <v>0</v>
      </c>
      <c r="AS27" s="37">
        <f t="shared" si="59"/>
        <v>0</v>
      </c>
      <c r="AT27" s="37">
        <f t="shared" si="59"/>
        <v>0</v>
      </c>
      <c r="AU27" s="37">
        <f t="shared" si="59"/>
        <v>0</v>
      </c>
      <c r="AV27" s="37">
        <f t="shared" si="59"/>
        <v>0</v>
      </c>
      <c r="AW27" s="37">
        <f t="shared" si="59"/>
        <v>0</v>
      </c>
      <c r="AX27" s="37">
        <f t="shared" si="59"/>
        <v>0</v>
      </c>
      <c r="AY27" s="37">
        <f t="shared" si="59"/>
        <v>0</v>
      </c>
      <c r="AZ27" s="37">
        <f t="shared" si="59"/>
        <v>0</v>
      </c>
      <c r="BA27" s="37">
        <f t="shared" si="59"/>
        <v>0</v>
      </c>
      <c r="BB27" s="37">
        <f t="shared" si="59"/>
        <v>0</v>
      </c>
      <c r="BC27" s="37">
        <f t="shared" si="59"/>
        <v>0</v>
      </c>
      <c r="BD27" s="37">
        <f t="shared" si="59"/>
        <v>0</v>
      </c>
      <c r="BE27" s="37">
        <f t="shared" si="59"/>
        <v>0</v>
      </c>
      <c r="BF27" s="37">
        <f t="shared" si="59"/>
        <v>0</v>
      </c>
      <c r="BG27" s="37">
        <f t="shared" si="59"/>
        <v>0</v>
      </c>
      <c r="BH27" s="37">
        <f t="shared" si="59"/>
        <v>0</v>
      </c>
      <c r="BI27" s="37">
        <f t="shared" si="59"/>
        <v>100000</v>
      </c>
      <c r="BJ27" s="37">
        <f t="shared" si="59"/>
        <v>1274000</v>
      </c>
      <c r="BK27" s="37">
        <f t="shared" si="59"/>
        <v>0</v>
      </c>
      <c r="BL27" s="37">
        <f t="shared" si="59"/>
        <v>0</v>
      </c>
      <c r="BM27" s="37">
        <f t="shared" si="59"/>
        <v>0</v>
      </c>
      <c r="BN27" s="37">
        <f t="shared" si="59"/>
        <v>0</v>
      </c>
      <c r="BO27" s="37">
        <f t="shared" si="59"/>
        <v>0</v>
      </c>
      <c r="BP27" s="37">
        <f t="shared" ref="BP27" si="62">SUM(BP23:BP26)</f>
        <v>0</v>
      </c>
      <c r="BQ27" s="37">
        <f t="shared" si="59"/>
        <v>1374000</v>
      </c>
      <c r="BR27" s="37">
        <f t="shared" si="59"/>
        <v>640000</v>
      </c>
      <c r="BS27" s="37">
        <f t="shared" si="59"/>
        <v>4901450</v>
      </c>
      <c r="BT27" s="37">
        <f t="shared" si="59"/>
        <v>8473000</v>
      </c>
      <c r="BU27" s="37">
        <f t="shared" si="59"/>
        <v>4307500</v>
      </c>
      <c r="BV27" s="37">
        <f t="shared" si="59"/>
        <v>3323500</v>
      </c>
      <c r="BW27" s="144">
        <f>SUM(BW22:BW26)</f>
        <v>4036000</v>
      </c>
      <c r="BX27" s="37">
        <f t="shared" ref="BX27:BY27" si="63">SUM(BX22:BX26)</f>
        <v>8153100</v>
      </c>
      <c r="BY27" s="37">
        <f t="shared" si="63"/>
        <v>7958500</v>
      </c>
      <c r="BZ27" s="144">
        <f>SUM(BZ22:BZ26)</f>
        <v>5562300</v>
      </c>
      <c r="CA27" s="37">
        <f t="shared" si="59"/>
        <v>47355350</v>
      </c>
    </row>
    <row r="28" spans="1:79">
      <c r="A28" s="185" t="s">
        <v>96</v>
      </c>
      <c r="B28" s="8">
        <v>1</v>
      </c>
      <c r="C28" s="1" t="s">
        <v>512</v>
      </c>
      <c r="D28" s="4" t="s">
        <v>96</v>
      </c>
      <c r="E28" s="4" t="s">
        <v>98</v>
      </c>
      <c r="F28" s="4"/>
      <c r="G28" s="4">
        <v>155000</v>
      </c>
      <c r="H28" s="4">
        <v>-155000</v>
      </c>
      <c r="I28" s="4"/>
      <c r="J28" s="4"/>
      <c r="K28" s="4"/>
      <c r="L28" s="4">
        <v>155000</v>
      </c>
      <c r="M28" s="4">
        <v>346500</v>
      </c>
      <c r="N28" s="94">
        <v>220000</v>
      </c>
      <c r="O28" s="9">
        <f t="shared" ref="O28:O29" si="64">SUM(F28:N28)</f>
        <v>721500</v>
      </c>
      <c r="P28" s="4"/>
      <c r="Q28" s="4"/>
      <c r="R28" s="4"/>
      <c r="S28" s="4"/>
      <c r="T28" s="20"/>
      <c r="U28" s="20"/>
      <c r="V28" s="20"/>
      <c r="W28" s="20"/>
      <c r="X28" s="20"/>
      <c r="Y28" s="21">
        <f t="shared" ref="Y28:Y29" si="65">SUM(P28:X28)</f>
        <v>0</v>
      </c>
      <c r="Z28" s="10"/>
      <c r="AA28" s="20"/>
      <c r="AB28" s="20"/>
      <c r="AC28" s="20"/>
      <c r="AD28" s="20"/>
      <c r="AE28" s="20"/>
      <c r="AF28" s="21">
        <f t="shared" ref="AF28:AF29" si="66">SUM(Z28:AE28)</f>
        <v>0</v>
      </c>
      <c r="AG28" s="4"/>
      <c r="AH28" s="4"/>
      <c r="AI28" s="4"/>
      <c r="AJ28" s="4"/>
      <c r="AK28" s="4"/>
      <c r="AL28" s="4"/>
      <c r="AM28" s="4"/>
      <c r="AN28" s="4"/>
      <c r="AO28" s="4"/>
      <c r="AP28" s="9">
        <f t="shared" ref="AP28:AP29" si="67">SUM(AG28:AO28)</f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9">
        <f t="shared" ref="AZ28:AZ29" si="68">SUM(AQ28:AY28)</f>
        <v>0</v>
      </c>
      <c r="BA28" s="10"/>
      <c r="BB28" s="20"/>
      <c r="BC28" s="20"/>
      <c r="BD28" s="20"/>
      <c r="BE28" s="20"/>
      <c r="BF28" s="4"/>
      <c r="BG28" s="21">
        <f t="shared" ref="BG28:BG29" si="69">SUM(BA28:BF28)</f>
        <v>0</v>
      </c>
      <c r="BH28" s="10"/>
      <c r="BI28" s="10"/>
      <c r="BJ28" s="10"/>
      <c r="BK28" s="10"/>
      <c r="BL28" s="20"/>
      <c r="BM28" s="20"/>
      <c r="BN28" s="20"/>
      <c r="BO28" s="20"/>
      <c r="BP28" s="20"/>
      <c r="BQ28" s="21">
        <f t="shared" ref="BQ28:BQ29" si="70">SUM(BH28:BP28)</f>
        <v>0</v>
      </c>
      <c r="BR28" s="4">
        <f t="shared" ref="BR28:BR29" si="71">F28+P28+AG28+AQ28+BH28</f>
        <v>0</v>
      </c>
      <c r="BS28" s="4">
        <f t="shared" ref="BS28:BS29" si="72">G28+Q28+AH28+AR28+BI28</f>
        <v>155000</v>
      </c>
      <c r="BT28" s="4">
        <f t="shared" ref="BT28:BT29" si="73">H28+R28+AI28+AS28+BJ28</f>
        <v>-155000</v>
      </c>
      <c r="BU28" s="4">
        <f t="shared" ref="BU28:BU29" si="74">I28+S28+Z28+AJ28+AT28+BA28+BK28</f>
        <v>0</v>
      </c>
      <c r="BV28" s="94">
        <f t="shared" ref="BV28:BV29" si="75">J28+T28+AA28+AK28+AU28+BB28+BL28</f>
        <v>0</v>
      </c>
      <c r="BW28" s="94">
        <f t="shared" ref="BW28:BW29" si="76">K28+U28+AB28+AM28+AV28+BC28+BM28</f>
        <v>0</v>
      </c>
      <c r="BX28" s="94">
        <f t="shared" ref="BX28:BX29" si="77">L28+V28+AC28+AM28+AW28+BD28+BN28</f>
        <v>155000</v>
      </c>
      <c r="BY28" s="94">
        <f t="shared" ref="BY28:BY29" si="78">M28+W28+AD28+AO28+AX28+BE28+BO28</f>
        <v>346500</v>
      </c>
      <c r="BZ28" s="94">
        <f t="shared" ref="BZ28:BZ29" si="79">N28+X28+AE28+AO28+AY28+BF28+BP28</f>
        <v>220000</v>
      </c>
      <c r="CA28" s="9">
        <f t="shared" ref="CA28:CA29" si="80">SUM(BR28:BZ28)</f>
        <v>721500</v>
      </c>
    </row>
    <row r="29" spans="1:79" ht="30">
      <c r="A29" s="187"/>
      <c r="B29" s="8">
        <v>2</v>
      </c>
      <c r="C29" s="2" t="s">
        <v>99</v>
      </c>
      <c r="D29" s="4" t="s">
        <v>96</v>
      </c>
      <c r="E29" s="4" t="s">
        <v>98</v>
      </c>
      <c r="F29" s="4"/>
      <c r="G29" s="4"/>
      <c r="H29" s="5"/>
      <c r="I29" s="4"/>
      <c r="J29" s="4"/>
      <c r="K29" s="4"/>
      <c r="L29" s="4"/>
      <c r="M29" s="4"/>
      <c r="N29" s="4"/>
      <c r="O29" s="9">
        <f t="shared" si="64"/>
        <v>0</v>
      </c>
      <c r="P29" s="4"/>
      <c r="Q29" s="4"/>
      <c r="R29" s="4"/>
      <c r="S29" s="4"/>
      <c r="T29" s="20"/>
      <c r="U29" s="20"/>
      <c r="V29" s="20"/>
      <c r="W29" s="20"/>
      <c r="X29" s="20"/>
      <c r="Y29" s="21">
        <f t="shared" si="65"/>
        <v>0</v>
      </c>
      <c r="Z29" s="10"/>
      <c r="AA29" s="20"/>
      <c r="AB29" s="20"/>
      <c r="AC29" s="20"/>
      <c r="AD29" s="20"/>
      <c r="AE29" s="20"/>
      <c r="AF29" s="21">
        <f t="shared" si="66"/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9">
        <f t="shared" si="67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9">
        <f t="shared" si="68"/>
        <v>0</v>
      </c>
      <c r="BA29" s="10"/>
      <c r="BB29" s="20"/>
      <c r="BC29" s="20"/>
      <c r="BD29" s="20"/>
      <c r="BE29" s="20"/>
      <c r="BF29" s="4"/>
      <c r="BG29" s="21">
        <f t="shared" si="69"/>
        <v>0</v>
      </c>
      <c r="BH29" s="10"/>
      <c r="BI29" s="10"/>
      <c r="BJ29" s="10">
        <v>100000</v>
      </c>
      <c r="BK29" s="10">
        <v>150000</v>
      </c>
      <c r="BL29" s="20"/>
      <c r="BM29" s="20"/>
      <c r="BN29" s="20"/>
      <c r="BO29" s="20"/>
      <c r="BP29" s="20"/>
      <c r="BQ29" s="21">
        <f t="shared" si="70"/>
        <v>250000</v>
      </c>
      <c r="BR29" s="4">
        <f t="shared" si="71"/>
        <v>0</v>
      </c>
      <c r="BS29" s="4">
        <f t="shared" si="72"/>
        <v>0</v>
      </c>
      <c r="BT29" s="4">
        <f t="shared" si="73"/>
        <v>100000</v>
      </c>
      <c r="BU29" s="4">
        <f t="shared" si="74"/>
        <v>150000</v>
      </c>
      <c r="BV29" s="94">
        <f t="shared" si="75"/>
        <v>0</v>
      </c>
      <c r="BW29" s="94">
        <f t="shared" si="76"/>
        <v>0</v>
      </c>
      <c r="BX29" s="94">
        <f t="shared" si="77"/>
        <v>0</v>
      </c>
      <c r="BY29" s="94">
        <f t="shared" si="78"/>
        <v>0</v>
      </c>
      <c r="BZ29" s="94">
        <f t="shared" si="79"/>
        <v>0</v>
      </c>
      <c r="CA29" s="9">
        <f t="shared" si="80"/>
        <v>250000</v>
      </c>
    </row>
    <row r="30" spans="1:79" s="38" customFormat="1">
      <c r="A30" s="34"/>
      <c r="B30" s="34"/>
      <c r="C30" s="35" t="s">
        <v>100</v>
      </c>
      <c r="D30" s="37"/>
      <c r="E30" s="37"/>
      <c r="F30" s="37">
        <f>SUM(F28:F29)</f>
        <v>0</v>
      </c>
      <c r="G30" s="37">
        <f t="shared" ref="G30:CA30" si="81">SUM(G28:G29)</f>
        <v>155000</v>
      </c>
      <c r="H30" s="37">
        <f t="shared" si="81"/>
        <v>-155000</v>
      </c>
      <c r="I30" s="37">
        <f t="shared" si="81"/>
        <v>0</v>
      </c>
      <c r="J30" s="37">
        <f t="shared" si="81"/>
        <v>0</v>
      </c>
      <c r="K30" s="37">
        <f t="shared" si="81"/>
        <v>0</v>
      </c>
      <c r="L30" s="37">
        <f t="shared" si="81"/>
        <v>155000</v>
      </c>
      <c r="M30" s="37">
        <f t="shared" si="81"/>
        <v>346500</v>
      </c>
      <c r="N30" s="37">
        <f t="shared" si="81"/>
        <v>220000</v>
      </c>
      <c r="O30" s="37">
        <f t="shared" si="81"/>
        <v>721500</v>
      </c>
      <c r="P30" s="37">
        <f t="shared" ref="P30:AP30" si="82">SUM(P28:P29)</f>
        <v>0</v>
      </c>
      <c r="Q30" s="37">
        <f t="shared" si="82"/>
        <v>0</v>
      </c>
      <c r="R30" s="37">
        <f t="shared" si="82"/>
        <v>0</v>
      </c>
      <c r="S30" s="37">
        <f t="shared" si="82"/>
        <v>0</v>
      </c>
      <c r="T30" s="37">
        <f t="shared" si="82"/>
        <v>0</v>
      </c>
      <c r="U30" s="37">
        <f t="shared" si="82"/>
        <v>0</v>
      </c>
      <c r="V30" s="37">
        <f t="shared" si="82"/>
        <v>0</v>
      </c>
      <c r="W30" s="37">
        <f t="shared" si="82"/>
        <v>0</v>
      </c>
      <c r="X30" s="37">
        <f t="shared" si="82"/>
        <v>0</v>
      </c>
      <c r="Y30" s="37">
        <f t="shared" si="82"/>
        <v>0</v>
      </c>
      <c r="Z30" s="37">
        <f t="shared" si="82"/>
        <v>0</v>
      </c>
      <c r="AA30" s="37">
        <f t="shared" si="82"/>
        <v>0</v>
      </c>
      <c r="AB30" s="37">
        <f t="shared" si="82"/>
        <v>0</v>
      </c>
      <c r="AC30" s="37">
        <f t="shared" si="82"/>
        <v>0</v>
      </c>
      <c r="AD30" s="37">
        <f t="shared" si="82"/>
        <v>0</v>
      </c>
      <c r="AE30" s="37">
        <f t="shared" si="82"/>
        <v>0</v>
      </c>
      <c r="AF30" s="37">
        <f t="shared" si="82"/>
        <v>0</v>
      </c>
      <c r="AG30" s="37">
        <f t="shared" si="82"/>
        <v>0</v>
      </c>
      <c r="AH30" s="37">
        <f t="shared" si="82"/>
        <v>0</v>
      </c>
      <c r="AI30" s="37">
        <f t="shared" si="82"/>
        <v>0</v>
      </c>
      <c r="AJ30" s="37">
        <f t="shared" si="82"/>
        <v>0</v>
      </c>
      <c r="AK30" s="37">
        <f t="shared" si="82"/>
        <v>0</v>
      </c>
      <c r="AL30" s="37">
        <f t="shared" si="82"/>
        <v>0</v>
      </c>
      <c r="AM30" s="37">
        <f t="shared" si="82"/>
        <v>0</v>
      </c>
      <c r="AN30" s="37">
        <f t="shared" si="82"/>
        <v>0</v>
      </c>
      <c r="AO30" s="37">
        <f t="shared" si="82"/>
        <v>0</v>
      </c>
      <c r="AP30" s="37">
        <f t="shared" si="82"/>
        <v>0</v>
      </c>
      <c r="AQ30" s="37">
        <f t="shared" si="81"/>
        <v>0</v>
      </c>
      <c r="AR30" s="37">
        <f t="shared" si="81"/>
        <v>0</v>
      </c>
      <c r="AS30" s="37">
        <f t="shared" si="81"/>
        <v>0</v>
      </c>
      <c r="AT30" s="37">
        <f t="shared" si="81"/>
        <v>0</v>
      </c>
      <c r="AU30" s="37">
        <f t="shared" si="81"/>
        <v>0</v>
      </c>
      <c r="AV30" s="37">
        <f t="shared" si="81"/>
        <v>0</v>
      </c>
      <c r="AW30" s="37">
        <f t="shared" si="81"/>
        <v>0</v>
      </c>
      <c r="AX30" s="37">
        <f t="shared" si="81"/>
        <v>0</v>
      </c>
      <c r="AY30" s="37">
        <f t="shared" si="81"/>
        <v>0</v>
      </c>
      <c r="AZ30" s="37">
        <f t="shared" si="81"/>
        <v>0</v>
      </c>
      <c r="BA30" s="37">
        <f t="shared" si="81"/>
        <v>0</v>
      </c>
      <c r="BB30" s="37">
        <f t="shared" si="81"/>
        <v>0</v>
      </c>
      <c r="BC30" s="37">
        <f t="shared" si="81"/>
        <v>0</v>
      </c>
      <c r="BD30" s="37">
        <f t="shared" si="81"/>
        <v>0</v>
      </c>
      <c r="BE30" s="37">
        <f t="shared" si="81"/>
        <v>0</v>
      </c>
      <c r="BF30" s="37">
        <f t="shared" si="81"/>
        <v>0</v>
      </c>
      <c r="BG30" s="37">
        <f t="shared" si="81"/>
        <v>0</v>
      </c>
      <c r="BH30" s="37">
        <f t="shared" si="81"/>
        <v>0</v>
      </c>
      <c r="BI30" s="37">
        <f t="shared" si="81"/>
        <v>0</v>
      </c>
      <c r="BJ30" s="37">
        <f t="shared" si="81"/>
        <v>100000</v>
      </c>
      <c r="BK30" s="37">
        <f t="shared" si="81"/>
        <v>150000</v>
      </c>
      <c r="BL30" s="37">
        <f t="shared" si="81"/>
        <v>0</v>
      </c>
      <c r="BM30" s="37">
        <f t="shared" si="81"/>
        <v>0</v>
      </c>
      <c r="BN30" s="37">
        <f t="shared" si="81"/>
        <v>0</v>
      </c>
      <c r="BO30" s="37">
        <f t="shared" si="81"/>
        <v>0</v>
      </c>
      <c r="BP30" s="37">
        <f t="shared" si="81"/>
        <v>0</v>
      </c>
      <c r="BQ30" s="37">
        <f t="shared" si="81"/>
        <v>250000</v>
      </c>
      <c r="BR30" s="37">
        <f t="shared" si="81"/>
        <v>0</v>
      </c>
      <c r="BS30" s="37">
        <f t="shared" si="81"/>
        <v>155000</v>
      </c>
      <c r="BT30" s="37">
        <f t="shared" si="81"/>
        <v>-55000</v>
      </c>
      <c r="BU30" s="37">
        <f t="shared" si="81"/>
        <v>150000</v>
      </c>
      <c r="BV30" s="37">
        <f t="shared" si="81"/>
        <v>0</v>
      </c>
      <c r="BW30" s="144">
        <f>SUM(BW28:BW29)</f>
        <v>0</v>
      </c>
      <c r="BX30" s="37">
        <f t="shared" ref="BX30:BY30" si="83">SUM(BX28:BX29)</f>
        <v>155000</v>
      </c>
      <c r="BY30" s="37">
        <f t="shared" si="83"/>
        <v>346500</v>
      </c>
      <c r="BZ30" s="144">
        <f>SUM(BZ28:BZ29)</f>
        <v>220000</v>
      </c>
      <c r="CA30" s="37">
        <f t="shared" si="81"/>
        <v>971500</v>
      </c>
    </row>
    <row r="31" spans="1:79">
      <c r="A31" s="185" t="s">
        <v>58</v>
      </c>
      <c r="B31" s="8">
        <v>1</v>
      </c>
      <c r="C31" s="1" t="s">
        <v>101</v>
      </c>
      <c r="D31" s="4" t="s">
        <v>102</v>
      </c>
      <c r="E31" s="4" t="s">
        <v>31</v>
      </c>
      <c r="F31" s="4"/>
      <c r="G31" s="4"/>
      <c r="H31" s="4">
        <v>155000</v>
      </c>
      <c r="I31" s="4">
        <v>12000</v>
      </c>
      <c r="J31" s="4"/>
      <c r="K31" s="4">
        <v>220000</v>
      </c>
      <c r="L31" s="4"/>
      <c r="M31" s="4"/>
      <c r="N31" s="4"/>
      <c r="O31" s="9">
        <f t="shared" ref="O31:O34" si="84">SUM(F31:N31)</f>
        <v>387000</v>
      </c>
      <c r="P31" s="20"/>
      <c r="Q31" s="20"/>
      <c r="R31" s="20"/>
      <c r="S31" s="20"/>
      <c r="T31" s="20"/>
      <c r="U31" s="20"/>
      <c r="V31" s="20"/>
      <c r="W31" s="20"/>
      <c r="X31" s="20"/>
      <c r="Y31" s="21">
        <f t="shared" ref="Y31:Y34" si="85">SUM(P31:X31)</f>
        <v>0</v>
      </c>
      <c r="Z31" s="25"/>
      <c r="AA31" s="20"/>
      <c r="AB31" s="20"/>
      <c r="AC31" s="20"/>
      <c r="AD31" s="20"/>
      <c r="AE31" s="20"/>
      <c r="AF31" s="21">
        <f t="shared" ref="AF31:AF34" si="86">SUM(Z31:AE31)</f>
        <v>0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9">
        <f t="shared" ref="AP31:AP34" si="87">SUM(AG31:AO31)</f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9">
        <f t="shared" ref="AZ31:AZ34" si="88">SUM(AQ31:AY31)</f>
        <v>0</v>
      </c>
      <c r="BA31" s="25"/>
      <c r="BB31" s="20"/>
      <c r="BC31" s="20"/>
      <c r="BD31" s="20"/>
      <c r="BE31" s="20"/>
      <c r="BF31" s="20"/>
      <c r="BG31" s="21">
        <f t="shared" ref="BG31:BG34" si="89">SUM(BA31:BF31)</f>
        <v>0</v>
      </c>
      <c r="BH31" s="25"/>
      <c r="BI31" s="25"/>
      <c r="BJ31" s="25"/>
      <c r="BK31" s="25"/>
      <c r="BL31" s="20"/>
      <c r="BM31" s="20"/>
      <c r="BN31" s="20"/>
      <c r="BO31" s="20"/>
      <c r="BP31" s="20"/>
      <c r="BQ31" s="21">
        <f t="shared" ref="BQ31:BQ34" si="90">SUM(BH31:BP31)</f>
        <v>0</v>
      </c>
      <c r="BR31" s="4">
        <f t="shared" ref="BR31:BR34" si="91">F31+P31+AG31+AQ31+BH31</f>
        <v>0</v>
      </c>
      <c r="BS31" s="4">
        <f t="shared" ref="BS31:BS34" si="92">G31+Q31+AH31+AR31+BI31</f>
        <v>0</v>
      </c>
      <c r="BT31" s="4">
        <f t="shared" ref="BT31:BT34" si="93">H31+R31+AI31+AS31+BJ31</f>
        <v>155000</v>
      </c>
      <c r="BU31" s="4">
        <f t="shared" ref="BU31:BU34" si="94">I31+S31+Z31+AJ31+AT31+BA31+BK31</f>
        <v>12000</v>
      </c>
      <c r="BV31" s="94">
        <f t="shared" ref="BV31:BV34" si="95">J31+T31+AA31+AK31+AU31+BB31+BL31</f>
        <v>0</v>
      </c>
      <c r="BW31" s="94">
        <f t="shared" ref="BW31:BW34" si="96">K31+U31+AB31+AM31+AV31+BC31+BM31</f>
        <v>220000</v>
      </c>
      <c r="BX31" s="94">
        <f t="shared" ref="BX31:BX34" si="97">L31+V31+AC31+AM31+AW31+BD31+BN31</f>
        <v>0</v>
      </c>
      <c r="BY31" s="94">
        <f t="shared" ref="BY31:BY34" si="98">M31+W31+AD31+AO31+AX31+BE31+BO31</f>
        <v>0</v>
      </c>
      <c r="BZ31" s="94">
        <f t="shared" ref="BZ31:BZ34" si="99">N31+X31+AE31+AO31+AY31+BF31+BP31</f>
        <v>0</v>
      </c>
      <c r="CA31" s="9">
        <f t="shared" ref="CA31:CA34" si="100">SUM(BR31:BZ31)</f>
        <v>387000</v>
      </c>
    </row>
    <row r="32" spans="1:79">
      <c r="A32" s="186"/>
      <c r="B32" s="8">
        <v>2</v>
      </c>
      <c r="C32" s="1" t="s">
        <v>103</v>
      </c>
      <c r="D32" s="4" t="s">
        <v>104</v>
      </c>
      <c r="E32" s="4" t="s">
        <v>31</v>
      </c>
      <c r="F32" s="4"/>
      <c r="G32" s="4">
        <v>155000</v>
      </c>
      <c r="H32" s="4">
        <f>33000+115933</f>
        <v>148933</v>
      </c>
      <c r="I32" s="4"/>
      <c r="J32" s="4"/>
      <c r="K32" s="4"/>
      <c r="L32" s="4"/>
      <c r="M32" s="4"/>
      <c r="N32" s="4"/>
      <c r="O32" s="9">
        <f t="shared" si="84"/>
        <v>303933</v>
      </c>
      <c r="P32" s="20"/>
      <c r="Q32" s="20">
        <v>322500</v>
      </c>
      <c r="R32" s="25">
        <v>122950</v>
      </c>
      <c r="S32" s="25"/>
      <c r="T32" s="20"/>
      <c r="U32" s="20"/>
      <c r="V32" s="20"/>
      <c r="W32" s="20"/>
      <c r="X32" s="20"/>
      <c r="Y32" s="21">
        <f t="shared" si="85"/>
        <v>445450</v>
      </c>
      <c r="Z32" s="25"/>
      <c r="AA32" s="20"/>
      <c r="AB32" s="20"/>
      <c r="AC32" s="20"/>
      <c r="AD32" s="20"/>
      <c r="AE32" s="20"/>
      <c r="AF32" s="21">
        <f t="shared" si="86"/>
        <v>0</v>
      </c>
      <c r="AG32" s="20"/>
      <c r="AH32" s="20">
        <v>605000</v>
      </c>
      <c r="AI32" s="4">
        <v>252000</v>
      </c>
      <c r="AJ32" s="22"/>
      <c r="AK32" s="22"/>
      <c r="AL32" s="22"/>
      <c r="AM32" s="22">
        <v>684000</v>
      </c>
      <c r="AN32" s="22"/>
      <c r="AO32" s="22"/>
      <c r="AP32" s="9">
        <f t="shared" si="87"/>
        <v>1541000</v>
      </c>
      <c r="AQ32" s="76"/>
      <c r="AR32" s="76"/>
      <c r="AS32" s="76">
        <v>290000</v>
      </c>
      <c r="AT32" s="76"/>
      <c r="AU32" s="4"/>
      <c r="AV32" s="4"/>
      <c r="AW32" s="4">
        <v>410000</v>
      </c>
      <c r="AX32" s="4"/>
      <c r="AY32" s="4"/>
      <c r="AZ32" s="9">
        <f t="shared" si="88"/>
        <v>700000</v>
      </c>
      <c r="BA32" s="25"/>
      <c r="BB32" s="20"/>
      <c r="BC32" s="20"/>
      <c r="BD32" s="20">
        <f>204000+204000+408000+204000</f>
        <v>1020000</v>
      </c>
      <c r="BE32" s="20">
        <f>612000+408000+204000+816000+408000+204000</f>
        <v>2652000</v>
      </c>
      <c r="BF32" s="22">
        <v>1980500</v>
      </c>
      <c r="BG32" s="21">
        <f t="shared" si="89"/>
        <v>5652500</v>
      </c>
      <c r="BH32" s="25"/>
      <c r="BI32" s="24">
        <v>100000</v>
      </c>
      <c r="BJ32" s="25">
        <v>276000</v>
      </c>
      <c r="BK32" s="25"/>
      <c r="BL32" s="20"/>
      <c r="BM32" s="20"/>
      <c r="BN32" s="20"/>
      <c r="BO32" s="20"/>
      <c r="BP32" s="20"/>
      <c r="BQ32" s="21">
        <f t="shared" si="90"/>
        <v>376000</v>
      </c>
      <c r="BR32" s="4">
        <f t="shared" si="91"/>
        <v>0</v>
      </c>
      <c r="BS32" s="4">
        <f t="shared" si="92"/>
        <v>1182500</v>
      </c>
      <c r="BT32" s="4">
        <f t="shared" si="93"/>
        <v>1089883</v>
      </c>
      <c r="BU32" s="4">
        <f t="shared" si="94"/>
        <v>0</v>
      </c>
      <c r="BV32" s="94">
        <f t="shared" si="95"/>
        <v>0</v>
      </c>
      <c r="BW32" s="94">
        <f t="shared" si="96"/>
        <v>684000</v>
      </c>
      <c r="BX32" s="94">
        <f t="shared" si="97"/>
        <v>2114000</v>
      </c>
      <c r="BY32" s="94">
        <f t="shared" si="98"/>
        <v>2652000</v>
      </c>
      <c r="BZ32" s="94">
        <f t="shared" si="99"/>
        <v>1980500</v>
      </c>
      <c r="CA32" s="9">
        <f t="shared" si="100"/>
        <v>9702883</v>
      </c>
    </row>
    <row r="33" spans="1:79">
      <c r="A33" s="186"/>
      <c r="B33" s="8">
        <v>3</v>
      </c>
      <c r="C33" s="1" t="s">
        <v>12</v>
      </c>
      <c r="D33" s="4" t="s">
        <v>45</v>
      </c>
      <c r="E33" s="4" t="s">
        <v>31</v>
      </c>
      <c r="F33" s="4"/>
      <c r="G33" s="4"/>
      <c r="H33" s="4">
        <v>155000</v>
      </c>
      <c r="I33" s="4">
        <v>160000</v>
      </c>
      <c r="J33" s="4"/>
      <c r="K33" s="4"/>
      <c r="L33" s="4"/>
      <c r="M33" s="4"/>
      <c r="N33" s="4"/>
      <c r="O33" s="9">
        <f t="shared" si="84"/>
        <v>315000</v>
      </c>
      <c r="P33" s="20"/>
      <c r="Q33" s="20"/>
      <c r="R33" s="20"/>
      <c r="S33" s="20"/>
      <c r="T33" s="20"/>
      <c r="U33" s="20"/>
      <c r="V33" s="20"/>
      <c r="W33" s="20"/>
      <c r="X33" s="20"/>
      <c r="Y33" s="21">
        <f t="shared" si="85"/>
        <v>0</v>
      </c>
      <c r="Z33" s="25"/>
      <c r="AA33" s="20"/>
      <c r="AB33" s="20"/>
      <c r="AC33" s="20"/>
      <c r="AD33" s="20"/>
      <c r="AE33" s="20"/>
      <c r="AF33" s="21">
        <f t="shared" si="86"/>
        <v>0</v>
      </c>
      <c r="AG33" s="20"/>
      <c r="AH33" s="20"/>
      <c r="AI33" s="4">
        <v>530000</v>
      </c>
      <c r="AJ33" s="23">
        <v>480000</v>
      </c>
      <c r="AK33" s="23"/>
      <c r="AL33" s="23"/>
      <c r="AM33" s="23"/>
      <c r="AN33" s="23"/>
      <c r="AO33" s="23"/>
      <c r="AP33" s="9">
        <f t="shared" si="87"/>
        <v>1010000</v>
      </c>
      <c r="AQ33" s="76"/>
      <c r="AR33" s="76"/>
      <c r="AS33" s="76">
        <v>820000</v>
      </c>
      <c r="AT33" s="76">
        <v>200000</v>
      </c>
      <c r="AU33" s="4"/>
      <c r="AV33" s="4"/>
      <c r="AW33" s="4"/>
      <c r="AX33" s="4"/>
      <c r="AY33" s="4"/>
      <c r="AZ33" s="9">
        <f t="shared" si="88"/>
        <v>1020000</v>
      </c>
      <c r="BA33" s="25"/>
      <c r="BB33" s="20"/>
      <c r="BC33" s="20"/>
      <c r="BD33" s="20">
        <v>952000</v>
      </c>
      <c r="BE33" s="20">
        <f>714000+493000+510000+510000+510000+255000</f>
        <v>2992000</v>
      </c>
      <c r="BF33" s="23">
        <v>2040000</v>
      </c>
      <c r="BG33" s="21">
        <f t="shared" si="89"/>
        <v>5984000</v>
      </c>
      <c r="BH33" s="25"/>
      <c r="BI33" s="25"/>
      <c r="BJ33" s="25"/>
      <c r="BK33" s="25"/>
      <c r="BL33" s="20"/>
      <c r="BM33" s="20"/>
      <c r="BN33" s="20"/>
      <c r="BO33" s="20"/>
      <c r="BP33" s="20"/>
      <c r="BQ33" s="21">
        <f t="shared" si="90"/>
        <v>0</v>
      </c>
      <c r="BR33" s="4">
        <f t="shared" si="91"/>
        <v>0</v>
      </c>
      <c r="BS33" s="4">
        <f t="shared" si="92"/>
        <v>0</v>
      </c>
      <c r="BT33" s="4">
        <f t="shared" si="93"/>
        <v>1505000</v>
      </c>
      <c r="BU33" s="4">
        <f t="shared" si="94"/>
        <v>840000</v>
      </c>
      <c r="BV33" s="94">
        <f t="shared" si="95"/>
        <v>0</v>
      </c>
      <c r="BW33" s="94">
        <f t="shared" si="96"/>
        <v>0</v>
      </c>
      <c r="BX33" s="94">
        <f t="shared" si="97"/>
        <v>952000</v>
      </c>
      <c r="BY33" s="94">
        <f t="shared" si="98"/>
        <v>2992000</v>
      </c>
      <c r="BZ33" s="94">
        <f t="shared" si="99"/>
        <v>2040000</v>
      </c>
      <c r="CA33" s="9">
        <f t="shared" si="100"/>
        <v>8329000</v>
      </c>
    </row>
    <row r="34" spans="1:79">
      <c r="A34" s="187"/>
      <c r="B34" s="8">
        <v>4</v>
      </c>
      <c r="C34" s="1" t="s">
        <v>481</v>
      </c>
      <c r="D34" s="4" t="s">
        <v>102</v>
      </c>
      <c r="E34" s="4" t="s">
        <v>31</v>
      </c>
      <c r="F34" s="4"/>
      <c r="G34" s="4"/>
      <c r="H34" s="4"/>
      <c r="I34" s="4"/>
      <c r="J34" s="4"/>
      <c r="K34" s="4"/>
      <c r="L34" s="4"/>
      <c r="M34" s="4"/>
      <c r="N34" s="4"/>
      <c r="O34" s="9">
        <f t="shared" si="84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1">
        <f t="shared" si="85"/>
        <v>0</v>
      </c>
      <c r="Z34" s="25"/>
      <c r="AA34" s="20"/>
      <c r="AB34" s="20"/>
      <c r="AC34" s="20"/>
      <c r="AD34" s="20"/>
      <c r="AE34" s="20"/>
      <c r="AF34" s="21">
        <f t="shared" si="86"/>
        <v>0</v>
      </c>
      <c r="AG34" s="20"/>
      <c r="AH34" s="20"/>
      <c r="AI34" s="4"/>
      <c r="AJ34" s="23"/>
      <c r="AK34" s="23"/>
      <c r="AL34" s="23"/>
      <c r="AM34" s="23"/>
      <c r="AN34" s="23"/>
      <c r="AO34" s="23"/>
      <c r="AP34" s="9">
        <f t="shared" si="87"/>
        <v>0</v>
      </c>
      <c r="AQ34" s="76"/>
      <c r="AR34" s="76"/>
      <c r="AS34" s="76"/>
      <c r="AT34" s="76"/>
      <c r="AU34" s="4">
        <v>-3000000</v>
      </c>
      <c r="AV34" s="4"/>
      <c r="AW34" s="4"/>
      <c r="AX34" s="4"/>
      <c r="AY34" s="4"/>
      <c r="AZ34" s="9">
        <f t="shared" si="88"/>
        <v>-3000000</v>
      </c>
      <c r="BA34" s="25"/>
      <c r="BB34" s="20"/>
      <c r="BC34" s="20"/>
      <c r="BD34" s="20"/>
      <c r="BE34" s="20"/>
      <c r="BF34" s="23"/>
      <c r="BG34" s="21">
        <f t="shared" si="89"/>
        <v>0</v>
      </c>
      <c r="BH34" s="25"/>
      <c r="BI34" s="25"/>
      <c r="BJ34" s="25"/>
      <c r="BK34" s="25"/>
      <c r="BL34" s="20"/>
      <c r="BM34" s="20"/>
      <c r="BN34" s="20"/>
      <c r="BO34" s="20"/>
      <c r="BP34" s="20"/>
      <c r="BQ34" s="21">
        <f t="shared" si="90"/>
        <v>0</v>
      </c>
      <c r="BR34" s="4">
        <f t="shared" si="91"/>
        <v>0</v>
      </c>
      <c r="BS34" s="4">
        <f t="shared" si="92"/>
        <v>0</v>
      </c>
      <c r="BT34" s="4">
        <f t="shared" si="93"/>
        <v>0</v>
      </c>
      <c r="BU34" s="4">
        <f t="shared" si="94"/>
        <v>0</v>
      </c>
      <c r="BV34" s="94">
        <f t="shared" si="95"/>
        <v>-3000000</v>
      </c>
      <c r="BW34" s="94">
        <f t="shared" si="96"/>
        <v>0</v>
      </c>
      <c r="BX34" s="94">
        <f t="shared" si="97"/>
        <v>0</v>
      </c>
      <c r="BY34" s="94">
        <f t="shared" si="98"/>
        <v>0</v>
      </c>
      <c r="BZ34" s="94">
        <f t="shared" si="99"/>
        <v>0</v>
      </c>
      <c r="CA34" s="9">
        <f t="shared" si="100"/>
        <v>-3000000</v>
      </c>
    </row>
    <row r="35" spans="1:79" s="38" customFormat="1">
      <c r="A35" s="34"/>
      <c r="B35" s="34"/>
      <c r="C35" s="35" t="s">
        <v>107</v>
      </c>
      <c r="D35" s="37"/>
      <c r="E35" s="37"/>
      <c r="F35" s="37">
        <f>SUM(F31:F34)</f>
        <v>0</v>
      </c>
      <c r="G35" s="37">
        <f t="shared" ref="G35:CA35" si="101">SUM(G31:G34)</f>
        <v>155000</v>
      </c>
      <c r="H35" s="37">
        <f t="shared" si="101"/>
        <v>458933</v>
      </c>
      <c r="I35" s="37">
        <f t="shared" si="101"/>
        <v>172000</v>
      </c>
      <c r="J35" s="37">
        <f t="shared" si="101"/>
        <v>0</v>
      </c>
      <c r="K35" s="37">
        <f t="shared" si="101"/>
        <v>220000</v>
      </c>
      <c r="L35" s="37">
        <f t="shared" si="101"/>
        <v>0</v>
      </c>
      <c r="M35" s="37">
        <f t="shared" si="101"/>
        <v>0</v>
      </c>
      <c r="N35" s="37">
        <f t="shared" si="101"/>
        <v>0</v>
      </c>
      <c r="O35" s="37">
        <f t="shared" si="101"/>
        <v>1005933</v>
      </c>
      <c r="P35" s="37">
        <f t="shared" ref="P35:AP35" si="102">SUM(P31:P34)</f>
        <v>0</v>
      </c>
      <c r="Q35" s="37">
        <f t="shared" si="102"/>
        <v>322500</v>
      </c>
      <c r="R35" s="37">
        <f t="shared" si="102"/>
        <v>122950</v>
      </c>
      <c r="S35" s="37">
        <f t="shared" si="102"/>
        <v>0</v>
      </c>
      <c r="T35" s="37">
        <f t="shared" si="102"/>
        <v>0</v>
      </c>
      <c r="U35" s="37">
        <f t="shared" si="102"/>
        <v>0</v>
      </c>
      <c r="V35" s="37">
        <f t="shared" si="102"/>
        <v>0</v>
      </c>
      <c r="W35" s="37">
        <f t="shared" si="102"/>
        <v>0</v>
      </c>
      <c r="X35" s="37">
        <f t="shared" si="102"/>
        <v>0</v>
      </c>
      <c r="Y35" s="37">
        <f t="shared" si="102"/>
        <v>445450</v>
      </c>
      <c r="Z35" s="37">
        <f t="shared" si="102"/>
        <v>0</v>
      </c>
      <c r="AA35" s="37">
        <f t="shared" si="102"/>
        <v>0</v>
      </c>
      <c r="AB35" s="37">
        <f t="shared" si="102"/>
        <v>0</v>
      </c>
      <c r="AC35" s="37">
        <f t="shared" si="102"/>
        <v>0</v>
      </c>
      <c r="AD35" s="37">
        <f t="shared" si="102"/>
        <v>0</v>
      </c>
      <c r="AE35" s="37">
        <f t="shared" si="102"/>
        <v>0</v>
      </c>
      <c r="AF35" s="37">
        <f t="shared" si="102"/>
        <v>0</v>
      </c>
      <c r="AG35" s="37">
        <f t="shared" si="102"/>
        <v>0</v>
      </c>
      <c r="AH35" s="37">
        <f t="shared" si="102"/>
        <v>605000</v>
      </c>
      <c r="AI35" s="37">
        <f t="shared" si="102"/>
        <v>782000</v>
      </c>
      <c r="AJ35" s="37">
        <f t="shared" si="102"/>
        <v>480000</v>
      </c>
      <c r="AK35" s="37">
        <f t="shared" si="102"/>
        <v>0</v>
      </c>
      <c r="AL35" s="37">
        <f t="shared" si="102"/>
        <v>0</v>
      </c>
      <c r="AM35" s="37">
        <f t="shared" si="102"/>
        <v>684000</v>
      </c>
      <c r="AN35" s="37">
        <f t="shared" si="102"/>
        <v>0</v>
      </c>
      <c r="AO35" s="37">
        <f t="shared" si="102"/>
        <v>0</v>
      </c>
      <c r="AP35" s="37">
        <f t="shared" si="102"/>
        <v>2551000</v>
      </c>
      <c r="AQ35" s="37">
        <f t="shared" si="101"/>
        <v>0</v>
      </c>
      <c r="AR35" s="37">
        <f t="shared" si="101"/>
        <v>0</v>
      </c>
      <c r="AS35" s="37">
        <f t="shared" si="101"/>
        <v>1110000</v>
      </c>
      <c r="AT35" s="37">
        <f t="shared" si="101"/>
        <v>200000</v>
      </c>
      <c r="AU35" s="37">
        <f t="shared" si="101"/>
        <v>-3000000</v>
      </c>
      <c r="AV35" s="37">
        <f t="shared" si="101"/>
        <v>0</v>
      </c>
      <c r="AW35" s="37">
        <f t="shared" si="101"/>
        <v>410000</v>
      </c>
      <c r="AX35" s="37">
        <f t="shared" si="101"/>
        <v>0</v>
      </c>
      <c r="AY35" s="37">
        <f t="shared" si="101"/>
        <v>0</v>
      </c>
      <c r="AZ35" s="37">
        <f t="shared" si="101"/>
        <v>-1280000</v>
      </c>
      <c r="BA35" s="37">
        <f t="shared" si="101"/>
        <v>0</v>
      </c>
      <c r="BB35" s="37">
        <f t="shared" si="101"/>
        <v>0</v>
      </c>
      <c r="BC35" s="37">
        <f t="shared" si="101"/>
        <v>0</v>
      </c>
      <c r="BD35" s="37">
        <f t="shared" si="101"/>
        <v>1972000</v>
      </c>
      <c r="BE35" s="37">
        <f t="shared" si="101"/>
        <v>5644000</v>
      </c>
      <c r="BF35" s="37">
        <f t="shared" si="101"/>
        <v>4020500</v>
      </c>
      <c r="BG35" s="37">
        <f t="shared" si="101"/>
        <v>11636500</v>
      </c>
      <c r="BH35" s="37">
        <f t="shared" si="101"/>
        <v>0</v>
      </c>
      <c r="BI35" s="37">
        <f t="shared" si="101"/>
        <v>100000</v>
      </c>
      <c r="BJ35" s="37">
        <f t="shared" si="101"/>
        <v>276000</v>
      </c>
      <c r="BK35" s="37">
        <f t="shared" si="101"/>
        <v>0</v>
      </c>
      <c r="BL35" s="37">
        <f t="shared" si="101"/>
        <v>0</v>
      </c>
      <c r="BM35" s="37">
        <f t="shared" si="101"/>
        <v>0</v>
      </c>
      <c r="BN35" s="37">
        <f t="shared" si="101"/>
        <v>0</v>
      </c>
      <c r="BO35" s="37">
        <f t="shared" si="101"/>
        <v>0</v>
      </c>
      <c r="BP35" s="37">
        <f t="shared" si="101"/>
        <v>0</v>
      </c>
      <c r="BQ35" s="37">
        <f t="shared" si="101"/>
        <v>376000</v>
      </c>
      <c r="BR35" s="37">
        <f t="shared" si="101"/>
        <v>0</v>
      </c>
      <c r="BS35" s="37">
        <f t="shared" si="101"/>
        <v>1182500</v>
      </c>
      <c r="BT35" s="37">
        <f t="shared" si="101"/>
        <v>2749883</v>
      </c>
      <c r="BU35" s="37">
        <f t="shared" si="101"/>
        <v>852000</v>
      </c>
      <c r="BV35" s="37">
        <f t="shared" si="101"/>
        <v>-3000000</v>
      </c>
      <c r="BW35" s="144">
        <f>SUM(BW31:BW34)</f>
        <v>904000</v>
      </c>
      <c r="BX35" s="37">
        <f t="shared" si="101"/>
        <v>3066000</v>
      </c>
      <c r="BY35" s="37">
        <f t="shared" si="101"/>
        <v>5644000</v>
      </c>
      <c r="BZ35" s="144">
        <f>SUM(BZ31:BZ34)</f>
        <v>4020500</v>
      </c>
      <c r="CA35" s="37">
        <f t="shared" si="101"/>
        <v>15418883</v>
      </c>
    </row>
    <row r="36" spans="1:79">
      <c r="A36" s="185" t="s">
        <v>108</v>
      </c>
      <c r="B36" s="8">
        <v>1</v>
      </c>
      <c r="C36" s="1" t="s">
        <v>110</v>
      </c>
      <c r="D36" s="4" t="s">
        <v>108</v>
      </c>
      <c r="E36" s="4" t="s">
        <v>108</v>
      </c>
      <c r="F36" s="4">
        <v>155000</v>
      </c>
      <c r="G36" s="4">
        <v>368500</v>
      </c>
      <c r="H36" s="4">
        <f>44000+22000+8000+140000</f>
        <v>214000</v>
      </c>
      <c r="I36" s="4">
        <v>180000</v>
      </c>
      <c r="J36" s="4"/>
      <c r="K36" s="4"/>
      <c r="L36" s="4"/>
      <c r="M36" s="4"/>
      <c r="N36" s="4"/>
      <c r="O36" s="9">
        <f t="shared" ref="O36:O44" si="103">SUM(F36:N36)</f>
        <v>917500</v>
      </c>
      <c r="P36" s="20"/>
      <c r="Q36" s="20"/>
      <c r="R36" s="20"/>
      <c r="S36" s="20"/>
      <c r="T36" s="20"/>
      <c r="U36" s="20"/>
      <c r="V36" s="20"/>
      <c r="W36" s="20"/>
      <c r="X36" s="20"/>
      <c r="Y36" s="21">
        <f t="shared" ref="Y36:Y44" si="104">SUM(P36:X36)</f>
        <v>0</v>
      </c>
      <c r="Z36" s="25"/>
      <c r="AA36" s="20"/>
      <c r="AB36" s="20"/>
      <c r="AC36" s="20"/>
      <c r="AD36" s="20"/>
      <c r="AE36" s="20"/>
      <c r="AF36" s="21">
        <f t="shared" ref="AF36:AF44" si="105">SUM(Z36:AE36)</f>
        <v>0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9">
        <f t="shared" ref="AP36:AP44" si="106">SUM(AG36:AO36)</f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9">
        <f t="shared" ref="AZ36:AZ44" si="107">SUM(AQ36:AY36)</f>
        <v>0</v>
      </c>
      <c r="BA36" s="25"/>
      <c r="BB36" s="20"/>
      <c r="BC36" s="20"/>
      <c r="BD36" s="20"/>
      <c r="BE36" s="20"/>
      <c r="BF36" s="20"/>
      <c r="BG36" s="21">
        <f t="shared" ref="BG36:BG44" si="108">SUM(BA36:BF36)</f>
        <v>0</v>
      </c>
      <c r="BH36" s="25"/>
      <c r="BI36" s="25"/>
      <c r="BJ36" s="25"/>
      <c r="BK36" s="25"/>
      <c r="BL36" s="20"/>
      <c r="BM36" s="20"/>
      <c r="BN36" s="20"/>
      <c r="BO36" s="20"/>
      <c r="BP36" s="20"/>
      <c r="BQ36" s="21">
        <f t="shared" ref="BQ36:BQ44" si="109">SUM(BH36:BP36)</f>
        <v>0</v>
      </c>
      <c r="BR36" s="4">
        <f t="shared" ref="BR36:BR44" si="110">F36+P36+AG36+AQ36+BH36</f>
        <v>155000</v>
      </c>
      <c r="BS36" s="4">
        <f t="shared" ref="BS36:BS44" si="111">G36+Q36+AH36+AR36+BI36</f>
        <v>368500</v>
      </c>
      <c r="BT36" s="4">
        <f t="shared" ref="BT36:BT44" si="112">H36+R36+AI36+AS36+BJ36</f>
        <v>214000</v>
      </c>
      <c r="BU36" s="4">
        <f t="shared" ref="BU36:BU44" si="113">I36+S36+Z36+AJ36+AT36+BA36+BK36</f>
        <v>180000</v>
      </c>
      <c r="BV36" s="94">
        <f t="shared" ref="BV36:BV44" si="114">J36+T36+AA36+AK36+AU36+BB36+BL36</f>
        <v>0</v>
      </c>
      <c r="BW36" s="94">
        <f t="shared" ref="BW36:BW44" si="115">K36+U36+AB36+AM36+AV36+BC36+BM36</f>
        <v>0</v>
      </c>
      <c r="BX36" s="94">
        <f t="shared" ref="BX36:BX44" si="116">L36+V36+AC36+AM36+AW36+BD36+BN36</f>
        <v>0</v>
      </c>
      <c r="BY36" s="94">
        <f t="shared" ref="BY36:BY44" si="117">M36+W36+AD36+AO36+AX36+BE36+BO36</f>
        <v>0</v>
      </c>
      <c r="BZ36" s="94">
        <f t="shared" ref="BZ36:BZ44" si="118">N36+X36+AE36+AO36+AY36+BF36+BP36</f>
        <v>0</v>
      </c>
      <c r="CA36" s="9">
        <f t="shared" ref="CA36:CA44" si="119">SUM(BR36:BZ36)</f>
        <v>917500</v>
      </c>
    </row>
    <row r="37" spans="1:79" ht="31.5">
      <c r="A37" s="186"/>
      <c r="B37" s="8">
        <v>2</v>
      </c>
      <c r="C37" s="1" t="s">
        <v>513</v>
      </c>
      <c r="D37" s="4" t="s">
        <v>108</v>
      </c>
      <c r="E37" s="4" t="s">
        <v>108</v>
      </c>
      <c r="F37" s="4"/>
      <c r="G37" s="4"/>
      <c r="H37" s="4"/>
      <c r="I37" s="4"/>
      <c r="J37" s="4"/>
      <c r="K37" s="4"/>
      <c r="L37" s="4"/>
      <c r="M37" s="4"/>
      <c r="N37" s="4"/>
      <c r="O37" s="9">
        <f t="shared" si="103"/>
        <v>0</v>
      </c>
      <c r="P37" s="20"/>
      <c r="Q37" s="24">
        <v>354300</v>
      </c>
      <c r="R37" s="24">
        <f>32950+112000</f>
        <v>144950</v>
      </c>
      <c r="S37" s="24"/>
      <c r="T37" s="20"/>
      <c r="U37" s="20"/>
      <c r="V37" s="20"/>
      <c r="W37" s="20">
        <v>130950</v>
      </c>
      <c r="X37" s="20"/>
      <c r="Y37" s="21">
        <f t="shared" si="104"/>
        <v>630200</v>
      </c>
      <c r="Z37" s="25"/>
      <c r="AA37" s="20"/>
      <c r="AB37" s="20"/>
      <c r="AC37" s="20"/>
      <c r="AD37" s="20"/>
      <c r="AE37" s="20"/>
      <c r="AF37" s="21">
        <f t="shared" si="105"/>
        <v>0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9">
        <f t="shared" si="106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9">
        <f t="shared" si="107"/>
        <v>0</v>
      </c>
      <c r="BA37" s="25"/>
      <c r="BB37" s="20"/>
      <c r="BC37" s="20"/>
      <c r="BD37" s="20"/>
      <c r="BE37" s="20"/>
      <c r="BF37" s="20"/>
      <c r="BG37" s="21">
        <f t="shared" si="108"/>
        <v>0</v>
      </c>
      <c r="BH37" s="25"/>
      <c r="BI37" s="25"/>
      <c r="BJ37" s="25"/>
      <c r="BK37" s="25"/>
      <c r="BL37" s="20"/>
      <c r="BM37" s="20"/>
      <c r="BN37" s="20"/>
      <c r="BO37" s="20"/>
      <c r="BP37" s="20"/>
      <c r="BQ37" s="21">
        <f t="shared" si="109"/>
        <v>0</v>
      </c>
      <c r="BR37" s="4">
        <f t="shared" si="110"/>
        <v>0</v>
      </c>
      <c r="BS37" s="4">
        <f t="shared" si="111"/>
        <v>354300</v>
      </c>
      <c r="BT37" s="4">
        <f t="shared" si="112"/>
        <v>144950</v>
      </c>
      <c r="BU37" s="4">
        <f t="shared" si="113"/>
        <v>0</v>
      </c>
      <c r="BV37" s="94">
        <f t="shared" si="114"/>
        <v>0</v>
      </c>
      <c r="BW37" s="94">
        <f t="shared" si="115"/>
        <v>0</v>
      </c>
      <c r="BX37" s="94">
        <f t="shared" si="116"/>
        <v>0</v>
      </c>
      <c r="BY37" s="94">
        <f t="shared" si="117"/>
        <v>130950</v>
      </c>
      <c r="BZ37" s="94">
        <f t="shared" si="118"/>
        <v>0</v>
      </c>
      <c r="CA37" s="9">
        <f t="shared" si="119"/>
        <v>630200</v>
      </c>
    </row>
    <row r="38" spans="1:79">
      <c r="A38" s="186"/>
      <c r="B38" s="8">
        <v>3</v>
      </c>
      <c r="C38" s="40" t="s">
        <v>112</v>
      </c>
      <c r="D38" s="4" t="s">
        <v>108</v>
      </c>
      <c r="E38" s="4" t="s">
        <v>108</v>
      </c>
      <c r="F38" s="4"/>
      <c r="G38" s="4"/>
      <c r="H38" s="4"/>
      <c r="I38" s="4"/>
      <c r="J38" s="4"/>
      <c r="K38" s="4"/>
      <c r="L38" s="4"/>
      <c r="M38" s="4"/>
      <c r="N38" s="4"/>
      <c r="O38" s="9">
        <f t="shared" si="103"/>
        <v>0</v>
      </c>
      <c r="P38" s="20"/>
      <c r="Q38" s="24"/>
      <c r="R38" s="24"/>
      <c r="S38" s="24"/>
      <c r="T38" s="20"/>
      <c r="U38" s="20"/>
      <c r="V38" s="20"/>
      <c r="W38" s="20"/>
      <c r="X38" s="20"/>
      <c r="Y38" s="21">
        <f t="shared" si="104"/>
        <v>0</v>
      </c>
      <c r="Z38" s="25"/>
      <c r="AA38" s="20"/>
      <c r="AB38" s="20"/>
      <c r="AC38" s="20"/>
      <c r="AD38" s="20"/>
      <c r="AE38" s="20"/>
      <c r="AF38" s="21">
        <f t="shared" si="105"/>
        <v>0</v>
      </c>
      <c r="AG38" s="20"/>
      <c r="AH38" s="20"/>
      <c r="AI38" s="20"/>
      <c r="AJ38" s="20"/>
      <c r="AK38" s="20"/>
      <c r="AL38" s="20"/>
      <c r="AM38" s="20"/>
      <c r="AN38" s="20"/>
      <c r="AO38" s="20"/>
      <c r="AP38" s="9">
        <f t="shared" si="106"/>
        <v>0</v>
      </c>
      <c r="AQ38" s="76">
        <v>290000</v>
      </c>
      <c r="AR38" s="76">
        <v>2200000</v>
      </c>
      <c r="AS38" s="76">
        <v>1200000</v>
      </c>
      <c r="AT38" s="76">
        <v>700000</v>
      </c>
      <c r="AU38" s="4">
        <f>280000+150000+150000+150000</f>
        <v>730000</v>
      </c>
      <c r="AV38" s="4">
        <v>750000</v>
      </c>
      <c r="AW38" s="4">
        <f>500000+800000+100000</f>
        <v>1400000</v>
      </c>
      <c r="AX38" s="4">
        <f>200000+400000+100000+100000+300000+400000</f>
        <v>1500000</v>
      </c>
      <c r="AY38" s="4">
        <v>200000</v>
      </c>
      <c r="AZ38" s="9">
        <f t="shared" si="107"/>
        <v>8970000</v>
      </c>
      <c r="BA38" s="25"/>
      <c r="BB38" s="20"/>
      <c r="BC38" s="20"/>
      <c r="BD38" s="20"/>
      <c r="BE38" s="20"/>
      <c r="BF38" s="20"/>
      <c r="BG38" s="21">
        <f t="shared" si="108"/>
        <v>0</v>
      </c>
      <c r="BH38" s="25"/>
      <c r="BI38" s="25"/>
      <c r="BJ38" s="25"/>
      <c r="BK38" s="25"/>
      <c r="BL38" s="20"/>
      <c r="BM38" s="20"/>
      <c r="BN38" s="20"/>
      <c r="BO38" s="20"/>
      <c r="BP38" s="20"/>
      <c r="BQ38" s="21">
        <f t="shared" si="109"/>
        <v>0</v>
      </c>
      <c r="BR38" s="4">
        <f t="shared" si="110"/>
        <v>290000</v>
      </c>
      <c r="BS38" s="4">
        <f t="shared" si="111"/>
        <v>2200000</v>
      </c>
      <c r="BT38" s="4">
        <f t="shared" si="112"/>
        <v>1200000</v>
      </c>
      <c r="BU38" s="4">
        <f t="shared" si="113"/>
        <v>700000</v>
      </c>
      <c r="BV38" s="94">
        <f t="shared" si="114"/>
        <v>730000</v>
      </c>
      <c r="BW38" s="94">
        <f t="shared" si="115"/>
        <v>750000</v>
      </c>
      <c r="BX38" s="94">
        <f t="shared" si="116"/>
        <v>1400000</v>
      </c>
      <c r="BY38" s="94">
        <f t="shared" si="117"/>
        <v>1500000</v>
      </c>
      <c r="BZ38" s="94">
        <f t="shared" si="118"/>
        <v>200000</v>
      </c>
      <c r="CA38" s="9">
        <f t="shared" si="119"/>
        <v>8970000</v>
      </c>
    </row>
    <row r="39" spans="1:79">
      <c r="A39" s="186"/>
      <c r="B39" s="8">
        <v>4</v>
      </c>
      <c r="C39" s="1" t="s">
        <v>113</v>
      </c>
      <c r="D39" s="41" t="s">
        <v>114</v>
      </c>
      <c r="E39" s="4" t="s">
        <v>108</v>
      </c>
      <c r="F39" s="4"/>
      <c r="G39" s="4"/>
      <c r="H39" s="4"/>
      <c r="I39" s="4"/>
      <c r="J39" s="4"/>
      <c r="K39" s="4"/>
      <c r="L39" s="4"/>
      <c r="M39" s="4"/>
      <c r="N39" s="4"/>
      <c r="O39" s="9">
        <f t="shared" si="103"/>
        <v>0</v>
      </c>
      <c r="P39" s="20"/>
      <c r="Q39" s="24"/>
      <c r="R39" s="24">
        <v>199000</v>
      </c>
      <c r="S39" s="24">
        <v>92000</v>
      </c>
      <c r="T39" s="20"/>
      <c r="U39" s="20"/>
      <c r="V39" s="20"/>
      <c r="W39" s="20"/>
      <c r="X39" s="20"/>
      <c r="Y39" s="21">
        <f t="shared" si="104"/>
        <v>291000</v>
      </c>
      <c r="Z39" s="25"/>
      <c r="AA39" s="20"/>
      <c r="AB39" s="20"/>
      <c r="AC39" s="20"/>
      <c r="AD39" s="20"/>
      <c r="AE39" s="20"/>
      <c r="AF39" s="21">
        <f t="shared" si="105"/>
        <v>0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9">
        <f t="shared" si="106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9">
        <f t="shared" si="107"/>
        <v>0</v>
      </c>
      <c r="BA39" s="25"/>
      <c r="BB39" s="20"/>
      <c r="BC39" s="20"/>
      <c r="BD39" s="20"/>
      <c r="BE39" s="20"/>
      <c r="BF39" s="20"/>
      <c r="BG39" s="21">
        <f t="shared" si="108"/>
        <v>0</v>
      </c>
      <c r="BH39" s="25"/>
      <c r="BI39" s="25"/>
      <c r="BJ39" s="25"/>
      <c r="BK39" s="25"/>
      <c r="BL39" s="20"/>
      <c r="BM39" s="20"/>
      <c r="BN39" s="20"/>
      <c r="BO39" s="20"/>
      <c r="BP39" s="20"/>
      <c r="BQ39" s="21">
        <f t="shared" si="109"/>
        <v>0</v>
      </c>
      <c r="BR39" s="4">
        <f t="shared" si="110"/>
        <v>0</v>
      </c>
      <c r="BS39" s="4">
        <f t="shared" si="111"/>
        <v>0</v>
      </c>
      <c r="BT39" s="4">
        <f t="shared" si="112"/>
        <v>199000</v>
      </c>
      <c r="BU39" s="4">
        <f t="shared" si="113"/>
        <v>92000</v>
      </c>
      <c r="BV39" s="94">
        <f t="shared" si="114"/>
        <v>0</v>
      </c>
      <c r="BW39" s="94">
        <f t="shared" si="115"/>
        <v>0</v>
      </c>
      <c r="BX39" s="94">
        <f t="shared" si="116"/>
        <v>0</v>
      </c>
      <c r="BY39" s="94">
        <f t="shared" si="117"/>
        <v>0</v>
      </c>
      <c r="BZ39" s="94">
        <f t="shared" si="118"/>
        <v>0</v>
      </c>
      <c r="CA39" s="9">
        <f t="shared" si="119"/>
        <v>291000</v>
      </c>
    </row>
    <row r="40" spans="1:79">
      <c r="A40" s="186"/>
      <c r="B40" s="8">
        <v>5</v>
      </c>
      <c r="C40" s="1" t="s">
        <v>115</v>
      </c>
      <c r="D40" s="4" t="s">
        <v>116</v>
      </c>
      <c r="E40" s="4" t="s">
        <v>108</v>
      </c>
      <c r="F40" s="4">
        <v>155000</v>
      </c>
      <c r="G40" s="4">
        <v>395500</v>
      </c>
      <c r="H40" s="4">
        <v>303500</v>
      </c>
      <c r="I40" s="4">
        <f>60000+20000</f>
        <v>80000</v>
      </c>
      <c r="J40" s="4"/>
      <c r="K40" s="4"/>
      <c r="L40" s="4"/>
      <c r="M40" s="4"/>
      <c r="N40" s="4"/>
      <c r="O40" s="9">
        <f t="shared" si="103"/>
        <v>934000</v>
      </c>
      <c r="P40" s="20">
        <v>195000</v>
      </c>
      <c r="Q40" s="24">
        <f>438600+4000</f>
        <v>442600</v>
      </c>
      <c r="R40" s="24">
        <v>449800</v>
      </c>
      <c r="S40" s="24">
        <v>150000</v>
      </c>
      <c r="T40" s="20"/>
      <c r="U40" s="20"/>
      <c r="V40" s="20"/>
      <c r="W40" s="20"/>
      <c r="X40" s="20"/>
      <c r="Y40" s="21">
        <f t="shared" si="104"/>
        <v>1237400</v>
      </c>
      <c r="Z40" s="25">
        <v>409500</v>
      </c>
      <c r="AA40" s="20">
        <f>154000+241500+147000</f>
        <v>542500</v>
      </c>
      <c r="AB40" s="20">
        <f>961500+122600+122600+122600</f>
        <v>1329300</v>
      </c>
      <c r="AC40" s="20">
        <v>1625400</v>
      </c>
      <c r="AD40" s="20">
        <v>1582400</v>
      </c>
      <c r="AE40" s="175">
        <v>915200</v>
      </c>
      <c r="AF40" s="21">
        <f t="shared" si="105"/>
        <v>6404300</v>
      </c>
      <c r="AG40" s="20">
        <v>290000</v>
      </c>
      <c r="AH40" s="22">
        <v>364000</v>
      </c>
      <c r="AI40" s="4">
        <v>404000</v>
      </c>
      <c r="AJ40" s="22">
        <v>248000</v>
      </c>
      <c r="AK40" s="22"/>
      <c r="AL40" s="22"/>
      <c r="AM40" s="22"/>
      <c r="AN40" s="22"/>
      <c r="AO40" s="22"/>
      <c r="AP40" s="9">
        <f t="shared" si="106"/>
        <v>1306000</v>
      </c>
      <c r="AQ40" s="4"/>
      <c r="AR40" s="4"/>
      <c r="AS40" s="4"/>
      <c r="AT40" s="4"/>
      <c r="AU40" s="4"/>
      <c r="AV40" s="4"/>
      <c r="AW40" s="4"/>
      <c r="AX40" s="4"/>
      <c r="AY40" s="4"/>
      <c r="AZ40" s="9">
        <f t="shared" si="107"/>
        <v>0</v>
      </c>
      <c r="BA40" s="25"/>
      <c r="BB40" s="20"/>
      <c r="BC40" s="20"/>
      <c r="BD40" s="20"/>
      <c r="BE40" s="20"/>
      <c r="BF40" s="22"/>
      <c r="BG40" s="21">
        <f t="shared" si="108"/>
        <v>0</v>
      </c>
      <c r="BH40" s="25"/>
      <c r="BI40" s="25"/>
      <c r="BJ40" s="25">
        <v>100000</v>
      </c>
      <c r="BK40" s="25"/>
      <c r="BL40" s="20"/>
      <c r="BM40" s="20"/>
      <c r="BN40" s="20"/>
      <c r="BO40" s="20"/>
      <c r="BP40" s="20"/>
      <c r="BQ40" s="21">
        <f t="shared" si="109"/>
        <v>100000</v>
      </c>
      <c r="BR40" s="4">
        <f t="shared" si="110"/>
        <v>640000</v>
      </c>
      <c r="BS40" s="4">
        <f t="shared" si="111"/>
        <v>1202100</v>
      </c>
      <c r="BT40" s="4">
        <f t="shared" si="112"/>
        <v>1257300</v>
      </c>
      <c r="BU40" s="4">
        <f t="shared" si="113"/>
        <v>887500</v>
      </c>
      <c r="BV40" s="94">
        <f t="shared" si="114"/>
        <v>542500</v>
      </c>
      <c r="BW40" s="94">
        <f t="shared" si="115"/>
        <v>1329300</v>
      </c>
      <c r="BX40" s="94">
        <f t="shared" si="116"/>
        <v>1625400</v>
      </c>
      <c r="BY40" s="94">
        <f t="shared" si="117"/>
        <v>1582400</v>
      </c>
      <c r="BZ40" s="94">
        <f t="shared" si="118"/>
        <v>915200</v>
      </c>
      <c r="CA40" s="9">
        <f t="shared" si="119"/>
        <v>9981700</v>
      </c>
    </row>
    <row r="41" spans="1:79">
      <c r="A41" s="186"/>
      <c r="B41" s="8">
        <v>6</v>
      </c>
      <c r="C41" s="1" t="s">
        <v>115</v>
      </c>
      <c r="D41" s="4" t="s">
        <v>116</v>
      </c>
      <c r="E41" s="4" t="s">
        <v>108</v>
      </c>
      <c r="F41" s="4"/>
      <c r="G41" s="4"/>
      <c r="H41" s="4"/>
      <c r="I41" s="4"/>
      <c r="J41" s="4"/>
      <c r="K41" s="4"/>
      <c r="L41" s="4"/>
      <c r="M41" s="4"/>
      <c r="N41" s="4"/>
      <c r="O41" s="9">
        <f t="shared" si="103"/>
        <v>0</v>
      </c>
      <c r="P41" s="20"/>
      <c r="Q41" s="24">
        <v>195000</v>
      </c>
      <c r="R41" s="24"/>
      <c r="S41" s="24"/>
      <c r="T41" s="20"/>
      <c r="U41" s="20"/>
      <c r="V41" s="20"/>
      <c r="W41" s="20"/>
      <c r="X41" s="20"/>
      <c r="Y41" s="21">
        <f t="shared" si="104"/>
        <v>195000</v>
      </c>
      <c r="Z41" s="25"/>
      <c r="AA41" s="20"/>
      <c r="AB41" s="20"/>
      <c r="AC41" s="20"/>
      <c r="AD41" s="20"/>
      <c r="AE41" s="20"/>
      <c r="AF41" s="21">
        <f t="shared" si="105"/>
        <v>0</v>
      </c>
      <c r="AG41" s="20"/>
      <c r="AH41" s="26"/>
      <c r="AI41" s="22"/>
      <c r="AJ41" s="22"/>
      <c r="AK41" s="22"/>
      <c r="AL41" s="22"/>
      <c r="AM41" s="22"/>
      <c r="AN41" s="22"/>
      <c r="AO41" s="22"/>
      <c r="AP41" s="9">
        <f t="shared" si="106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9">
        <f t="shared" si="107"/>
        <v>0</v>
      </c>
      <c r="BA41" s="25"/>
      <c r="BB41" s="20"/>
      <c r="BC41" s="20"/>
      <c r="BD41" s="20"/>
      <c r="BE41" s="20"/>
      <c r="BF41" s="22"/>
      <c r="BG41" s="21">
        <f t="shared" si="108"/>
        <v>0</v>
      </c>
      <c r="BH41" s="25"/>
      <c r="BI41" s="25"/>
      <c r="BJ41" s="25"/>
      <c r="BK41" s="25"/>
      <c r="BL41" s="20"/>
      <c r="BM41" s="20"/>
      <c r="BN41" s="20"/>
      <c r="BO41" s="20"/>
      <c r="BP41" s="20"/>
      <c r="BQ41" s="21">
        <f t="shared" si="109"/>
        <v>0</v>
      </c>
      <c r="BR41" s="4">
        <f t="shared" si="110"/>
        <v>0</v>
      </c>
      <c r="BS41" s="4">
        <f t="shared" si="111"/>
        <v>195000</v>
      </c>
      <c r="BT41" s="4">
        <f t="shared" si="112"/>
        <v>0</v>
      </c>
      <c r="BU41" s="4">
        <f t="shared" si="113"/>
        <v>0</v>
      </c>
      <c r="BV41" s="94">
        <f t="shared" si="114"/>
        <v>0</v>
      </c>
      <c r="BW41" s="94">
        <f t="shared" si="115"/>
        <v>0</v>
      </c>
      <c r="BX41" s="94">
        <f t="shared" si="116"/>
        <v>0</v>
      </c>
      <c r="BY41" s="94">
        <f t="shared" si="117"/>
        <v>0</v>
      </c>
      <c r="BZ41" s="94">
        <f t="shared" si="118"/>
        <v>0</v>
      </c>
      <c r="CA41" s="9">
        <f t="shared" si="119"/>
        <v>195000</v>
      </c>
    </row>
    <row r="42" spans="1:79" ht="31.5">
      <c r="A42" s="186"/>
      <c r="B42" s="8">
        <v>7</v>
      </c>
      <c r="C42" s="1" t="s">
        <v>117</v>
      </c>
      <c r="D42" s="4" t="s">
        <v>114</v>
      </c>
      <c r="E42" s="4" t="s">
        <v>108</v>
      </c>
      <c r="F42" s="4"/>
      <c r="G42" s="4"/>
      <c r="H42" s="4"/>
      <c r="I42" s="4"/>
      <c r="J42" s="4"/>
      <c r="K42" s="4"/>
      <c r="L42" s="4"/>
      <c r="M42" s="4"/>
      <c r="N42" s="4"/>
      <c r="O42" s="9">
        <f t="shared" si="103"/>
        <v>0</v>
      </c>
      <c r="P42" s="20"/>
      <c r="Q42" s="24"/>
      <c r="R42" s="24"/>
      <c r="S42" s="24"/>
      <c r="T42" s="20"/>
      <c r="U42" s="20"/>
      <c r="V42" s="20"/>
      <c r="W42" s="20"/>
      <c r="X42" s="20"/>
      <c r="Y42" s="21">
        <f t="shared" si="104"/>
        <v>0</v>
      </c>
      <c r="Z42" s="25"/>
      <c r="AA42" s="20"/>
      <c r="AB42" s="20"/>
      <c r="AC42" s="20"/>
      <c r="AD42" s="20"/>
      <c r="AE42" s="20"/>
      <c r="AF42" s="21">
        <f t="shared" si="105"/>
        <v>0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9">
        <f t="shared" si="106"/>
        <v>0</v>
      </c>
      <c r="AQ42" s="76"/>
      <c r="AR42" s="76">
        <v>290000</v>
      </c>
      <c r="AS42" s="76">
        <v>-290000</v>
      </c>
      <c r="AT42" s="76">
        <v>913500</v>
      </c>
      <c r="AU42" s="4"/>
      <c r="AV42" s="4"/>
      <c r="AW42" s="4"/>
      <c r="AX42" s="4"/>
      <c r="AY42" s="4"/>
      <c r="AZ42" s="9">
        <f t="shared" si="107"/>
        <v>913500</v>
      </c>
      <c r="BA42" s="25"/>
      <c r="BB42" s="20"/>
      <c r="BC42" s="20"/>
      <c r="BD42" s="20"/>
      <c r="BE42" s="20"/>
      <c r="BF42" s="20"/>
      <c r="BG42" s="21">
        <f t="shared" si="108"/>
        <v>0</v>
      </c>
      <c r="BH42" s="25"/>
      <c r="BI42" s="25"/>
      <c r="BJ42" s="25"/>
      <c r="BK42" s="25"/>
      <c r="BL42" s="20"/>
      <c r="BM42" s="20"/>
      <c r="BN42" s="20"/>
      <c r="BO42" s="20"/>
      <c r="BP42" s="20"/>
      <c r="BQ42" s="21">
        <f t="shared" si="109"/>
        <v>0</v>
      </c>
      <c r="BR42" s="4">
        <f t="shared" si="110"/>
        <v>0</v>
      </c>
      <c r="BS42" s="4">
        <f t="shared" si="111"/>
        <v>290000</v>
      </c>
      <c r="BT42" s="4">
        <f t="shared" si="112"/>
        <v>-290000</v>
      </c>
      <c r="BU42" s="4">
        <f t="shared" si="113"/>
        <v>913500</v>
      </c>
      <c r="BV42" s="94">
        <f t="shared" si="114"/>
        <v>0</v>
      </c>
      <c r="BW42" s="94">
        <f t="shared" si="115"/>
        <v>0</v>
      </c>
      <c r="BX42" s="94">
        <f t="shared" si="116"/>
        <v>0</v>
      </c>
      <c r="BY42" s="94">
        <f t="shared" si="117"/>
        <v>0</v>
      </c>
      <c r="BZ42" s="94">
        <f t="shared" si="118"/>
        <v>0</v>
      </c>
      <c r="CA42" s="9">
        <f t="shared" si="119"/>
        <v>913500</v>
      </c>
    </row>
    <row r="43" spans="1:79">
      <c r="A43" s="186"/>
      <c r="B43" s="8">
        <v>8</v>
      </c>
      <c r="C43" s="1" t="s">
        <v>118</v>
      </c>
      <c r="D43" s="4" t="s">
        <v>108</v>
      </c>
      <c r="E43" s="4" t="s">
        <v>108</v>
      </c>
      <c r="F43" s="4"/>
      <c r="G43" s="4"/>
      <c r="H43" s="4">
        <f>155000+40000</f>
        <v>195000</v>
      </c>
      <c r="I43" s="4">
        <v>371000</v>
      </c>
      <c r="J43" s="4">
        <f>40500+87500+100500+100500+49000</f>
        <v>378000</v>
      </c>
      <c r="K43" s="4">
        <f>292500+145400+36000</f>
        <v>473900</v>
      </c>
      <c r="L43" s="4">
        <v>351000</v>
      </c>
      <c r="M43" s="4">
        <v>238500</v>
      </c>
      <c r="N43" s="94">
        <v>90000</v>
      </c>
      <c r="O43" s="9">
        <f t="shared" si="103"/>
        <v>2097400</v>
      </c>
      <c r="P43" s="20"/>
      <c r="Q43" s="20"/>
      <c r="R43" s="20"/>
      <c r="S43" s="20"/>
      <c r="T43" s="20"/>
      <c r="U43" s="20"/>
      <c r="V43" s="20"/>
      <c r="W43" s="20"/>
      <c r="X43" s="20"/>
      <c r="Y43" s="21">
        <f t="shared" si="104"/>
        <v>0</v>
      </c>
      <c r="Z43" s="25"/>
      <c r="AA43" s="20"/>
      <c r="AB43" s="20"/>
      <c r="AC43" s="20"/>
      <c r="AD43" s="20"/>
      <c r="AE43" s="20"/>
      <c r="AF43" s="21">
        <f t="shared" si="105"/>
        <v>0</v>
      </c>
      <c r="AG43" s="20"/>
      <c r="AH43" s="20"/>
      <c r="AI43" s="20"/>
      <c r="AJ43" s="20"/>
      <c r="AK43" s="20"/>
      <c r="AL43" s="20"/>
      <c r="AM43" s="20"/>
      <c r="AN43" s="20"/>
      <c r="AO43" s="20"/>
      <c r="AP43" s="9">
        <f t="shared" si="106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9">
        <f t="shared" si="107"/>
        <v>0</v>
      </c>
      <c r="BA43" s="25"/>
      <c r="BB43" s="20"/>
      <c r="BC43" s="20"/>
      <c r="BD43" s="20"/>
      <c r="BE43" s="20"/>
      <c r="BF43" s="20"/>
      <c r="BG43" s="21">
        <f t="shared" si="108"/>
        <v>0</v>
      </c>
      <c r="BH43" s="25"/>
      <c r="BI43" s="25"/>
      <c r="BJ43" s="25"/>
      <c r="BK43" s="25"/>
      <c r="BL43" s="20"/>
      <c r="BM43" s="20"/>
      <c r="BN43" s="20"/>
      <c r="BO43" s="20"/>
      <c r="BP43" s="20"/>
      <c r="BQ43" s="21">
        <f t="shared" si="109"/>
        <v>0</v>
      </c>
      <c r="BR43" s="4">
        <f t="shared" si="110"/>
        <v>0</v>
      </c>
      <c r="BS43" s="4">
        <f t="shared" si="111"/>
        <v>0</v>
      </c>
      <c r="BT43" s="4">
        <f t="shared" si="112"/>
        <v>195000</v>
      </c>
      <c r="BU43" s="4">
        <f t="shared" si="113"/>
        <v>371000</v>
      </c>
      <c r="BV43" s="94">
        <f t="shared" si="114"/>
        <v>378000</v>
      </c>
      <c r="BW43" s="94">
        <f t="shared" si="115"/>
        <v>473900</v>
      </c>
      <c r="BX43" s="94">
        <f t="shared" si="116"/>
        <v>351000</v>
      </c>
      <c r="BY43" s="94">
        <f t="shared" si="117"/>
        <v>238500</v>
      </c>
      <c r="BZ43" s="94">
        <f t="shared" si="118"/>
        <v>90000</v>
      </c>
      <c r="CA43" s="9">
        <f t="shared" si="119"/>
        <v>2097400</v>
      </c>
    </row>
    <row r="44" spans="1:79">
      <c r="A44" s="187"/>
      <c r="B44" s="8">
        <v>9</v>
      </c>
      <c r="C44" s="1" t="s">
        <v>121</v>
      </c>
      <c r="D44" s="4" t="s">
        <v>108</v>
      </c>
      <c r="E44" s="4" t="s">
        <v>108</v>
      </c>
      <c r="F44" s="4"/>
      <c r="G44" s="4">
        <v>155000</v>
      </c>
      <c r="H44" s="4">
        <v>44000</v>
      </c>
      <c r="I44" s="4"/>
      <c r="J44" s="4"/>
      <c r="K44" s="4"/>
      <c r="L44" s="4"/>
      <c r="M44" s="4"/>
      <c r="N44" s="4"/>
      <c r="O44" s="9">
        <f t="shared" si="103"/>
        <v>199000</v>
      </c>
      <c r="P44" s="20"/>
      <c r="Q44" s="20">
        <v>195000</v>
      </c>
      <c r="R44" s="24">
        <v>188250</v>
      </c>
      <c r="S44" s="24"/>
      <c r="T44" s="20"/>
      <c r="U44" s="20"/>
      <c r="V44" s="20"/>
      <c r="W44" s="20"/>
      <c r="X44" s="20"/>
      <c r="Y44" s="21">
        <f t="shared" si="104"/>
        <v>383250</v>
      </c>
      <c r="Z44" s="25"/>
      <c r="AA44" s="20"/>
      <c r="AB44" s="20"/>
      <c r="AC44" s="20"/>
      <c r="AD44" s="20"/>
      <c r="AE44" s="20"/>
      <c r="AF44" s="21">
        <f t="shared" si="105"/>
        <v>0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9">
        <f t="shared" si="106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9">
        <f t="shared" si="107"/>
        <v>0</v>
      </c>
      <c r="BA44" s="25"/>
      <c r="BB44" s="20"/>
      <c r="BC44" s="20"/>
      <c r="BD44" s="20"/>
      <c r="BE44" s="20"/>
      <c r="BF44" s="20"/>
      <c r="BG44" s="21">
        <f t="shared" si="108"/>
        <v>0</v>
      </c>
      <c r="BH44" s="25"/>
      <c r="BI44" s="25"/>
      <c r="BJ44" s="25"/>
      <c r="BK44" s="25"/>
      <c r="BL44" s="20"/>
      <c r="BM44" s="20"/>
      <c r="BN44" s="20"/>
      <c r="BO44" s="20"/>
      <c r="BP44" s="20"/>
      <c r="BQ44" s="21">
        <f t="shared" si="109"/>
        <v>0</v>
      </c>
      <c r="BR44" s="4">
        <f t="shared" si="110"/>
        <v>0</v>
      </c>
      <c r="BS44" s="4">
        <f t="shared" si="111"/>
        <v>350000</v>
      </c>
      <c r="BT44" s="4">
        <f t="shared" si="112"/>
        <v>232250</v>
      </c>
      <c r="BU44" s="4">
        <f t="shared" si="113"/>
        <v>0</v>
      </c>
      <c r="BV44" s="94">
        <f t="shared" si="114"/>
        <v>0</v>
      </c>
      <c r="BW44" s="94">
        <f t="shared" si="115"/>
        <v>0</v>
      </c>
      <c r="BX44" s="94">
        <f t="shared" si="116"/>
        <v>0</v>
      </c>
      <c r="BY44" s="94">
        <f t="shared" si="117"/>
        <v>0</v>
      </c>
      <c r="BZ44" s="94">
        <f t="shared" si="118"/>
        <v>0</v>
      </c>
      <c r="CA44" s="9">
        <f t="shared" si="119"/>
        <v>582250</v>
      </c>
    </row>
    <row r="45" spans="1:79" s="38" customFormat="1">
      <c r="A45" s="34"/>
      <c r="B45" s="34"/>
      <c r="C45" s="35" t="s">
        <v>122</v>
      </c>
      <c r="D45" s="37"/>
      <c r="E45" s="37"/>
      <c r="F45" s="37">
        <f t="shared" ref="F45:CA45" si="120">SUM(F36:F44)</f>
        <v>310000</v>
      </c>
      <c r="G45" s="37">
        <f t="shared" si="120"/>
        <v>919000</v>
      </c>
      <c r="H45" s="37">
        <f t="shared" si="120"/>
        <v>756500</v>
      </c>
      <c r="I45" s="37">
        <f t="shared" si="120"/>
        <v>631000</v>
      </c>
      <c r="J45" s="37">
        <f t="shared" si="120"/>
        <v>378000</v>
      </c>
      <c r="K45" s="37">
        <f t="shared" si="120"/>
        <v>473900</v>
      </c>
      <c r="L45" s="37">
        <f t="shared" ref="L45:N45" si="121">SUM(L36:L44)</f>
        <v>351000</v>
      </c>
      <c r="M45" s="37">
        <f t="shared" si="121"/>
        <v>238500</v>
      </c>
      <c r="N45" s="37">
        <f t="shared" si="121"/>
        <v>90000</v>
      </c>
      <c r="O45" s="37">
        <f t="shared" si="120"/>
        <v>4147900</v>
      </c>
      <c r="P45" s="37">
        <f t="shared" ref="P45:U45" si="122">SUM(P36:P44)</f>
        <v>195000</v>
      </c>
      <c r="Q45" s="37">
        <f t="shared" si="122"/>
        <v>1186900</v>
      </c>
      <c r="R45" s="37">
        <f t="shared" si="122"/>
        <v>982000</v>
      </c>
      <c r="S45" s="37">
        <f t="shared" si="122"/>
        <v>242000</v>
      </c>
      <c r="T45" s="37">
        <f t="shared" si="122"/>
        <v>0</v>
      </c>
      <c r="U45" s="37">
        <f t="shared" si="122"/>
        <v>0</v>
      </c>
      <c r="V45" s="37">
        <f t="shared" ref="V45:X45" si="123">SUM(V36:V44)</f>
        <v>0</v>
      </c>
      <c r="W45" s="37">
        <f t="shared" si="123"/>
        <v>130950</v>
      </c>
      <c r="X45" s="37">
        <f t="shared" si="123"/>
        <v>0</v>
      </c>
      <c r="Y45" s="37">
        <f t="shared" ref="Y45:AB45" si="124">SUM(Y36:Y44)</f>
        <v>2736850</v>
      </c>
      <c r="Z45" s="37">
        <f t="shared" si="124"/>
        <v>409500</v>
      </c>
      <c r="AA45" s="37">
        <f t="shared" si="124"/>
        <v>542500</v>
      </c>
      <c r="AB45" s="37">
        <f t="shared" si="124"/>
        <v>1329300</v>
      </c>
      <c r="AC45" s="37">
        <f t="shared" ref="AC45:AE45" si="125">SUM(AC36:AC44)</f>
        <v>1625400</v>
      </c>
      <c r="AD45" s="37">
        <f t="shared" si="125"/>
        <v>1582400</v>
      </c>
      <c r="AE45" s="37">
        <f t="shared" si="125"/>
        <v>915200</v>
      </c>
      <c r="AF45" s="37">
        <f t="shared" ref="AF45:AL45" si="126">SUM(AF36:AF44)</f>
        <v>6404300</v>
      </c>
      <c r="AG45" s="37">
        <f t="shared" si="126"/>
        <v>290000</v>
      </c>
      <c r="AH45" s="37">
        <f t="shared" si="126"/>
        <v>364000</v>
      </c>
      <c r="AI45" s="37">
        <f t="shared" si="126"/>
        <v>404000</v>
      </c>
      <c r="AJ45" s="37">
        <f t="shared" si="126"/>
        <v>248000</v>
      </c>
      <c r="AK45" s="37">
        <f t="shared" si="126"/>
        <v>0</v>
      </c>
      <c r="AL45" s="37">
        <f t="shared" si="126"/>
        <v>0</v>
      </c>
      <c r="AM45" s="37">
        <f t="shared" ref="AM45:AO45" si="127">SUM(AM36:AM44)</f>
        <v>0</v>
      </c>
      <c r="AN45" s="37">
        <f t="shared" si="127"/>
        <v>0</v>
      </c>
      <c r="AO45" s="37">
        <f t="shared" si="127"/>
        <v>0</v>
      </c>
      <c r="AP45" s="37">
        <f t="shared" ref="AP45" si="128">SUM(AP36:AP44)</f>
        <v>1306000</v>
      </c>
      <c r="AQ45" s="37">
        <f t="shared" si="120"/>
        <v>290000</v>
      </c>
      <c r="AR45" s="37">
        <f t="shared" si="120"/>
        <v>2490000</v>
      </c>
      <c r="AS45" s="37">
        <f t="shared" si="120"/>
        <v>910000</v>
      </c>
      <c r="AT45" s="37">
        <f t="shared" si="120"/>
        <v>1613500</v>
      </c>
      <c r="AU45" s="37">
        <f t="shared" si="120"/>
        <v>730000</v>
      </c>
      <c r="AV45" s="37">
        <f t="shared" si="120"/>
        <v>750000</v>
      </c>
      <c r="AW45" s="37">
        <f t="shared" ref="AW45:AY45" si="129">SUM(AW36:AW44)</f>
        <v>1400000</v>
      </c>
      <c r="AX45" s="37">
        <f t="shared" si="129"/>
        <v>1500000</v>
      </c>
      <c r="AY45" s="37">
        <f t="shared" si="129"/>
        <v>200000</v>
      </c>
      <c r="AZ45" s="37">
        <f t="shared" si="120"/>
        <v>9883500</v>
      </c>
      <c r="BA45" s="37">
        <f t="shared" si="120"/>
        <v>0</v>
      </c>
      <c r="BB45" s="37">
        <f t="shared" si="120"/>
        <v>0</v>
      </c>
      <c r="BC45" s="37">
        <f t="shared" si="120"/>
        <v>0</v>
      </c>
      <c r="BD45" s="37">
        <f t="shared" ref="BD45:BF45" si="130">SUM(BD36:BD44)</f>
        <v>0</v>
      </c>
      <c r="BE45" s="37">
        <f t="shared" si="130"/>
        <v>0</v>
      </c>
      <c r="BF45" s="37">
        <f t="shared" si="130"/>
        <v>0</v>
      </c>
      <c r="BG45" s="37">
        <f t="shared" si="120"/>
        <v>0</v>
      </c>
      <c r="BH45" s="37">
        <f t="shared" si="120"/>
        <v>0</v>
      </c>
      <c r="BI45" s="37">
        <f t="shared" si="120"/>
        <v>0</v>
      </c>
      <c r="BJ45" s="37">
        <f t="shared" si="120"/>
        <v>100000</v>
      </c>
      <c r="BK45" s="37">
        <f t="shared" si="120"/>
        <v>0</v>
      </c>
      <c r="BL45" s="37">
        <f t="shared" si="120"/>
        <v>0</v>
      </c>
      <c r="BM45" s="37">
        <f t="shared" si="120"/>
        <v>0</v>
      </c>
      <c r="BN45" s="37">
        <f t="shared" ref="BN45:BP45" si="131">SUM(BN36:BN44)</f>
        <v>0</v>
      </c>
      <c r="BO45" s="37">
        <f t="shared" si="131"/>
        <v>0</v>
      </c>
      <c r="BP45" s="37">
        <f t="shared" si="131"/>
        <v>0</v>
      </c>
      <c r="BQ45" s="37">
        <f t="shared" si="120"/>
        <v>100000</v>
      </c>
      <c r="BR45" s="37">
        <f t="shared" si="120"/>
        <v>1085000</v>
      </c>
      <c r="BS45" s="37">
        <f t="shared" si="120"/>
        <v>4959900</v>
      </c>
      <c r="BT45" s="37">
        <f t="shared" si="120"/>
        <v>3152500</v>
      </c>
      <c r="BU45" s="37">
        <f t="shared" si="120"/>
        <v>3144000</v>
      </c>
      <c r="BV45" s="37">
        <f t="shared" si="120"/>
        <v>1650500</v>
      </c>
      <c r="BW45" s="144">
        <f>SUM(BW36:BW44)</f>
        <v>2553200</v>
      </c>
      <c r="BX45" s="37">
        <f t="shared" ref="BX45:BY45" si="132">SUM(BX36:BX44)</f>
        <v>3376400</v>
      </c>
      <c r="BY45" s="37">
        <f t="shared" si="132"/>
        <v>3451850</v>
      </c>
      <c r="BZ45" s="144">
        <f>SUM(BZ36:BZ44)</f>
        <v>1205200</v>
      </c>
      <c r="CA45" s="37">
        <f t="shared" si="120"/>
        <v>24578550</v>
      </c>
    </row>
    <row r="46" spans="1:79" ht="31.5">
      <c r="A46" s="185" t="s">
        <v>20</v>
      </c>
      <c r="B46" s="8">
        <v>1</v>
      </c>
      <c r="C46" s="1" t="s">
        <v>123</v>
      </c>
      <c r="D46" s="4" t="s">
        <v>124</v>
      </c>
      <c r="E46" s="4" t="s">
        <v>20</v>
      </c>
      <c r="F46" s="4"/>
      <c r="G46" s="4"/>
      <c r="H46" s="5"/>
      <c r="I46" s="4"/>
      <c r="J46" s="4"/>
      <c r="K46" s="4"/>
      <c r="L46" s="4"/>
      <c r="M46" s="4"/>
      <c r="N46" s="4"/>
      <c r="O46" s="9">
        <f t="shared" ref="O46:O53" si="133">SUM(F46:N46)</f>
        <v>0</v>
      </c>
      <c r="P46" s="20"/>
      <c r="Q46" s="25">
        <v>481150</v>
      </c>
      <c r="R46" s="25">
        <f>202300+70000</f>
        <v>272300</v>
      </c>
      <c r="S46" s="24">
        <v>478000</v>
      </c>
      <c r="T46" s="20">
        <f>49000+98000+364000+112000</f>
        <v>623000</v>
      </c>
      <c r="U46" s="20">
        <f>491750+123200+61600</f>
        <v>676550</v>
      </c>
      <c r="V46" s="20">
        <v>498500</v>
      </c>
      <c r="W46" s="20">
        <v>819650</v>
      </c>
      <c r="X46" s="174">
        <v>683850</v>
      </c>
      <c r="Y46" s="21">
        <f t="shared" ref="Y46:Y53" si="134">SUM(P46:X46)</f>
        <v>4533000</v>
      </c>
      <c r="Z46" s="25">
        <v>0</v>
      </c>
      <c r="AA46" s="20"/>
      <c r="AB46" s="20"/>
      <c r="AC46" s="20"/>
      <c r="AD46" s="20"/>
      <c r="AE46" s="20"/>
      <c r="AF46" s="21">
        <f t="shared" ref="AF46:AF53" si="135">SUM(Z46:AE46)</f>
        <v>0</v>
      </c>
      <c r="AG46" s="20"/>
      <c r="AH46" s="20"/>
      <c r="AI46" s="20"/>
      <c r="AJ46" s="20"/>
      <c r="AK46" s="20"/>
      <c r="AL46" s="20"/>
      <c r="AM46" s="20"/>
      <c r="AN46" s="20"/>
      <c r="AO46" s="20"/>
      <c r="AP46" s="9">
        <f t="shared" ref="AP46:AP53" si="136">SUM(AG46:AO46)</f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9">
        <f t="shared" ref="AZ46:AZ53" si="137">SUM(AQ46:AY46)</f>
        <v>0</v>
      </c>
      <c r="BA46" s="25"/>
      <c r="BB46" s="20"/>
      <c r="BC46" s="20"/>
      <c r="BD46" s="20"/>
      <c r="BE46" s="20"/>
      <c r="BF46" s="20"/>
      <c r="BG46" s="21">
        <f t="shared" ref="BG46:BG53" si="138">SUM(BA46:BF46)</f>
        <v>0</v>
      </c>
      <c r="BH46" s="25"/>
      <c r="BI46" s="25"/>
      <c r="BJ46" s="25"/>
      <c r="BK46" s="25"/>
      <c r="BL46" s="20"/>
      <c r="BM46" s="20"/>
      <c r="BN46" s="20"/>
      <c r="BO46" s="20"/>
      <c r="BP46" s="20"/>
      <c r="BQ46" s="21">
        <f t="shared" ref="BQ46:BQ53" si="139">SUM(BH46:BP46)</f>
        <v>0</v>
      </c>
      <c r="BR46" s="4">
        <f t="shared" ref="BR46:BR53" si="140">F46+P46+AG46+AQ46+BH46</f>
        <v>0</v>
      </c>
      <c r="BS46" s="4">
        <f t="shared" ref="BS46:BS53" si="141">G46+Q46+AH46+AR46+BI46</f>
        <v>481150</v>
      </c>
      <c r="BT46" s="4">
        <f t="shared" ref="BT46:BT53" si="142">H46+R46+AI46+AS46+BJ46</f>
        <v>272300</v>
      </c>
      <c r="BU46" s="4">
        <f t="shared" ref="BU46:BU53" si="143">I46+S46+Z46+AJ46+AT46+BA46+BK46</f>
        <v>478000</v>
      </c>
      <c r="BV46" s="94">
        <f t="shared" ref="BV46:BV53" si="144">J46+T46+AA46+AK46+AU46+BB46+BL46</f>
        <v>623000</v>
      </c>
      <c r="BW46" s="94">
        <f t="shared" ref="BW46:BW53" si="145">K46+U46+AB46+AM46+AV46+BC46+BM46</f>
        <v>676550</v>
      </c>
      <c r="BX46" s="94">
        <f t="shared" ref="BX46:BX53" si="146">L46+V46+AC46+AM46+AW46+BD46+BN46</f>
        <v>498500</v>
      </c>
      <c r="BY46" s="94">
        <f t="shared" ref="BY46:BY53" si="147">M46+W46+AD46+AO46+AX46+BE46+BO46</f>
        <v>819650</v>
      </c>
      <c r="BZ46" s="94">
        <f t="shared" ref="BZ46:BZ53" si="148">N46+X46+AE46+AO46+AY46+BF46+BP46</f>
        <v>683850</v>
      </c>
      <c r="CA46" s="9">
        <f t="shared" ref="CA46:CA53" si="149">SUM(BR46:BZ46)</f>
        <v>4533000</v>
      </c>
    </row>
    <row r="47" spans="1:79" ht="31.5">
      <c r="A47" s="186"/>
      <c r="B47" s="8">
        <v>2</v>
      </c>
      <c r="C47" s="1" t="s">
        <v>125</v>
      </c>
      <c r="D47" s="4" t="s">
        <v>126</v>
      </c>
      <c r="E47" s="4" t="s">
        <v>20</v>
      </c>
      <c r="F47" s="4">
        <v>155000</v>
      </c>
      <c r="G47" s="4">
        <v>712500</v>
      </c>
      <c r="H47" s="4">
        <f>60500+60500+200000</f>
        <v>321000</v>
      </c>
      <c r="I47" s="4">
        <f>160000+20000</f>
        <v>180000</v>
      </c>
      <c r="J47" s="4"/>
      <c r="K47" s="4"/>
      <c r="L47" s="4"/>
      <c r="M47" s="4"/>
      <c r="N47" s="4"/>
      <c r="O47" s="9">
        <f t="shared" si="133"/>
        <v>1368500</v>
      </c>
      <c r="P47" s="20">
        <v>195000</v>
      </c>
      <c r="Q47" s="25">
        <v>608650</v>
      </c>
      <c r="R47" s="25">
        <v>377050</v>
      </c>
      <c r="S47" s="24">
        <v>40000</v>
      </c>
      <c r="T47" s="20"/>
      <c r="U47" s="20"/>
      <c r="V47" s="20"/>
      <c r="W47" s="20"/>
      <c r="X47" s="20"/>
      <c r="Y47" s="21">
        <f t="shared" si="134"/>
        <v>1220700</v>
      </c>
      <c r="Z47" s="25">
        <v>770000</v>
      </c>
      <c r="AA47" s="20">
        <f>70000+210000+210000+210000+140000</f>
        <v>840000</v>
      </c>
      <c r="AB47" s="20">
        <f>941892+217055+109185</f>
        <v>1268132</v>
      </c>
      <c r="AC47" s="20">
        <v>1415450</v>
      </c>
      <c r="AD47" s="20">
        <v>1601600</v>
      </c>
      <c r="AE47" s="175">
        <v>1185600</v>
      </c>
      <c r="AF47" s="21">
        <f t="shared" si="135"/>
        <v>7080782</v>
      </c>
      <c r="AG47" s="20"/>
      <c r="AH47" s="20"/>
      <c r="AI47" s="20"/>
      <c r="AJ47" s="20"/>
      <c r="AK47" s="20"/>
      <c r="AL47" s="20"/>
      <c r="AM47" s="20"/>
      <c r="AN47" s="20"/>
      <c r="AO47" s="20"/>
      <c r="AP47" s="9">
        <f t="shared" si="136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9">
        <f t="shared" si="137"/>
        <v>0</v>
      </c>
      <c r="BA47" s="25"/>
      <c r="BB47" s="20"/>
      <c r="BC47" s="20"/>
      <c r="BD47" s="20"/>
      <c r="BE47" s="20"/>
      <c r="BF47" s="20"/>
      <c r="BG47" s="21">
        <f t="shared" si="138"/>
        <v>0</v>
      </c>
      <c r="BH47" s="25"/>
      <c r="BI47" s="25"/>
      <c r="BJ47" s="25"/>
      <c r="BK47" s="25"/>
      <c r="BL47" s="20"/>
      <c r="BM47" s="20"/>
      <c r="BN47" s="20"/>
      <c r="BO47" s="20"/>
      <c r="BP47" s="20"/>
      <c r="BQ47" s="21">
        <f t="shared" si="139"/>
        <v>0</v>
      </c>
      <c r="BR47" s="4">
        <f t="shared" si="140"/>
        <v>350000</v>
      </c>
      <c r="BS47" s="4">
        <f t="shared" si="141"/>
        <v>1321150</v>
      </c>
      <c r="BT47" s="4">
        <f t="shared" si="142"/>
        <v>698050</v>
      </c>
      <c r="BU47" s="4">
        <f t="shared" si="143"/>
        <v>990000</v>
      </c>
      <c r="BV47" s="94">
        <f t="shared" si="144"/>
        <v>840000</v>
      </c>
      <c r="BW47" s="94">
        <f t="shared" si="145"/>
        <v>1268132</v>
      </c>
      <c r="BX47" s="94">
        <f t="shared" si="146"/>
        <v>1415450</v>
      </c>
      <c r="BY47" s="94">
        <f t="shared" si="147"/>
        <v>1601600</v>
      </c>
      <c r="BZ47" s="94">
        <f t="shared" si="148"/>
        <v>1185600</v>
      </c>
      <c r="CA47" s="9">
        <f t="shared" si="149"/>
        <v>9669982</v>
      </c>
    </row>
    <row r="48" spans="1:79">
      <c r="A48" s="186"/>
      <c r="B48" s="8">
        <v>3</v>
      </c>
      <c r="C48" s="1" t="s">
        <v>127</v>
      </c>
      <c r="D48" s="4" t="s">
        <v>128</v>
      </c>
      <c r="E48" s="4" t="s">
        <v>20</v>
      </c>
      <c r="F48" s="4"/>
      <c r="G48" s="4">
        <v>155000</v>
      </c>
      <c r="H48" s="4">
        <v>311100</v>
      </c>
      <c r="I48" s="4"/>
      <c r="J48" s="4"/>
      <c r="K48" s="4"/>
      <c r="L48" s="4"/>
      <c r="M48" s="4"/>
      <c r="N48" s="4"/>
      <c r="O48" s="9">
        <f t="shared" si="133"/>
        <v>466100</v>
      </c>
      <c r="P48" s="20"/>
      <c r="Q48" s="20"/>
      <c r="R48" s="20"/>
      <c r="S48" s="20"/>
      <c r="T48" s="20"/>
      <c r="U48" s="20"/>
      <c r="V48" s="20"/>
      <c r="W48" s="20"/>
      <c r="X48" s="20"/>
      <c r="Y48" s="21">
        <f t="shared" si="134"/>
        <v>0</v>
      </c>
      <c r="Z48" s="25">
        <v>0</v>
      </c>
      <c r="AA48" s="20"/>
      <c r="AB48" s="20"/>
      <c r="AC48" s="20"/>
      <c r="AD48" s="20"/>
      <c r="AE48" s="20"/>
      <c r="AF48" s="21">
        <f t="shared" si="135"/>
        <v>0</v>
      </c>
      <c r="AG48" s="20"/>
      <c r="AH48" s="20"/>
      <c r="AI48" s="20"/>
      <c r="AJ48" s="20"/>
      <c r="AK48" s="20"/>
      <c r="AL48" s="20"/>
      <c r="AM48" s="20"/>
      <c r="AN48" s="20"/>
      <c r="AO48" s="20"/>
      <c r="AP48" s="9">
        <f t="shared" si="136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9">
        <f t="shared" si="137"/>
        <v>0</v>
      </c>
      <c r="BA48" s="25"/>
      <c r="BB48" s="20"/>
      <c r="BC48" s="20"/>
      <c r="BD48" s="20"/>
      <c r="BE48" s="20"/>
      <c r="BF48" s="20"/>
      <c r="BG48" s="21">
        <f t="shared" si="138"/>
        <v>0</v>
      </c>
      <c r="BH48" s="25"/>
      <c r="BI48" s="24">
        <v>100000</v>
      </c>
      <c r="BJ48" s="25"/>
      <c r="BK48" s="25"/>
      <c r="BL48" s="20"/>
      <c r="BM48" s="20"/>
      <c r="BN48" s="20"/>
      <c r="BO48" s="20"/>
      <c r="BP48" s="20"/>
      <c r="BQ48" s="21">
        <f t="shared" si="139"/>
        <v>100000</v>
      </c>
      <c r="BR48" s="4">
        <f t="shared" si="140"/>
        <v>0</v>
      </c>
      <c r="BS48" s="4">
        <f t="shared" si="141"/>
        <v>255000</v>
      </c>
      <c r="BT48" s="4">
        <f t="shared" si="142"/>
        <v>311100</v>
      </c>
      <c r="BU48" s="4">
        <f t="shared" si="143"/>
        <v>0</v>
      </c>
      <c r="BV48" s="94">
        <f t="shared" si="144"/>
        <v>0</v>
      </c>
      <c r="BW48" s="94">
        <f t="shared" si="145"/>
        <v>0</v>
      </c>
      <c r="BX48" s="94">
        <f t="shared" si="146"/>
        <v>0</v>
      </c>
      <c r="BY48" s="94">
        <f t="shared" si="147"/>
        <v>0</v>
      </c>
      <c r="BZ48" s="94">
        <f t="shared" si="148"/>
        <v>0</v>
      </c>
      <c r="CA48" s="9">
        <f t="shared" si="149"/>
        <v>566100</v>
      </c>
    </row>
    <row r="49" spans="1:79">
      <c r="A49" s="186"/>
      <c r="B49" s="8">
        <v>4</v>
      </c>
      <c r="C49" s="1" t="s">
        <v>129</v>
      </c>
      <c r="D49" s="4" t="s">
        <v>130</v>
      </c>
      <c r="E49" s="4" t="s">
        <v>20</v>
      </c>
      <c r="F49" s="4"/>
      <c r="G49" s="4">
        <v>155000</v>
      </c>
      <c r="H49" s="4"/>
      <c r="I49" s="4"/>
      <c r="J49" s="4"/>
      <c r="K49" s="4"/>
      <c r="L49" s="4"/>
      <c r="M49" s="4"/>
      <c r="N49" s="4"/>
      <c r="O49" s="9">
        <f t="shared" si="133"/>
        <v>155000</v>
      </c>
      <c r="P49" s="20"/>
      <c r="Q49" s="20">
        <v>195000</v>
      </c>
      <c r="R49" s="25">
        <v>73150</v>
      </c>
      <c r="S49" s="24">
        <v>30000</v>
      </c>
      <c r="T49" s="20"/>
      <c r="U49" s="20"/>
      <c r="V49" s="20"/>
      <c r="W49" s="20"/>
      <c r="X49" s="20"/>
      <c r="Y49" s="21">
        <f t="shared" si="134"/>
        <v>298150</v>
      </c>
      <c r="Z49" s="25">
        <v>0</v>
      </c>
      <c r="AA49" s="20"/>
      <c r="AB49" s="20"/>
      <c r="AC49" s="20"/>
      <c r="AD49" s="20"/>
      <c r="AE49" s="20"/>
      <c r="AF49" s="21">
        <f t="shared" si="135"/>
        <v>0</v>
      </c>
      <c r="AG49" s="20"/>
      <c r="AH49" s="20"/>
      <c r="AI49" s="20"/>
      <c r="AJ49" s="20"/>
      <c r="AK49" s="20"/>
      <c r="AL49" s="20"/>
      <c r="AM49" s="20"/>
      <c r="AN49" s="20"/>
      <c r="AO49" s="20"/>
      <c r="AP49" s="9">
        <f t="shared" si="136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9">
        <f t="shared" si="137"/>
        <v>0</v>
      </c>
      <c r="BA49" s="25"/>
      <c r="BB49" s="20"/>
      <c r="BC49" s="20"/>
      <c r="BD49" s="20"/>
      <c r="BE49" s="20"/>
      <c r="BF49" s="20"/>
      <c r="BG49" s="21">
        <f t="shared" si="138"/>
        <v>0</v>
      </c>
      <c r="BH49" s="25"/>
      <c r="BI49" s="25"/>
      <c r="BJ49" s="25"/>
      <c r="BK49" s="25"/>
      <c r="BL49" s="20"/>
      <c r="BM49" s="20"/>
      <c r="BN49" s="20"/>
      <c r="BO49" s="20"/>
      <c r="BP49" s="20"/>
      <c r="BQ49" s="21">
        <f t="shared" si="139"/>
        <v>0</v>
      </c>
      <c r="BR49" s="4">
        <f t="shared" si="140"/>
        <v>0</v>
      </c>
      <c r="BS49" s="4">
        <f t="shared" si="141"/>
        <v>350000</v>
      </c>
      <c r="BT49" s="4">
        <f t="shared" si="142"/>
        <v>73150</v>
      </c>
      <c r="BU49" s="4">
        <f t="shared" si="143"/>
        <v>30000</v>
      </c>
      <c r="BV49" s="94">
        <f t="shared" si="144"/>
        <v>0</v>
      </c>
      <c r="BW49" s="94">
        <f t="shared" si="145"/>
        <v>0</v>
      </c>
      <c r="BX49" s="94">
        <f t="shared" si="146"/>
        <v>0</v>
      </c>
      <c r="BY49" s="94">
        <f t="shared" si="147"/>
        <v>0</v>
      </c>
      <c r="BZ49" s="94">
        <f t="shared" si="148"/>
        <v>0</v>
      </c>
      <c r="CA49" s="9">
        <f t="shared" si="149"/>
        <v>453150</v>
      </c>
    </row>
    <row r="50" spans="1:79" ht="31.5">
      <c r="A50" s="186"/>
      <c r="B50" s="8">
        <v>5</v>
      </c>
      <c r="C50" s="1" t="s">
        <v>131</v>
      </c>
      <c r="D50" s="4" t="s">
        <v>132</v>
      </c>
      <c r="E50" s="4" t="s">
        <v>20</v>
      </c>
      <c r="F50" s="4">
        <v>155000</v>
      </c>
      <c r="G50" s="4">
        <v>427000</v>
      </c>
      <c r="H50" s="4">
        <f>71500+71500+231000</f>
        <v>374000</v>
      </c>
      <c r="I50" s="4"/>
      <c r="J50" s="4"/>
      <c r="K50" s="4"/>
      <c r="L50" s="4"/>
      <c r="M50" s="4"/>
      <c r="N50" s="4"/>
      <c r="O50" s="9">
        <f t="shared" si="133"/>
        <v>956000</v>
      </c>
      <c r="P50" s="20"/>
      <c r="Q50" s="25">
        <v>585250</v>
      </c>
      <c r="R50" s="25">
        <v>174600</v>
      </c>
      <c r="S50" s="25"/>
      <c r="T50" s="20"/>
      <c r="U50" s="20"/>
      <c r="V50" s="20"/>
      <c r="W50" s="20"/>
      <c r="X50" s="20"/>
      <c r="Y50" s="21">
        <f t="shared" si="134"/>
        <v>759850</v>
      </c>
      <c r="Z50" s="25">
        <v>0</v>
      </c>
      <c r="AA50" s="20"/>
      <c r="AB50" s="20">
        <f>707200+202800+104000</f>
        <v>1014000</v>
      </c>
      <c r="AC50" s="20">
        <v>1258400</v>
      </c>
      <c r="AD50" s="20">
        <v>1440400</v>
      </c>
      <c r="AE50" s="175">
        <v>1201200</v>
      </c>
      <c r="AF50" s="21">
        <f t="shared" si="135"/>
        <v>4914000</v>
      </c>
      <c r="AG50" s="20"/>
      <c r="AH50" s="20"/>
      <c r="AI50" s="20"/>
      <c r="AJ50" s="20"/>
      <c r="AK50" s="20"/>
      <c r="AL50" s="20"/>
      <c r="AM50" s="20"/>
      <c r="AN50" s="20"/>
      <c r="AO50" s="20"/>
      <c r="AP50" s="9">
        <f t="shared" si="136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9">
        <f t="shared" si="137"/>
        <v>0</v>
      </c>
      <c r="BA50" s="25"/>
      <c r="BB50" s="20"/>
      <c r="BC50" s="20"/>
      <c r="BD50" s="20"/>
      <c r="BE50" s="20"/>
      <c r="BF50" s="20"/>
      <c r="BG50" s="21">
        <f t="shared" si="138"/>
        <v>0</v>
      </c>
      <c r="BH50" s="25"/>
      <c r="BI50" s="25"/>
      <c r="BJ50" s="25"/>
      <c r="BK50" s="25"/>
      <c r="BL50" s="20"/>
      <c r="BM50" s="20"/>
      <c r="BN50" s="20"/>
      <c r="BO50" s="20"/>
      <c r="BP50" s="20"/>
      <c r="BQ50" s="21">
        <f t="shared" si="139"/>
        <v>0</v>
      </c>
      <c r="BR50" s="4">
        <f t="shared" si="140"/>
        <v>155000</v>
      </c>
      <c r="BS50" s="4">
        <f t="shared" si="141"/>
        <v>1012250</v>
      </c>
      <c r="BT50" s="4">
        <f t="shared" si="142"/>
        <v>548600</v>
      </c>
      <c r="BU50" s="4">
        <f t="shared" si="143"/>
        <v>0</v>
      </c>
      <c r="BV50" s="94">
        <f t="shared" si="144"/>
        <v>0</v>
      </c>
      <c r="BW50" s="94">
        <f t="shared" si="145"/>
        <v>1014000</v>
      </c>
      <c r="BX50" s="94">
        <f t="shared" si="146"/>
        <v>1258400</v>
      </c>
      <c r="BY50" s="94">
        <f t="shared" si="147"/>
        <v>1440400</v>
      </c>
      <c r="BZ50" s="94">
        <f t="shared" si="148"/>
        <v>1201200</v>
      </c>
      <c r="CA50" s="9">
        <f t="shared" si="149"/>
        <v>6629850</v>
      </c>
    </row>
    <row r="51" spans="1:79">
      <c r="A51" s="186"/>
      <c r="B51" s="8">
        <v>6</v>
      </c>
      <c r="C51" s="1" t="s">
        <v>52</v>
      </c>
      <c r="D51" s="4" t="s">
        <v>30</v>
      </c>
      <c r="E51" s="4" t="s">
        <v>20</v>
      </c>
      <c r="F51" s="4">
        <v>155000</v>
      </c>
      <c r="G51" s="4">
        <v>279000</v>
      </c>
      <c r="H51" s="4">
        <f>108000+36000</f>
        <v>144000</v>
      </c>
      <c r="I51" s="4">
        <v>218000</v>
      </c>
      <c r="J51" s="4">
        <f>15000+198000</f>
        <v>213000</v>
      </c>
      <c r="K51" s="4">
        <v>45000</v>
      </c>
      <c r="L51" s="4"/>
      <c r="M51" s="4"/>
      <c r="N51" s="4"/>
      <c r="O51" s="9">
        <f t="shared" si="133"/>
        <v>1054000</v>
      </c>
      <c r="P51" s="20"/>
      <c r="Q51" s="20"/>
      <c r="R51" s="20"/>
      <c r="S51" s="20"/>
      <c r="T51" s="20"/>
      <c r="U51" s="20"/>
      <c r="V51" s="20"/>
      <c r="W51" s="20"/>
      <c r="X51" s="20"/>
      <c r="Y51" s="21">
        <f t="shared" si="134"/>
        <v>0</v>
      </c>
      <c r="Z51" s="25">
        <v>0</v>
      </c>
      <c r="AA51" s="20"/>
      <c r="AB51" s="20"/>
      <c r="AC51" s="20"/>
      <c r="AD51" s="20"/>
      <c r="AE51" s="20"/>
      <c r="AF51" s="21">
        <f t="shared" si="135"/>
        <v>0</v>
      </c>
      <c r="AG51" s="20"/>
      <c r="AH51" s="20"/>
      <c r="AI51" s="20"/>
      <c r="AJ51" s="20"/>
      <c r="AK51" s="20"/>
      <c r="AL51" s="20"/>
      <c r="AM51" s="20"/>
      <c r="AN51" s="20"/>
      <c r="AO51" s="20"/>
      <c r="AP51" s="9">
        <f t="shared" si="136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9">
        <f t="shared" si="137"/>
        <v>0</v>
      </c>
      <c r="BA51" s="25"/>
      <c r="BB51" s="20"/>
      <c r="BC51" s="20"/>
      <c r="BD51" s="20"/>
      <c r="BE51" s="20"/>
      <c r="BF51" s="20"/>
      <c r="BG51" s="21">
        <f t="shared" si="138"/>
        <v>0</v>
      </c>
      <c r="BH51" s="25"/>
      <c r="BI51" s="25"/>
      <c r="BJ51" s="25"/>
      <c r="BK51" s="25"/>
      <c r="BL51" s="20"/>
      <c r="BM51" s="20"/>
      <c r="BN51" s="20"/>
      <c r="BO51" s="20"/>
      <c r="BP51" s="20"/>
      <c r="BQ51" s="21">
        <f t="shared" si="139"/>
        <v>0</v>
      </c>
      <c r="BR51" s="4">
        <f t="shared" si="140"/>
        <v>155000</v>
      </c>
      <c r="BS51" s="4">
        <f t="shared" si="141"/>
        <v>279000</v>
      </c>
      <c r="BT51" s="4">
        <f t="shared" si="142"/>
        <v>144000</v>
      </c>
      <c r="BU51" s="4">
        <f t="shared" si="143"/>
        <v>218000</v>
      </c>
      <c r="BV51" s="94">
        <f t="shared" si="144"/>
        <v>213000</v>
      </c>
      <c r="BW51" s="94">
        <f t="shared" si="145"/>
        <v>45000</v>
      </c>
      <c r="BX51" s="94">
        <f t="shared" si="146"/>
        <v>0</v>
      </c>
      <c r="BY51" s="94">
        <f t="shared" si="147"/>
        <v>0</v>
      </c>
      <c r="BZ51" s="94">
        <f t="shared" si="148"/>
        <v>0</v>
      </c>
      <c r="CA51" s="9">
        <f t="shared" si="149"/>
        <v>1054000</v>
      </c>
    </row>
    <row r="52" spans="1:79" ht="31.5">
      <c r="A52" s="186"/>
      <c r="B52" s="8">
        <v>7</v>
      </c>
      <c r="C52" s="1" t="s">
        <v>133</v>
      </c>
      <c r="D52" s="4" t="s">
        <v>134</v>
      </c>
      <c r="E52" s="4" t="s">
        <v>20</v>
      </c>
      <c r="F52" s="4">
        <v>155000</v>
      </c>
      <c r="G52" s="4">
        <v>823000</v>
      </c>
      <c r="H52" s="4">
        <f>82500+82500</f>
        <v>165000</v>
      </c>
      <c r="I52" s="4"/>
      <c r="J52" s="4"/>
      <c r="K52" s="4"/>
      <c r="L52" s="4"/>
      <c r="M52" s="4"/>
      <c r="N52" s="4"/>
      <c r="O52" s="9">
        <f t="shared" si="133"/>
        <v>1143000</v>
      </c>
      <c r="P52" s="20">
        <v>195000</v>
      </c>
      <c r="Q52" s="25">
        <v>1031900</v>
      </c>
      <c r="R52" s="25">
        <v>412250</v>
      </c>
      <c r="S52" s="25"/>
      <c r="T52" s="20"/>
      <c r="U52" s="20"/>
      <c r="V52" s="20"/>
      <c r="W52" s="20"/>
      <c r="X52" s="20"/>
      <c r="Y52" s="21">
        <f t="shared" si="134"/>
        <v>1639150</v>
      </c>
      <c r="Z52" s="25">
        <v>0</v>
      </c>
      <c r="AA52" s="20"/>
      <c r="AB52" s="20"/>
      <c r="AC52" s="20"/>
      <c r="AD52" s="20"/>
      <c r="AE52" s="20"/>
      <c r="AF52" s="21">
        <f t="shared" si="135"/>
        <v>0</v>
      </c>
      <c r="AG52" s="20">
        <v>290000</v>
      </c>
      <c r="AH52" s="22">
        <v>1267000</v>
      </c>
      <c r="AI52" s="4">
        <v>448000</v>
      </c>
      <c r="AJ52" s="22"/>
      <c r="AK52" s="22"/>
      <c r="AL52" s="22">
        <f>1743000+581000</f>
        <v>2324000</v>
      </c>
      <c r="AM52" s="22">
        <f>203000+595000+406000+210000+210000+420000+210000</f>
        <v>2254000</v>
      </c>
      <c r="AN52" s="4">
        <f>630000+210000+210000+210000+210000+420000+420000+210000</f>
        <v>2520000</v>
      </c>
      <c r="AO52" s="4">
        <v>1512000</v>
      </c>
      <c r="AP52" s="9">
        <f t="shared" si="136"/>
        <v>10615000</v>
      </c>
      <c r="AQ52" s="4"/>
      <c r="AR52" s="4"/>
      <c r="AS52" s="4"/>
      <c r="AT52" s="4"/>
      <c r="AU52" s="4"/>
      <c r="AV52" s="4"/>
      <c r="AW52" s="4"/>
      <c r="AX52" s="4"/>
      <c r="AY52" s="4"/>
      <c r="AZ52" s="9">
        <f t="shared" si="137"/>
        <v>0</v>
      </c>
      <c r="BA52" s="25"/>
      <c r="BB52" s="20"/>
      <c r="BC52" s="20"/>
      <c r="BD52" s="20"/>
      <c r="BE52" s="20"/>
      <c r="BF52" s="4"/>
      <c r="BG52" s="21">
        <f t="shared" si="138"/>
        <v>0</v>
      </c>
      <c r="BH52" s="25"/>
      <c r="BI52" s="25"/>
      <c r="BJ52" s="25"/>
      <c r="BK52" s="25"/>
      <c r="BL52" s="20"/>
      <c r="BM52" s="20"/>
      <c r="BN52" s="20"/>
      <c r="BO52" s="20"/>
      <c r="BP52" s="20"/>
      <c r="BQ52" s="21">
        <f t="shared" si="139"/>
        <v>0</v>
      </c>
      <c r="BR52" s="4">
        <f t="shared" si="140"/>
        <v>640000</v>
      </c>
      <c r="BS52" s="4">
        <f t="shared" si="141"/>
        <v>3121900</v>
      </c>
      <c r="BT52" s="4">
        <f t="shared" si="142"/>
        <v>1025250</v>
      </c>
      <c r="BU52" s="4">
        <f t="shared" si="143"/>
        <v>0</v>
      </c>
      <c r="BV52" s="94">
        <f t="shared" si="144"/>
        <v>0</v>
      </c>
      <c r="BW52" s="94">
        <f t="shared" si="145"/>
        <v>2254000</v>
      </c>
      <c r="BX52" s="94">
        <f t="shared" si="146"/>
        <v>2254000</v>
      </c>
      <c r="BY52" s="94">
        <f t="shared" si="147"/>
        <v>1512000</v>
      </c>
      <c r="BZ52" s="94">
        <f t="shared" si="148"/>
        <v>1512000</v>
      </c>
      <c r="CA52" s="9">
        <f t="shared" si="149"/>
        <v>12319150</v>
      </c>
    </row>
    <row r="53" spans="1:79" ht="47.25">
      <c r="A53" s="187"/>
      <c r="B53" s="8">
        <v>8</v>
      </c>
      <c r="C53" s="1" t="s">
        <v>519</v>
      </c>
      <c r="D53" s="4" t="s">
        <v>124</v>
      </c>
      <c r="E53" s="4" t="s">
        <v>20</v>
      </c>
      <c r="F53" s="4"/>
      <c r="G53" s="4">
        <v>630500</v>
      </c>
      <c r="H53" s="4">
        <f>60500+60500+170500</f>
        <v>291500</v>
      </c>
      <c r="I53" s="4">
        <f>160000+20000</f>
        <v>180000</v>
      </c>
      <c r="J53" s="4"/>
      <c r="K53" s="4"/>
      <c r="L53" s="4"/>
      <c r="M53" s="4"/>
      <c r="N53" s="4"/>
      <c r="O53" s="9">
        <f t="shared" si="133"/>
        <v>1102000</v>
      </c>
      <c r="P53" s="20">
        <v>195000</v>
      </c>
      <c r="Q53" s="25">
        <v>854300</v>
      </c>
      <c r="R53" s="25">
        <v>375250</v>
      </c>
      <c r="S53" s="25">
        <v>180000</v>
      </c>
      <c r="T53" s="20"/>
      <c r="U53" s="20"/>
      <c r="V53" s="20"/>
      <c r="W53" s="20"/>
      <c r="X53" s="20"/>
      <c r="Y53" s="21">
        <f t="shared" si="134"/>
        <v>1604550</v>
      </c>
      <c r="Z53" s="25">
        <v>1155000</v>
      </c>
      <c r="AA53" s="20">
        <f>105000+315000+315000+315000+210000</f>
        <v>1260000</v>
      </c>
      <c r="AB53" s="20">
        <f>1281120+252000+126000</f>
        <v>1659120</v>
      </c>
      <c r="AC53" s="20">
        <v>1602000</v>
      </c>
      <c r="AD53" s="20">
        <v>1716000</v>
      </c>
      <c r="AE53" s="175">
        <v>1248000</v>
      </c>
      <c r="AF53" s="21">
        <f t="shared" si="135"/>
        <v>8640120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9">
        <f t="shared" si="136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9">
        <f t="shared" si="137"/>
        <v>0</v>
      </c>
      <c r="BA53" s="25"/>
      <c r="BB53" s="20"/>
      <c r="BC53" s="20"/>
      <c r="BD53" s="20"/>
      <c r="BE53" s="20"/>
      <c r="BF53" s="20"/>
      <c r="BG53" s="21">
        <f t="shared" si="138"/>
        <v>0</v>
      </c>
      <c r="BH53" s="25"/>
      <c r="BI53" s="25"/>
      <c r="BJ53" s="25">
        <v>100000</v>
      </c>
      <c r="BK53" s="25">
        <v>200000</v>
      </c>
      <c r="BL53" s="20"/>
      <c r="BM53" s="20"/>
      <c r="BN53" s="20"/>
      <c r="BO53" s="20"/>
      <c r="BP53" s="20"/>
      <c r="BQ53" s="21">
        <f t="shared" si="139"/>
        <v>300000</v>
      </c>
      <c r="BR53" s="4">
        <f t="shared" si="140"/>
        <v>195000</v>
      </c>
      <c r="BS53" s="4">
        <f t="shared" si="141"/>
        <v>1484800</v>
      </c>
      <c r="BT53" s="4">
        <f t="shared" si="142"/>
        <v>766750</v>
      </c>
      <c r="BU53" s="4">
        <f t="shared" si="143"/>
        <v>1715000</v>
      </c>
      <c r="BV53" s="94">
        <f t="shared" si="144"/>
        <v>1260000</v>
      </c>
      <c r="BW53" s="94">
        <f t="shared" si="145"/>
        <v>1659120</v>
      </c>
      <c r="BX53" s="94">
        <f t="shared" si="146"/>
        <v>1602000</v>
      </c>
      <c r="BY53" s="94">
        <f t="shared" si="147"/>
        <v>1716000</v>
      </c>
      <c r="BZ53" s="94">
        <f t="shared" si="148"/>
        <v>1248000</v>
      </c>
      <c r="CA53" s="9">
        <f t="shared" si="149"/>
        <v>11646670</v>
      </c>
    </row>
    <row r="54" spans="1:79" s="38" customFormat="1">
      <c r="A54" s="34"/>
      <c r="B54" s="34"/>
      <c r="C54" s="35" t="s">
        <v>136</v>
      </c>
      <c r="D54" s="37"/>
      <c r="E54" s="37"/>
      <c r="F54" s="37">
        <f>SUM(F46:F53)</f>
        <v>620000</v>
      </c>
      <c r="G54" s="37">
        <f t="shared" ref="G54:CA54" si="150">SUM(G46:G53)</f>
        <v>3182000</v>
      </c>
      <c r="H54" s="37">
        <f t="shared" si="150"/>
        <v>1606600</v>
      </c>
      <c r="I54" s="37">
        <f t="shared" si="150"/>
        <v>578000</v>
      </c>
      <c r="J54" s="37">
        <f t="shared" si="150"/>
        <v>213000</v>
      </c>
      <c r="K54" s="37">
        <f t="shared" si="150"/>
        <v>45000</v>
      </c>
      <c r="L54" s="37">
        <f t="shared" si="150"/>
        <v>0</v>
      </c>
      <c r="M54" s="37">
        <f t="shared" si="150"/>
        <v>0</v>
      </c>
      <c r="N54" s="37">
        <f t="shared" si="150"/>
        <v>0</v>
      </c>
      <c r="O54" s="37">
        <f t="shared" si="150"/>
        <v>6244600</v>
      </c>
      <c r="P54" s="37">
        <f t="shared" ref="P54:AP54" si="151">SUM(P46:P53)</f>
        <v>585000</v>
      </c>
      <c r="Q54" s="37">
        <f t="shared" si="151"/>
        <v>3756250</v>
      </c>
      <c r="R54" s="37">
        <f t="shared" si="151"/>
        <v>1684600</v>
      </c>
      <c r="S54" s="37">
        <f t="shared" si="151"/>
        <v>728000</v>
      </c>
      <c r="T54" s="37">
        <f t="shared" si="151"/>
        <v>623000</v>
      </c>
      <c r="U54" s="37">
        <f t="shared" si="151"/>
        <v>676550</v>
      </c>
      <c r="V54" s="37">
        <f t="shared" si="151"/>
        <v>498500</v>
      </c>
      <c r="W54" s="37">
        <f t="shared" si="151"/>
        <v>819650</v>
      </c>
      <c r="X54" s="37">
        <f t="shared" si="151"/>
        <v>683850</v>
      </c>
      <c r="Y54" s="37">
        <f t="shared" si="151"/>
        <v>10055400</v>
      </c>
      <c r="Z54" s="37">
        <f t="shared" si="151"/>
        <v>1925000</v>
      </c>
      <c r="AA54" s="37">
        <f t="shared" si="151"/>
        <v>2100000</v>
      </c>
      <c r="AB54" s="37">
        <f t="shared" si="151"/>
        <v>3941252</v>
      </c>
      <c r="AC54" s="37">
        <f t="shared" si="151"/>
        <v>4275850</v>
      </c>
      <c r="AD54" s="37">
        <f t="shared" si="151"/>
        <v>4758000</v>
      </c>
      <c r="AE54" s="37">
        <f t="shared" si="151"/>
        <v>3634800</v>
      </c>
      <c r="AF54" s="37">
        <f t="shared" si="151"/>
        <v>20634902</v>
      </c>
      <c r="AG54" s="37">
        <f t="shared" si="151"/>
        <v>290000</v>
      </c>
      <c r="AH54" s="37">
        <f t="shared" si="151"/>
        <v>1267000</v>
      </c>
      <c r="AI54" s="37">
        <f t="shared" si="151"/>
        <v>448000</v>
      </c>
      <c r="AJ54" s="37">
        <f t="shared" si="151"/>
        <v>0</v>
      </c>
      <c r="AK54" s="37">
        <f t="shared" si="151"/>
        <v>0</v>
      </c>
      <c r="AL54" s="37">
        <f t="shared" si="151"/>
        <v>2324000</v>
      </c>
      <c r="AM54" s="37">
        <f t="shared" si="151"/>
        <v>2254000</v>
      </c>
      <c r="AN54" s="37">
        <f t="shared" si="151"/>
        <v>2520000</v>
      </c>
      <c r="AO54" s="37">
        <f t="shared" si="151"/>
        <v>1512000</v>
      </c>
      <c r="AP54" s="37">
        <f t="shared" si="151"/>
        <v>10615000</v>
      </c>
      <c r="AQ54" s="37">
        <f t="shared" si="150"/>
        <v>0</v>
      </c>
      <c r="AR54" s="37">
        <f t="shared" si="150"/>
        <v>0</v>
      </c>
      <c r="AS54" s="37">
        <f t="shared" si="150"/>
        <v>0</v>
      </c>
      <c r="AT54" s="37">
        <f t="shared" si="150"/>
        <v>0</v>
      </c>
      <c r="AU54" s="37">
        <f t="shared" si="150"/>
        <v>0</v>
      </c>
      <c r="AV54" s="37">
        <f t="shared" si="150"/>
        <v>0</v>
      </c>
      <c r="AW54" s="37">
        <f t="shared" si="150"/>
        <v>0</v>
      </c>
      <c r="AX54" s="37">
        <f t="shared" si="150"/>
        <v>0</v>
      </c>
      <c r="AY54" s="37">
        <f t="shared" si="150"/>
        <v>0</v>
      </c>
      <c r="AZ54" s="37">
        <f t="shared" si="150"/>
        <v>0</v>
      </c>
      <c r="BA54" s="37">
        <f t="shared" si="150"/>
        <v>0</v>
      </c>
      <c r="BB54" s="37">
        <f t="shared" si="150"/>
        <v>0</v>
      </c>
      <c r="BC54" s="37">
        <f t="shared" si="150"/>
        <v>0</v>
      </c>
      <c r="BD54" s="37">
        <f t="shared" si="150"/>
        <v>0</v>
      </c>
      <c r="BE54" s="37">
        <f t="shared" si="150"/>
        <v>0</v>
      </c>
      <c r="BF54" s="37">
        <f t="shared" si="150"/>
        <v>0</v>
      </c>
      <c r="BG54" s="37">
        <f t="shared" si="150"/>
        <v>0</v>
      </c>
      <c r="BH54" s="37">
        <f t="shared" si="150"/>
        <v>0</v>
      </c>
      <c r="BI54" s="37">
        <f t="shared" si="150"/>
        <v>100000</v>
      </c>
      <c r="BJ54" s="37">
        <f t="shared" si="150"/>
        <v>100000</v>
      </c>
      <c r="BK54" s="37">
        <f t="shared" si="150"/>
        <v>200000</v>
      </c>
      <c r="BL54" s="37">
        <f t="shared" si="150"/>
        <v>0</v>
      </c>
      <c r="BM54" s="37">
        <f t="shared" si="150"/>
        <v>0</v>
      </c>
      <c r="BN54" s="37">
        <f t="shared" si="150"/>
        <v>0</v>
      </c>
      <c r="BO54" s="37">
        <f t="shared" si="150"/>
        <v>0</v>
      </c>
      <c r="BP54" s="37">
        <f t="shared" si="150"/>
        <v>0</v>
      </c>
      <c r="BQ54" s="37">
        <f t="shared" si="150"/>
        <v>400000</v>
      </c>
      <c r="BR54" s="37">
        <f t="shared" si="150"/>
        <v>1495000</v>
      </c>
      <c r="BS54" s="37">
        <f t="shared" si="150"/>
        <v>8305250</v>
      </c>
      <c r="BT54" s="37">
        <f t="shared" si="150"/>
        <v>3839200</v>
      </c>
      <c r="BU54" s="37">
        <f t="shared" si="150"/>
        <v>3431000</v>
      </c>
      <c r="BV54" s="37">
        <f t="shared" si="150"/>
        <v>2936000</v>
      </c>
      <c r="BW54" s="144">
        <f>SUM(BW46:BW53)</f>
        <v>6916802</v>
      </c>
      <c r="BX54" s="37">
        <f t="shared" ref="BX54:BY54" si="152">SUM(BX46:BX53)</f>
        <v>7028350</v>
      </c>
      <c r="BY54" s="37">
        <f t="shared" si="152"/>
        <v>7089650</v>
      </c>
      <c r="BZ54" s="144">
        <f>SUM(BZ46:BZ53)</f>
        <v>5830650</v>
      </c>
      <c r="CA54" s="37">
        <f t="shared" si="150"/>
        <v>46871902</v>
      </c>
    </row>
    <row r="55" spans="1:79">
      <c r="A55" s="185" t="s">
        <v>19</v>
      </c>
      <c r="B55" s="8">
        <v>1</v>
      </c>
      <c r="C55" s="1" t="s">
        <v>137</v>
      </c>
      <c r="D55" s="5" t="s">
        <v>409</v>
      </c>
      <c r="E55" s="4" t="s">
        <v>19</v>
      </c>
      <c r="F55" s="4"/>
      <c r="G55" s="4"/>
      <c r="H55" s="5"/>
      <c r="I55" s="4"/>
      <c r="J55" s="4"/>
      <c r="K55" s="4"/>
      <c r="L55" s="4"/>
      <c r="M55" s="4"/>
      <c r="N55" s="4"/>
      <c r="O55" s="9">
        <f t="shared" ref="O55:O62" si="153">SUM(F55:N55)</f>
        <v>0</v>
      </c>
      <c r="P55" s="20"/>
      <c r="Q55" s="25">
        <v>992250</v>
      </c>
      <c r="R55" s="25">
        <f>546900+180000</f>
        <v>726900</v>
      </c>
      <c r="S55" s="24">
        <v>760000</v>
      </c>
      <c r="T55" s="20">
        <f>140000+210000+420000+70000</f>
        <v>840000</v>
      </c>
      <c r="U55" s="20">
        <v>1340520</v>
      </c>
      <c r="V55" s="20">
        <v>1499800</v>
      </c>
      <c r="W55" s="20">
        <v>1353150</v>
      </c>
      <c r="X55" s="174">
        <v>882700</v>
      </c>
      <c r="Y55" s="21">
        <f t="shared" ref="Y55:Y62" si="154">SUM(P55:X55)</f>
        <v>8395320</v>
      </c>
      <c r="Z55" s="25"/>
      <c r="AA55" s="20"/>
      <c r="AB55" s="20"/>
      <c r="AC55" s="20"/>
      <c r="AD55" s="20"/>
      <c r="AE55" s="20"/>
      <c r="AF55" s="21">
        <f t="shared" ref="AF55:AF62" si="155">SUM(Z55:AE55)</f>
        <v>0</v>
      </c>
      <c r="AG55" s="20"/>
      <c r="AH55" s="20"/>
      <c r="AI55" s="20"/>
      <c r="AJ55" s="20"/>
      <c r="AK55" s="20"/>
      <c r="AL55" s="20"/>
      <c r="AM55" s="20"/>
      <c r="AN55" s="20"/>
      <c r="AO55" s="20"/>
      <c r="AP55" s="9">
        <f t="shared" ref="AP55:AP62" si="156">SUM(AG55:AO55)</f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9">
        <f t="shared" ref="AZ55:AZ62" si="157">SUM(AQ55:AY55)</f>
        <v>0</v>
      </c>
      <c r="BA55" s="25"/>
      <c r="BB55" s="20"/>
      <c r="BC55" s="20"/>
      <c r="BD55" s="20"/>
      <c r="BE55" s="20"/>
      <c r="BF55" s="20"/>
      <c r="BG55" s="21">
        <f t="shared" ref="BG55:BG62" si="158">SUM(BA55:BF55)</f>
        <v>0</v>
      </c>
      <c r="BH55" s="25"/>
      <c r="BI55" s="25">
        <v>100000</v>
      </c>
      <c r="BJ55" s="25">
        <v>540000</v>
      </c>
      <c r="BK55" s="25"/>
      <c r="BL55" s="20"/>
      <c r="BM55" s="20"/>
      <c r="BN55" s="20"/>
      <c r="BO55" s="20"/>
      <c r="BP55" s="20"/>
      <c r="BQ55" s="21">
        <f t="shared" ref="BQ55:BQ62" si="159">SUM(BH55:BP55)</f>
        <v>640000</v>
      </c>
      <c r="BR55" s="4">
        <f t="shared" ref="BR55:BR62" si="160">F55+P55+AG55+AQ55+BH55</f>
        <v>0</v>
      </c>
      <c r="BS55" s="4">
        <f t="shared" ref="BS55:BS62" si="161">G55+Q55+AH55+AR55+BI55</f>
        <v>1092250</v>
      </c>
      <c r="BT55" s="4">
        <f t="shared" ref="BT55:BT62" si="162">H55+R55+AI55+AS55+BJ55</f>
        <v>1266900</v>
      </c>
      <c r="BU55" s="4">
        <f t="shared" ref="BU55:BU62" si="163">I55+S55+Z55+AJ55+AT55+BA55+BK55</f>
        <v>760000</v>
      </c>
      <c r="BV55" s="94">
        <f t="shared" ref="BV55:BV62" si="164">J55+T55+AA55+AK55+AU55+BB55+BL55</f>
        <v>840000</v>
      </c>
      <c r="BW55" s="94">
        <f t="shared" ref="BW55:BW62" si="165">K55+U55+AB55+AM55+AV55+BC55+BM55</f>
        <v>1340520</v>
      </c>
      <c r="BX55" s="94">
        <f t="shared" ref="BX55:BX62" si="166">L55+V55+AC55+AM55+AW55+BD55+BN55</f>
        <v>1499800</v>
      </c>
      <c r="BY55" s="94">
        <f t="shared" ref="BY55:BY62" si="167">M55+W55+AD55+AO55+AX55+BE55+BO55</f>
        <v>1353150</v>
      </c>
      <c r="BZ55" s="94">
        <f t="shared" ref="BZ55:BZ62" si="168">N55+X55+AE55+AO55+AY55+BF55+BP55</f>
        <v>882700</v>
      </c>
      <c r="CA55" s="9">
        <f t="shared" ref="CA55:CA62" si="169">SUM(BR55:BZ55)</f>
        <v>9035320</v>
      </c>
    </row>
    <row r="56" spans="1:79">
      <c r="A56" s="186"/>
      <c r="B56" s="8">
        <v>2</v>
      </c>
      <c r="C56" s="1" t="s">
        <v>394</v>
      </c>
      <c r="D56" s="12" t="s">
        <v>395</v>
      </c>
      <c r="E56" s="4" t="s">
        <v>19</v>
      </c>
      <c r="F56" s="4"/>
      <c r="G56" s="4"/>
      <c r="H56" s="5"/>
      <c r="I56" s="4"/>
      <c r="J56" s="4"/>
      <c r="K56" s="4"/>
      <c r="L56" s="4"/>
      <c r="M56" s="4"/>
      <c r="N56" s="4"/>
      <c r="O56" s="9">
        <f t="shared" si="153"/>
        <v>0</v>
      </c>
      <c r="P56" s="20"/>
      <c r="Q56" s="25"/>
      <c r="R56" s="25"/>
      <c r="S56" s="24"/>
      <c r="T56" s="20"/>
      <c r="U56" s="20"/>
      <c r="V56" s="20"/>
      <c r="W56" s="20"/>
      <c r="X56" s="20"/>
      <c r="Y56" s="21">
        <f t="shared" si="154"/>
        <v>0</v>
      </c>
      <c r="Z56" s="25"/>
      <c r="AA56" s="20"/>
      <c r="AB56" s="20"/>
      <c r="AC56" s="20"/>
      <c r="AD56" s="20"/>
      <c r="AE56" s="20"/>
      <c r="AF56" s="21">
        <f t="shared" si="155"/>
        <v>0</v>
      </c>
      <c r="AG56" s="20"/>
      <c r="AH56" s="20"/>
      <c r="AI56" s="20"/>
      <c r="AJ56" s="20"/>
      <c r="AK56" s="20"/>
      <c r="AL56" s="20"/>
      <c r="AM56" s="20"/>
      <c r="AN56" s="20"/>
      <c r="AO56" s="20"/>
      <c r="AP56" s="9">
        <f t="shared" si="156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9">
        <f t="shared" si="157"/>
        <v>0</v>
      </c>
      <c r="BA56" s="25"/>
      <c r="BB56" s="20"/>
      <c r="BC56" s="20"/>
      <c r="BD56" s="20"/>
      <c r="BE56" s="20"/>
      <c r="BF56" s="20"/>
      <c r="BG56" s="21">
        <f t="shared" si="158"/>
        <v>0</v>
      </c>
      <c r="BH56" s="25"/>
      <c r="BI56" s="25">
        <v>100000</v>
      </c>
      <c r="BJ56" s="25">
        <v>-100000</v>
      </c>
      <c r="BK56" s="25"/>
      <c r="BL56" s="20"/>
      <c r="BM56" s="20"/>
      <c r="BN56" s="20"/>
      <c r="BO56" s="20"/>
      <c r="BP56" s="20"/>
      <c r="BQ56" s="21">
        <f t="shared" si="159"/>
        <v>0</v>
      </c>
      <c r="BR56" s="4">
        <f t="shared" si="160"/>
        <v>0</v>
      </c>
      <c r="BS56" s="4">
        <f t="shared" si="161"/>
        <v>100000</v>
      </c>
      <c r="BT56" s="4">
        <f t="shared" si="162"/>
        <v>-100000</v>
      </c>
      <c r="BU56" s="4">
        <f t="shared" si="163"/>
        <v>0</v>
      </c>
      <c r="BV56" s="94">
        <f t="shared" si="164"/>
        <v>0</v>
      </c>
      <c r="BW56" s="94">
        <f t="shared" si="165"/>
        <v>0</v>
      </c>
      <c r="BX56" s="94">
        <f t="shared" si="166"/>
        <v>0</v>
      </c>
      <c r="BY56" s="94">
        <f t="shared" si="167"/>
        <v>0</v>
      </c>
      <c r="BZ56" s="94">
        <f t="shared" si="168"/>
        <v>0</v>
      </c>
      <c r="CA56" s="9">
        <f t="shared" si="169"/>
        <v>0</v>
      </c>
    </row>
    <row r="57" spans="1:79">
      <c r="A57" s="186"/>
      <c r="B57" s="8">
        <v>3</v>
      </c>
      <c r="C57" s="1" t="s">
        <v>59</v>
      </c>
      <c r="D57" s="12" t="s">
        <v>27</v>
      </c>
      <c r="E57" s="4" t="s">
        <v>19</v>
      </c>
      <c r="F57" s="4"/>
      <c r="G57" s="4"/>
      <c r="H57" s="4"/>
      <c r="I57" s="4"/>
      <c r="J57" s="4"/>
      <c r="K57" s="4"/>
      <c r="L57" s="4"/>
      <c r="M57" s="4"/>
      <c r="N57" s="4"/>
      <c r="O57" s="9">
        <f t="shared" si="153"/>
        <v>0</v>
      </c>
      <c r="P57" s="20"/>
      <c r="Q57" s="25">
        <v>195000</v>
      </c>
      <c r="R57" s="20">
        <v>36000</v>
      </c>
      <c r="S57" s="20">
        <v>30000</v>
      </c>
      <c r="T57" s="20"/>
      <c r="U57" s="20"/>
      <c r="V57" s="20"/>
      <c r="W57" s="20"/>
      <c r="X57" s="20"/>
      <c r="Y57" s="21">
        <f t="shared" si="154"/>
        <v>261000</v>
      </c>
      <c r="Z57" s="25"/>
      <c r="AA57" s="20"/>
      <c r="AB57" s="20"/>
      <c r="AC57" s="20"/>
      <c r="AD57" s="20"/>
      <c r="AE57" s="20"/>
      <c r="AF57" s="21">
        <f t="shared" si="155"/>
        <v>0</v>
      </c>
      <c r="AG57" s="20"/>
      <c r="AH57" s="20"/>
      <c r="AI57" s="20"/>
      <c r="AJ57" s="20"/>
      <c r="AK57" s="20"/>
      <c r="AL57" s="20"/>
      <c r="AM57" s="20"/>
      <c r="AN57" s="20"/>
      <c r="AO57" s="20"/>
      <c r="AP57" s="9">
        <f t="shared" si="156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9">
        <f t="shared" si="157"/>
        <v>0</v>
      </c>
      <c r="BA57" s="25"/>
      <c r="BB57" s="20"/>
      <c r="BC57" s="20"/>
      <c r="BD57" s="20"/>
      <c r="BE57" s="20"/>
      <c r="BF57" s="20"/>
      <c r="BG57" s="21">
        <f t="shared" si="158"/>
        <v>0</v>
      </c>
      <c r="BH57" s="25"/>
      <c r="BI57" s="25">
        <v>100000</v>
      </c>
      <c r="BJ57" s="25"/>
      <c r="BK57" s="25"/>
      <c r="BL57" s="20"/>
      <c r="BM57" s="20"/>
      <c r="BN57" s="20"/>
      <c r="BO57" s="20"/>
      <c r="BP57" s="20"/>
      <c r="BQ57" s="21">
        <f t="shared" si="159"/>
        <v>100000</v>
      </c>
      <c r="BR57" s="4">
        <f t="shared" si="160"/>
        <v>0</v>
      </c>
      <c r="BS57" s="4">
        <f t="shared" si="161"/>
        <v>295000</v>
      </c>
      <c r="BT57" s="4">
        <f t="shared" si="162"/>
        <v>36000</v>
      </c>
      <c r="BU57" s="4">
        <f t="shared" si="163"/>
        <v>30000</v>
      </c>
      <c r="BV57" s="94">
        <f t="shared" si="164"/>
        <v>0</v>
      </c>
      <c r="BW57" s="94">
        <f t="shared" si="165"/>
        <v>0</v>
      </c>
      <c r="BX57" s="94">
        <f t="shared" si="166"/>
        <v>0</v>
      </c>
      <c r="BY57" s="94">
        <f t="shared" si="167"/>
        <v>0</v>
      </c>
      <c r="BZ57" s="94">
        <f t="shared" si="168"/>
        <v>0</v>
      </c>
      <c r="CA57" s="9">
        <f t="shared" si="169"/>
        <v>361000</v>
      </c>
    </row>
    <row r="58" spans="1:79">
      <c r="A58" s="186"/>
      <c r="B58" s="8">
        <v>4</v>
      </c>
      <c r="C58" s="1" t="s">
        <v>138</v>
      </c>
      <c r="D58" s="12" t="s">
        <v>139</v>
      </c>
      <c r="E58" s="4" t="s">
        <v>19</v>
      </c>
      <c r="F58" s="4">
        <v>155000</v>
      </c>
      <c r="G58" s="4"/>
      <c r="H58" s="4">
        <f>323000+565000</f>
        <v>888000</v>
      </c>
      <c r="I58" s="4"/>
      <c r="J58" s="4"/>
      <c r="K58" s="4"/>
      <c r="L58" s="4"/>
      <c r="M58" s="4"/>
      <c r="N58" s="4"/>
      <c r="O58" s="9">
        <f t="shared" si="153"/>
        <v>1043000</v>
      </c>
      <c r="P58" s="20">
        <v>195000</v>
      </c>
      <c r="Q58" s="25">
        <v>1508350</v>
      </c>
      <c r="R58" s="25">
        <v>436500</v>
      </c>
      <c r="S58" s="24"/>
      <c r="T58" s="20"/>
      <c r="U58" s="20"/>
      <c r="V58" s="20"/>
      <c r="W58" s="20"/>
      <c r="X58" s="20"/>
      <c r="Y58" s="21">
        <f t="shared" si="154"/>
        <v>2139850</v>
      </c>
      <c r="Z58" s="25"/>
      <c r="AA58" s="20"/>
      <c r="AB58" s="20"/>
      <c r="AC58" s="20"/>
      <c r="AD58" s="20"/>
      <c r="AE58" s="20"/>
      <c r="AF58" s="21">
        <f t="shared" si="155"/>
        <v>0</v>
      </c>
      <c r="AG58" s="20">
        <v>290000</v>
      </c>
      <c r="AH58" s="22">
        <v>336000</v>
      </c>
      <c r="AI58" s="4">
        <v>2310000</v>
      </c>
      <c r="AJ58" s="22"/>
      <c r="AK58" s="22"/>
      <c r="AL58" s="22"/>
      <c r="AM58" s="22"/>
      <c r="AN58" s="22"/>
      <c r="AO58" s="22"/>
      <c r="AP58" s="9">
        <f t="shared" si="156"/>
        <v>2936000</v>
      </c>
      <c r="AQ58" s="76">
        <v>290000</v>
      </c>
      <c r="AR58" s="76">
        <v>700000</v>
      </c>
      <c r="AS58" s="76">
        <v>1890000</v>
      </c>
      <c r="AT58" s="76"/>
      <c r="AU58" s="4"/>
      <c r="AV58" s="4"/>
      <c r="AW58" s="4"/>
      <c r="AX58" s="4"/>
      <c r="AY58" s="4"/>
      <c r="AZ58" s="9">
        <f t="shared" si="157"/>
        <v>2880000</v>
      </c>
      <c r="BA58" s="25"/>
      <c r="BB58" s="20"/>
      <c r="BC58" s="20"/>
      <c r="BD58" s="20"/>
      <c r="BE58" s="20"/>
      <c r="BF58" s="22"/>
      <c r="BG58" s="21">
        <f t="shared" si="158"/>
        <v>0</v>
      </c>
      <c r="BH58" s="25"/>
      <c r="BI58" s="24">
        <v>100000</v>
      </c>
      <c r="BJ58" s="25"/>
      <c r="BK58" s="25"/>
      <c r="BL58" s="20"/>
      <c r="BM58" s="20"/>
      <c r="BN58" s="20"/>
      <c r="BO58" s="20"/>
      <c r="BP58" s="20"/>
      <c r="BQ58" s="21">
        <f t="shared" si="159"/>
        <v>100000</v>
      </c>
      <c r="BR58" s="4">
        <f t="shared" si="160"/>
        <v>930000</v>
      </c>
      <c r="BS58" s="4">
        <f t="shared" si="161"/>
        <v>2644350</v>
      </c>
      <c r="BT58" s="4">
        <f t="shared" si="162"/>
        <v>5524500</v>
      </c>
      <c r="BU58" s="4">
        <f t="shared" si="163"/>
        <v>0</v>
      </c>
      <c r="BV58" s="94">
        <f t="shared" si="164"/>
        <v>0</v>
      </c>
      <c r="BW58" s="94">
        <f t="shared" si="165"/>
        <v>0</v>
      </c>
      <c r="BX58" s="94">
        <f t="shared" si="166"/>
        <v>0</v>
      </c>
      <c r="BY58" s="94">
        <f t="shared" si="167"/>
        <v>0</v>
      </c>
      <c r="BZ58" s="94">
        <f t="shared" si="168"/>
        <v>0</v>
      </c>
      <c r="CA58" s="9">
        <f t="shared" si="169"/>
        <v>9098850</v>
      </c>
    </row>
    <row r="59" spans="1:79">
      <c r="A59" s="186"/>
      <c r="B59" s="8">
        <v>5</v>
      </c>
      <c r="C59" s="1" t="s">
        <v>140</v>
      </c>
      <c r="D59" s="12" t="s">
        <v>141</v>
      </c>
      <c r="E59" s="4" t="s">
        <v>19</v>
      </c>
      <c r="F59" s="4"/>
      <c r="G59" s="4">
        <v>200000</v>
      </c>
      <c r="H59" s="4">
        <f>5500+11000</f>
        <v>16500</v>
      </c>
      <c r="I59" s="4"/>
      <c r="J59" s="4"/>
      <c r="K59" s="4"/>
      <c r="L59" s="4"/>
      <c r="M59" s="4"/>
      <c r="N59" s="4"/>
      <c r="O59" s="9">
        <f t="shared" si="153"/>
        <v>216500</v>
      </c>
      <c r="P59" s="20"/>
      <c r="Q59" s="25">
        <v>410250</v>
      </c>
      <c r="R59" s="25">
        <v>95900</v>
      </c>
      <c r="S59" s="24">
        <v>76000</v>
      </c>
      <c r="T59" s="20"/>
      <c r="U59" s="20"/>
      <c r="V59" s="20"/>
      <c r="W59" s="20"/>
      <c r="X59" s="20"/>
      <c r="Y59" s="21">
        <f t="shared" si="154"/>
        <v>582150</v>
      </c>
      <c r="Z59" s="25"/>
      <c r="AA59" s="20"/>
      <c r="AB59" s="20"/>
      <c r="AC59" s="20"/>
      <c r="AD59" s="20"/>
      <c r="AE59" s="20"/>
      <c r="AF59" s="21">
        <f t="shared" si="155"/>
        <v>0</v>
      </c>
      <c r="AG59" s="20"/>
      <c r="AH59" s="20"/>
      <c r="AI59" s="4"/>
      <c r="AJ59" s="20"/>
      <c r="AK59" s="20"/>
      <c r="AL59" s="20"/>
      <c r="AM59" s="20"/>
      <c r="AN59" s="20"/>
      <c r="AO59" s="20"/>
      <c r="AP59" s="9">
        <f t="shared" si="156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9">
        <f t="shared" si="157"/>
        <v>0</v>
      </c>
      <c r="BA59" s="25"/>
      <c r="BB59" s="20"/>
      <c r="BC59" s="20"/>
      <c r="BD59" s="20"/>
      <c r="BE59" s="20"/>
      <c r="BF59" s="20"/>
      <c r="BG59" s="21">
        <f t="shared" si="158"/>
        <v>0</v>
      </c>
      <c r="BH59" s="25"/>
      <c r="BI59" s="24">
        <v>100000</v>
      </c>
      <c r="BJ59" s="25">
        <v>230000</v>
      </c>
      <c r="BK59" s="25"/>
      <c r="BL59" s="20"/>
      <c r="BM59" s="20"/>
      <c r="BN59" s="20"/>
      <c r="BO59" s="20"/>
      <c r="BP59" s="20"/>
      <c r="BQ59" s="21">
        <f t="shared" si="159"/>
        <v>330000</v>
      </c>
      <c r="BR59" s="4">
        <f t="shared" si="160"/>
        <v>0</v>
      </c>
      <c r="BS59" s="4">
        <f t="shared" si="161"/>
        <v>710250</v>
      </c>
      <c r="BT59" s="4">
        <f t="shared" si="162"/>
        <v>342400</v>
      </c>
      <c r="BU59" s="4">
        <f t="shared" si="163"/>
        <v>76000</v>
      </c>
      <c r="BV59" s="94">
        <f t="shared" si="164"/>
        <v>0</v>
      </c>
      <c r="BW59" s="94">
        <f t="shared" si="165"/>
        <v>0</v>
      </c>
      <c r="BX59" s="94">
        <f t="shared" si="166"/>
        <v>0</v>
      </c>
      <c r="BY59" s="94">
        <f t="shared" si="167"/>
        <v>0</v>
      </c>
      <c r="BZ59" s="94">
        <f t="shared" si="168"/>
        <v>0</v>
      </c>
      <c r="CA59" s="9">
        <f t="shared" si="169"/>
        <v>1128650</v>
      </c>
    </row>
    <row r="60" spans="1:79">
      <c r="A60" s="186"/>
      <c r="B60" s="8">
        <v>6</v>
      </c>
      <c r="C60" s="1" t="s">
        <v>142</v>
      </c>
      <c r="D60" s="5" t="s">
        <v>410</v>
      </c>
      <c r="E60" s="4" t="s">
        <v>19</v>
      </c>
      <c r="F60" s="4"/>
      <c r="G60" s="4"/>
      <c r="H60" s="4"/>
      <c r="I60" s="4"/>
      <c r="J60" s="4"/>
      <c r="K60" s="4"/>
      <c r="L60" s="4"/>
      <c r="M60" s="4"/>
      <c r="N60" s="4"/>
      <c r="O60" s="9">
        <f t="shared" si="153"/>
        <v>0</v>
      </c>
      <c r="P60" s="20"/>
      <c r="Q60" s="25">
        <v>592700</v>
      </c>
      <c r="R60" s="25">
        <v>254000</v>
      </c>
      <c r="S60" s="24">
        <v>1010000</v>
      </c>
      <c r="T60" s="20">
        <f>70000+210000+210000+210000+140000</f>
        <v>840000</v>
      </c>
      <c r="U60" s="20">
        <v>988000</v>
      </c>
      <c r="V60" s="20">
        <v>1929600</v>
      </c>
      <c r="W60" s="20">
        <v>1387100</v>
      </c>
      <c r="X60" s="174">
        <v>921500</v>
      </c>
      <c r="Y60" s="21">
        <f t="shared" si="154"/>
        <v>7922900</v>
      </c>
      <c r="Z60" s="25"/>
      <c r="AA60" s="20"/>
      <c r="AB60" s="20"/>
      <c r="AC60" s="20"/>
      <c r="AD60" s="20"/>
      <c r="AE60" s="20"/>
      <c r="AF60" s="21">
        <f t="shared" si="155"/>
        <v>0</v>
      </c>
      <c r="AG60" s="20"/>
      <c r="AH60" s="20"/>
      <c r="AI60" s="4"/>
      <c r="AJ60" s="20"/>
      <c r="AK60" s="20"/>
      <c r="AL60" s="20"/>
      <c r="AM60" s="20"/>
      <c r="AN60" s="20"/>
      <c r="AO60" s="20"/>
      <c r="AP60" s="9">
        <f t="shared" si="156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9">
        <f t="shared" si="157"/>
        <v>0</v>
      </c>
      <c r="BA60" s="25"/>
      <c r="BB60" s="20"/>
      <c r="BC60" s="20"/>
      <c r="BD60" s="20"/>
      <c r="BE60" s="20"/>
      <c r="BF60" s="20"/>
      <c r="BG60" s="21">
        <f t="shared" si="158"/>
        <v>0</v>
      </c>
      <c r="BH60" s="25"/>
      <c r="BI60" s="24"/>
      <c r="BJ60" s="25"/>
      <c r="BK60" s="25"/>
      <c r="BL60" s="20"/>
      <c r="BM60" s="20"/>
      <c r="BN60" s="20"/>
      <c r="BO60" s="20"/>
      <c r="BP60" s="20"/>
      <c r="BQ60" s="21">
        <f t="shared" si="159"/>
        <v>0</v>
      </c>
      <c r="BR60" s="4">
        <f t="shared" si="160"/>
        <v>0</v>
      </c>
      <c r="BS60" s="4">
        <f t="shared" si="161"/>
        <v>592700</v>
      </c>
      <c r="BT60" s="4">
        <f t="shared" si="162"/>
        <v>254000</v>
      </c>
      <c r="BU60" s="4">
        <f t="shared" si="163"/>
        <v>1010000</v>
      </c>
      <c r="BV60" s="94">
        <f t="shared" si="164"/>
        <v>840000</v>
      </c>
      <c r="BW60" s="94">
        <f t="shared" si="165"/>
        <v>988000</v>
      </c>
      <c r="BX60" s="94">
        <f t="shared" si="166"/>
        <v>1929600</v>
      </c>
      <c r="BY60" s="94">
        <f t="shared" si="167"/>
        <v>1387100</v>
      </c>
      <c r="BZ60" s="94">
        <f t="shared" si="168"/>
        <v>921500</v>
      </c>
      <c r="CA60" s="9">
        <f t="shared" si="169"/>
        <v>7922900</v>
      </c>
    </row>
    <row r="61" spans="1:79">
      <c r="A61" s="186"/>
      <c r="B61" s="8">
        <v>7</v>
      </c>
      <c r="C61" s="1" t="s">
        <v>143</v>
      </c>
      <c r="D61" s="12" t="s">
        <v>144</v>
      </c>
      <c r="E61" s="4" t="s">
        <v>19</v>
      </c>
      <c r="F61" s="4"/>
      <c r="G61" s="4">
        <v>155000</v>
      </c>
      <c r="H61" s="4"/>
      <c r="I61" s="4">
        <v>705500</v>
      </c>
      <c r="J61" s="4">
        <f>73500+35000+101500+94500+94500+63000</f>
        <v>462000</v>
      </c>
      <c r="K61" s="4">
        <f>595500+150500+75000</f>
        <v>821000</v>
      </c>
      <c r="L61" s="4">
        <v>831260</v>
      </c>
      <c r="M61" s="4">
        <v>550000</v>
      </c>
      <c r="N61" s="94">
        <v>302500</v>
      </c>
      <c r="O61" s="9">
        <f t="shared" si="153"/>
        <v>3827260</v>
      </c>
      <c r="P61" s="20"/>
      <c r="Q61" s="20"/>
      <c r="R61" s="20"/>
      <c r="S61" s="20"/>
      <c r="T61" s="20"/>
      <c r="U61" s="20"/>
      <c r="V61" s="20"/>
      <c r="W61" s="20"/>
      <c r="X61" s="20"/>
      <c r="Y61" s="21">
        <f t="shared" si="154"/>
        <v>0</v>
      </c>
      <c r="Z61" s="25"/>
      <c r="AA61" s="20"/>
      <c r="AB61" s="20"/>
      <c r="AC61" s="20"/>
      <c r="AD61" s="20"/>
      <c r="AE61" s="20"/>
      <c r="AF61" s="21">
        <f t="shared" si="155"/>
        <v>0</v>
      </c>
      <c r="AG61" s="20"/>
      <c r="AH61" s="20"/>
      <c r="AI61" s="4"/>
      <c r="AJ61" s="20"/>
      <c r="AK61" s="20"/>
      <c r="AL61" s="20"/>
      <c r="AM61" s="20"/>
      <c r="AN61" s="20"/>
      <c r="AO61" s="20"/>
      <c r="AP61" s="9">
        <f t="shared" si="156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9">
        <f t="shared" si="157"/>
        <v>0</v>
      </c>
      <c r="BA61" s="25"/>
      <c r="BB61" s="20"/>
      <c r="BC61" s="20"/>
      <c r="BD61" s="20"/>
      <c r="BE61" s="20"/>
      <c r="BF61" s="20"/>
      <c r="BG61" s="21">
        <f t="shared" si="158"/>
        <v>0</v>
      </c>
      <c r="BH61" s="25"/>
      <c r="BI61" s="24"/>
      <c r="BJ61" s="25">
        <v>348400</v>
      </c>
      <c r="BK61" s="25"/>
      <c r="BL61" s="20"/>
      <c r="BM61" s="20"/>
      <c r="BN61" s="20"/>
      <c r="BO61" s="20"/>
      <c r="BP61" s="20"/>
      <c r="BQ61" s="21">
        <f t="shared" si="159"/>
        <v>348400</v>
      </c>
      <c r="BR61" s="4">
        <f t="shared" si="160"/>
        <v>0</v>
      </c>
      <c r="BS61" s="4">
        <f t="shared" si="161"/>
        <v>155000</v>
      </c>
      <c r="BT61" s="4">
        <f t="shared" si="162"/>
        <v>348400</v>
      </c>
      <c r="BU61" s="4">
        <f t="shared" si="163"/>
        <v>705500</v>
      </c>
      <c r="BV61" s="94">
        <f t="shared" si="164"/>
        <v>462000</v>
      </c>
      <c r="BW61" s="94">
        <f t="shared" si="165"/>
        <v>821000</v>
      </c>
      <c r="BX61" s="94">
        <f t="shared" si="166"/>
        <v>831260</v>
      </c>
      <c r="BY61" s="94">
        <f t="shared" si="167"/>
        <v>550000</v>
      </c>
      <c r="BZ61" s="94">
        <f t="shared" si="168"/>
        <v>302500</v>
      </c>
      <c r="CA61" s="9">
        <f t="shared" si="169"/>
        <v>4175660</v>
      </c>
    </row>
    <row r="62" spans="1:79" ht="47.25">
      <c r="A62" s="187"/>
      <c r="B62" s="8">
        <v>8</v>
      </c>
      <c r="C62" s="1" t="s">
        <v>145</v>
      </c>
      <c r="D62" s="12" t="s">
        <v>146</v>
      </c>
      <c r="E62" s="4" t="s">
        <v>19</v>
      </c>
      <c r="F62" s="4"/>
      <c r="G62" s="4"/>
      <c r="H62" s="4">
        <v>155000</v>
      </c>
      <c r="I62" s="4"/>
      <c r="J62" s="4"/>
      <c r="K62" s="4"/>
      <c r="L62" s="4"/>
      <c r="M62" s="4"/>
      <c r="N62" s="4"/>
      <c r="O62" s="9">
        <f t="shared" si="153"/>
        <v>155000</v>
      </c>
      <c r="P62" s="20"/>
      <c r="Q62" s="25">
        <v>386400</v>
      </c>
      <c r="R62" s="25">
        <v>67900</v>
      </c>
      <c r="S62" s="25"/>
      <c r="T62" s="20"/>
      <c r="U62" s="20"/>
      <c r="V62" s="20"/>
      <c r="W62" s="20"/>
      <c r="X62" s="20"/>
      <c r="Y62" s="21">
        <f t="shared" si="154"/>
        <v>454300</v>
      </c>
      <c r="Z62" s="25"/>
      <c r="AA62" s="20"/>
      <c r="AB62" s="20"/>
      <c r="AC62" s="20"/>
      <c r="AD62" s="20"/>
      <c r="AE62" s="20"/>
      <c r="AF62" s="21">
        <f t="shared" si="155"/>
        <v>0</v>
      </c>
      <c r="AG62" s="20"/>
      <c r="AH62" s="20"/>
      <c r="AI62" s="4">
        <v>290000</v>
      </c>
      <c r="AJ62" s="23"/>
      <c r="AK62" s="23"/>
      <c r="AL62" s="23"/>
      <c r="AM62" s="23"/>
      <c r="AN62" s="23"/>
      <c r="AO62" s="23"/>
      <c r="AP62" s="9">
        <f t="shared" si="156"/>
        <v>290000</v>
      </c>
      <c r="AQ62" s="4"/>
      <c r="AR62" s="4"/>
      <c r="AS62" s="4"/>
      <c r="AT62" s="4"/>
      <c r="AU62" s="4"/>
      <c r="AV62" s="4"/>
      <c r="AW62" s="4"/>
      <c r="AX62" s="4"/>
      <c r="AY62" s="4"/>
      <c r="AZ62" s="9">
        <f t="shared" si="157"/>
        <v>0</v>
      </c>
      <c r="BA62" s="25"/>
      <c r="BB62" s="20"/>
      <c r="BC62" s="20"/>
      <c r="BD62" s="20"/>
      <c r="BE62" s="20"/>
      <c r="BF62" s="23"/>
      <c r="BG62" s="21">
        <f t="shared" si="158"/>
        <v>0</v>
      </c>
      <c r="BH62" s="25"/>
      <c r="BI62" s="25"/>
      <c r="BJ62" s="25"/>
      <c r="BK62" s="25"/>
      <c r="BL62" s="20"/>
      <c r="BM62" s="20"/>
      <c r="BN62" s="20"/>
      <c r="BO62" s="20"/>
      <c r="BP62" s="20"/>
      <c r="BQ62" s="21">
        <f t="shared" si="159"/>
        <v>0</v>
      </c>
      <c r="BR62" s="4">
        <f t="shared" si="160"/>
        <v>0</v>
      </c>
      <c r="BS62" s="4">
        <f t="shared" si="161"/>
        <v>386400</v>
      </c>
      <c r="BT62" s="4">
        <f t="shared" si="162"/>
        <v>512900</v>
      </c>
      <c r="BU62" s="4">
        <f t="shared" si="163"/>
        <v>0</v>
      </c>
      <c r="BV62" s="94">
        <f t="shared" si="164"/>
        <v>0</v>
      </c>
      <c r="BW62" s="94">
        <f t="shared" si="165"/>
        <v>0</v>
      </c>
      <c r="BX62" s="94">
        <f t="shared" si="166"/>
        <v>0</v>
      </c>
      <c r="BY62" s="94">
        <f t="shared" si="167"/>
        <v>0</v>
      </c>
      <c r="BZ62" s="94">
        <f t="shared" si="168"/>
        <v>0</v>
      </c>
      <c r="CA62" s="9">
        <f t="shared" si="169"/>
        <v>899300</v>
      </c>
    </row>
    <row r="63" spans="1:79" s="38" customFormat="1">
      <c r="A63" s="34"/>
      <c r="B63" s="34"/>
      <c r="C63" s="35" t="s">
        <v>147</v>
      </c>
      <c r="D63" s="37"/>
      <c r="E63" s="37"/>
      <c r="F63" s="37">
        <f>SUM(F55:F62)</f>
        <v>155000</v>
      </c>
      <c r="G63" s="37">
        <f t="shared" ref="G63:CA63" si="170">SUM(G55:G62)</f>
        <v>355000</v>
      </c>
      <c r="H63" s="37">
        <f t="shared" si="170"/>
        <v>1059500</v>
      </c>
      <c r="I63" s="37">
        <f t="shared" si="170"/>
        <v>705500</v>
      </c>
      <c r="J63" s="37">
        <f t="shared" si="170"/>
        <v>462000</v>
      </c>
      <c r="K63" s="37">
        <f t="shared" si="170"/>
        <v>821000</v>
      </c>
      <c r="L63" s="37">
        <f t="shared" si="170"/>
        <v>831260</v>
      </c>
      <c r="M63" s="37">
        <f t="shared" si="170"/>
        <v>550000</v>
      </c>
      <c r="N63" s="37">
        <f t="shared" si="170"/>
        <v>302500</v>
      </c>
      <c r="O63" s="37">
        <f t="shared" si="170"/>
        <v>5241760</v>
      </c>
      <c r="P63" s="37">
        <f t="shared" ref="P63:AP63" si="171">SUM(P55:P62)</f>
        <v>195000</v>
      </c>
      <c r="Q63" s="37">
        <f t="shared" si="171"/>
        <v>4084950</v>
      </c>
      <c r="R63" s="37">
        <f t="shared" si="171"/>
        <v>1617200</v>
      </c>
      <c r="S63" s="37">
        <f t="shared" si="171"/>
        <v>1876000</v>
      </c>
      <c r="T63" s="37">
        <f t="shared" si="171"/>
        <v>1680000</v>
      </c>
      <c r="U63" s="37">
        <f t="shared" si="171"/>
        <v>2328520</v>
      </c>
      <c r="V63" s="37">
        <f t="shared" si="171"/>
        <v>3429400</v>
      </c>
      <c r="W63" s="37">
        <f t="shared" si="171"/>
        <v>2740250</v>
      </c>
      <c r="X63" s="37">
        <f t="shared" si="171"/>
        <v>1804200</v>
      </c>
      <c r="Y63" s="37">
        <f t="shared" si="171"/>
        <v>19755520</v>
      </c>
      <c r="Z63" s="37">
        <f t="shared" si="171"/>
        <v>0</v>
      </c>
      <c r="AA63" s="37">
        <f t="shared" si="171"/>
        <v>0</v>
      </c>
      <c r="AB63" s="37">
        <f t="shared" si="171"/>
        <v>0</v>
      </c>
      <c r="AC63" s="37">
        <f t="shared" si="171"/>
        <v>0</v>
      </c>
      <c r="AD63" s="37">
        <f t="shared" si="171"/>
        <v>0</v>
      </c>
      <c r="AE63" s="37">
        <f t="shared" si="171"/>
        <v>0</v>
      </c>
      <c r="AF63" s="37">
        <f t="shared" si="171"/>
        <v>0</v>
      </c>
      <c r="AG63" s="37">
        <f t="shared" si="171"/>
        <v>290000</v>
      </c>
      <c r="AH63" s="37">
        <f t="shared" si="171"/>
        <v>336000</v>
      </c>
      <c r="AI63" s="37">
        <f t="shared" si="171"/>
        <v>2600000</v>
      </c>
      <c r="AJ63" s="37">
        <f t="shared" si="171"/>
        <v>0</v>
      </c>
      <c r="AK63" s="37">
        <f t="shared" si="171"/>
        <v>0</v>
      </c>
      <c r="AL63" s="37">
        <f t="shared" si="171"/>
        <v>0</v>
      </c>
      <c r="AM63" s="37">
        <f t="shared" si="171"/>
        <v>0</v>
      </c>
      <c r="AN63" s="37">
        <f t="shared" si="171"/>
        <v>0</v>
      </c>
      <c r="AO63" s="37">
        <f t="shared" si="171"/>
        <v>0</v>
      </c>
      <c r="AP63" s="37">
        <f t="shared" si="171"/>
        <v>3226000</v>
      </c>
      <c r="AQ63" s="37">
        <f t="shared" si="170"/>
        <v>290000</v>
      </c>
      <c r="AR63" s="37">
        <f t="shared" si="170"/>
        <v>700000</v>
      </c>
      <c r="AS63" s="37">
        <f t="shared" si="170"/>
        <v>1890000</v>
      </c>
      <c r="AT63" s="37">
        <f t="shared" si="170"/>
        <v>0</v>
      </c>
      <c r="AU63" s="37">
        <f t="shared" si="170"/>
        <v>0</v>
      </c>
      <c r="AV63" s="37">
        <f t="shared" si="170"/>
        <v>0</v>
      </c>
      <c r="AW63" s="37">
        <f t="shared" si="170"/>
        <v>0</v>
      </c>
      <c r="AX63" s="37">
        <f t="shared" si="170"/>
        <v>0</v>
      </c>
      <c r="AY63" s="37">
        <f t="shared" si="170"/>
        <v>0</v>
      </c>
      <c r="AZ63" s="37">
        <f t="shared" si="170"/>
        <v>2880000</v>
      </c>
      <c r="BA63" s="37">
        <f t="shared" si="170"/>
        <v>0</v>
      </c>
      <c r="BB63" s="37">
        <f t="shared" si="170"/>
        <v>0</v>
      </c>
      <c r="BC63" s="37">
        <f t="shared" si="170"/>
        <v>0</v>
      </c>
      <c r="BD63" s="37">
        <f t="shared" si="170"/>
        <v>0</v>
      </c>
      <c r="BE63" s="37">
        <f t="shared" si="170"/>
        <v>0</v>
      </c>
      <c r="BF63" s="37">
        <f t="shared" si="170"/>
        <v>0</v>
      </c>
      <c r="BG63" s="37">
        <f t="shared" si="170"/>
        <v>0</v>
      </c>
      <c r="BH63" s="37">
        <f t="shared" si="170"/>
        <v>0</v>
      </c>
      <c r="BI63" s="37">
        <f t="shared" si="170"/>
        <v>500000</v>
      </c>
      <c r="BJ63" s="37">
        <f t="shared" si="170"/>
        <v>1018400</v>
      </c>
      <c r="BK63" s="37">
        <f t="shared" si="170"/>
        <v>0</v>
      </c>
      <c r="BL63" s="37">
        <f t="shared" si="170"/>
        <v>0</v>
      </c>
      <c r="BM63" s="37">
        <f t="shared" si="170"/>
        <v>0</v>
      </c>
      <c r="BN63" s="37">
        <f t="shared" si="170"/>
        <v>0</v>
      </c>
      <c r="BO63" s="37">
        <f t="shared" si="170"/>
        <v>0</v>
      </c>
      <c r="BP63" s="37">
        <f t="shared" si="170"/>
        <v>0</v>
      </c>
      <c r="BQ63" s="37">
        <f t="shared" si="170"/>
        <v>1518400</v>
      </c>
      <c r="BR63" s="37">
        <f t="shared" si="170"/>
        <v>930000</v>
      </c>
      <c r="BS63" s="37">
        <f t="shared" si="170"/>
        <v>5975950</v>
      </c>
      <c r="BT63" s="37">
        <f t="shared" si="170"/>
        <v>8185100</v>
      </c>
      <c r="BU63" s="37">
        <f t="shared" si="170"/>
        <v>2581500</v>
      </c>
      <c r="BV63" s="37">
        <f t="shared" si="170"/>
        <v>2142000</v>
      </c>
      <c r="BW63" s="144">
        <f>SUM(BW55:BW62)</f>
        <v>3149520</v>
      </c>
      <c r="BX63" s="37">
        <f t="shared" ref="BX63:BY63" si="172">SUM(BX55:BX62)</f>
        <v>4260660</v>
      </c>
      <c r="BY63" s="37">
        <f t="shared" si="172"/>
        <v>3290250</v>
      </c>
      <c r="BZ63" s="144">
        <f>SUM(BZ55:BZ62)</f>
        <v>2106700</v>
      </c>
      <c r="CA63" s="37">
        <f t="shared" si="170"/>
        <v>32621680</v>
      </c>
    </row>
    <row r="64" spans="1:79">
      <c r="A64" s="185" t="s">
        <v>148</v>
      </c>
      <c r="B64" s="8">
        <v>1</v>
      </c>
      <c r="C64" s="1" t="s">
        <v>149</v>
      </c>
      <c r="D64" s="4" t="s">
        <v>150</v>
      </c>
      <c r="E64" s="4" t="s">
        <v>148</v>
      </c>
      <c r="F64" s="4"/>
      <c r="G64" s="4">
        <v>155000</v>
      </c>
      <c r="H64" s="4"/>
      <c r="I64" s="4"/>
      <c r="J64" s="4">
        <v>-155000</v>
      </c>
      <c r="K64" s="4"/>
      <c r="L64" s="4"/>
      <c r="M64" s="4"/>
      <c r="N64" s="4"/>
      <c r="O64" s="9">
        <f t="shared" ref="O64:O67" si="173">SUM(F64:N64)</f>
        <v>0</v>
      </c>
      <c r="P64" s="20"/>
      <c r="Q64" s="20">
        <v>195000</v>
      </c>
      <c r="R64" s="20"/>
      <c r="S64" s="20"/>
      <c r="T64" s="20">
        <v>-195000</v>
      </c>
      <c r="U64" s="20"/>
      <c r="V64" s="20"/>
      <c r="W64" s="20"/>
      <c r="X64" s="20"/>
      <c r="Y64" s="21">
        <f t="shared" ref="Y64:Y67" si="174">SUM(P64:X64)</f>
        <v>0</v>
      </c>
      <c r="Z64" s="25">
        <v>0</v>
      </c>
      <c r="AA64" s="20"/>
      <c r="AB64" s="20"/>
      <c r="AC64" s="20"/>
      <c r="AD64" s="20"/>
      <c r="AE64" s="20"/>
      <c r="AF64" s="21">
        <f t="shared" ref="AF64:AF67" si="175">SUM(Z64:AE64)</f>
        <v>0</v>
      </c>
      <c r="AG64" s="20"/>
      <c r="AH64" s="20"/>
      <c r="AI64" s="20"/>
      <c r="AJ64" s="20"/>
      <c r="AK64" s="20"/>
      <c r="AL64" s="20"/>
      <c r="AM64" s="20"/>
      <c r="AN64" s="20"/>
      <c r="AO64" s="20"/>
      <c r="AP64" s="9">
        <f t="shared" ref="AP64:AP67" si="176">SUM(AG64:AO64)</f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9">
        <f t="shared" ref="AZ64:AZ67" si="177">SUM(AQ64:AY64)</f>
        <v>0</v>
      </c>
      <c r="BA64" s="25"/>
      <c r="BB64" s="20"/>
      <c r="BC64" s="20"/>
      <c r="BD64" s="20"/>
      <c r="BE64" s="20"/>
      <c r="BF64" s="20"/>
      <c r="BG64" s="21">
        <f t="shared" ref="BG64:BG67" si="178">SUM(BA64:BF64)</f>
        <v>0</v>
      </c>
      <c r="BH64" s="25"/>
      <c r="BI64" s="25"/>
      <c r="BJ64" s="25"/>
      <c r="BK64" s="25"/>
      <c r="BL64" s="20"/>
      <c r="BM64" s="20"/>
      <c r="BN64" s="20"/>
      <c r="BO64" s="20"/>
      <c r="BP64" s="20"/>
      <c r="BQ64" s="21">
        <f t="shared" ref="BQ64:BQ67" si="179">SUM(BH64:BP64)</f>
        <v>0</v>
      </c>
      <c r="BR64" s="4">
        <f t="shared" ref="BR64:BR67" si="180">F64+P64+AG64+AQ64+BH64</f>
        <v>0</v>
      </c>
      <c r="BS64" s="4">
        <f t="shared" ref="BS64:BS67" si="181">G64+Q64+AH64+AR64+BI64</f>
        <v>350000</v>
      </c>
      <c r="BT64" s="4">
        <f t="shared" ref="BT64:BT67" si="182">H64+R64+AI64+AS64+BJ64</f>
        <v>0</v>
      </c>
      <c r="BU64" s="4">
        <f t="shared" ref="BU64:BU67" si="183">I64+S64+Z64+AJ64+AT64+BA64+BK64</f>
        <v>0</v>
      </c>
      <c r="BV64" s="94">
        <f t="shared" ref="BV64:BV67" si="184">J64+T64+AA64+AK64+AU64+BB64+BL64</f>
        <v>-350000</v>
      </c>
      <c r="BW64" s="94">
        <f t="shared" ref="BW64:BW67" si="185">K64+U64+AB64+AM64+AV64+BC64+BM64</f>
        <v>0</v>
      </c>
      <c r="BX64" s="94">
        <f t="shared" ref="BX64:BX67" si="186">L64+V64+AC64+AM64+AW64+BD64+BN64</f>
        <v>0</v>
      </c>
      <c r="BY64" s="94">
        <f t="shared" ref="BY64:BY67" si="187">M64+W64+AD64+AO64+AX64+BE64+BO64</f>
        <v>0</v>
      </c>
      <c r="BZ64" s="94">
        <f t="shared" ref="BZ64:BZ67" si="188">N64+X64+AE64+AO64+AY64+BF64+BP64</f>
        <v>0</v>
      </c>
      <c r="CA64" s="9">
        <f t="shared" ref="CA64:CA67" si="189">SUM(BR64:BZ64)</f>
        <v>0</v>
      </c>
    </row>
    <row r="65" spans="1:79">
      <c r="A65" s="186"/>
      <c r="B65" s="8">
        <v>2</v>
      </c>
      <c r="C65" s="1" t="s">
        <v>151</v>
      </c>
      <c r="D65" s="4" t="s">
        <v>152</v>
      </c>
      <c r="E65" s="4" t="s">
        <v>148</v>
      </c>
      <c r="F65" s="4">
        <v>155000</v>
      </c>
      <c r="G65" s="4">
        <v>153000</v>
      </c>
      <c r="H65" s="4">
        <v>187500</v>
      </c>
      <c r="I65" s="4">
        <v>8000</v>
      </c>
      <c r="J65" s="4"/>
      <c r="K65" s="4"/>
      <c r="L65" s="4"/>
      <c r="M65" s="4"/>
      <c r="N65" s="4"/>
      <c r="O65" s="9">
        <f t="shared" si="173"/>
        <v>503500</v>
      </c>
      <c r="P65" s="20">
        <v>195000</v>
      </c>
      <c r="Q65" s="25">
        <v>295650</v>
      </c>
      <c r="R65" s="25">
        <v>223100</v>
      </c>
      <c r="S65" s="24">
        <v>170000</v>
      </c>
      <c r="T65" s="20"/>
      <c r="U65" s="20"/>
      <c r="V65" s="20"/>
      <c r="W65" s="20"/>
      <c r="X65" s="20"/>
      <c r="Y65" s="21">
        <f t="shared" si="174"/>
        <v>883750</v>
      </c>
      <c r="Z65" s="25">
        <v>380000</v>
      </c>
      <c r="AA65" s="20">
        <f>34000+102000+105000+105000+70000</f>
        <v>416000</v>
      </c>
      <c r="AB65" s="20">
        <f>481600+112400+56200</f>
        <v>650200</v>
      </c>
      <c r="AC65" s="20">
        <v>681200</v>
      </c>
      <c r="AD65" s="20">
        <v>650100</v>
      </c>
      <c r="AE65" s="175">
        <v>176800</v>
      </c>
      <c r="AF65" s="21">
        <f t="shared" si="175"/>
        <v>2954300</v>
      </c>
      <c r="AG65" s="20"/>
      <c r="AH65" s="20"/>
      <c r="AI65" s="20"/>
      <c r="AJ65" s="20"/>
      <c r="AK65" s="20"/>
      <c r="AL65" s="20"/>
      <c r="AM65" s="20"/>
      <c r="AN65" s="20"/>
      <c r="AO65" s="20"/>
      <c r="AP65" s="9">
        <f t="shared" si="176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9">
        <f t="shared" si="177"/>
        <v>0</v>
      </c>
      <c r="BA65" s="25"/>
      <c r="BB65" s="20"/>
      <c r="BC65" s="20"/>
      <c r="BD65" s="20"/>
      <c r="BE65" s="20"/>
      <c r="BF65" s="20"/>
      <c r="BG65" s="21">
        <f t="shared" si="178"/>
        <v>0</v>
      </c>
      <c r="BH65" s="25"/>
      <c r="BI65" s="24">
        <v>100000</v>
      </c>
      <c r="BJ65" s="25">
        <v>230000</v>
      </c>
      <c r="BK65" s="25"/>
      <c r="BL65" s="20"/>
      <c r="BM65" s="20"/>
      <c r="BN65" s="20"/>
      <c r="BO65" s="20"/>
      <c r="BP65" s="20"/>
      <c r="BQ65" s="21">
        <f t="shared" si="179"/>
        <v>330000</v>
      </c>
      <c r="BR65" s="4">
        <f t="shared" si="180"/>
        <v>350000</v>
      </c>
      <c r="BS65" s="4">
        <f t="shared" si="181"/>
        <v>548650</v>
      </c>
      <c r="BT65" s="4">
        <f t="shared" si="182"/>
        <v>640600</v>
      </c>
      <c r="BU65" s="4">
        <f t="shared" si="183"/>
        <v>558000</v>
      </c>
      <c r="BV65" s="94">
        <f t="shared" si="184"/>
        <v>416000</v>
      </c>
      <c r="BW65" s="94">
        <f t="shared" si="185"/>
        <v>650200</v>
      </c>
      <c r="BX65" s="94">
        <f t="shared" si="186"/>
        <v>681200</v>
      </c>
      <c r="BY65" s="94">
        <f t="shared" si="187"/>
        <v>650100</v>
      </c>
      <c r="BZ65" s="94">
        <f t="shared" si="188"/>
        <v>176800</v>
      </c>
      <c r="CA65" s="9">
        <f t="shared" si="189"/>
        <v>4671550</v>
      </c>
    </row>
    <row r="66" spans="1:79">
      <c r="A66" s="186"/>
      <c r="B66" s="8">
        <v>3</v>
      </c>
      <c r="C66" s="1" t="s">
        <v>154</v>
      </c>
      <c r="D66" s="4" t="s">
        <v>155</v>
      </c>
      <c r="E66" s="4" t="s">
        <v>148</v>
      </c>
      <c r="F66" s="4">
        <v>155000</v>
      </c>
      <c r="G66" s="4"/>
      <c r="H66" s="4">
        <v>22000</v>
      </c>
      <c r="I66" s="4">
        <f>128000+10000+14000</f>
        <v>152000</v>
      </c>
      <c r="J66" s="4"/>
      <c r="K66" s="4"/>
      <c r="L66" s="4"/>
      <c r="M66" s="4"/>
      <c r="N66" s="4"/>
      <c r="O66" s="9">
        <f t="shared" si="173"/>
        <v>329000</v>
      </c>
      <c r="P66" s="20">
        <v>195000</v>
      </c>
      <c r="Q66" s="25">
        <v>111550</v>
      </c>
      <c r="R66" s="25">
        <v>586850</v>
      </c>
      <c r="S66" s="25">
        <v>180000</v>
      </c>
      <c r="T66" s="20"/>
      <c r="U66" s="20"/>
      <c r="V66" s="20"/>
      <c r="W66" s="20"/>
      <c r="X66" s="20"/>
      <c r="Y66" s="21">
        <f t="shared" si="174"/>
        <v>1073400</v>
      </c>
      <c r="Z66" s="24">
        <v>577500</v>
      </c>
      <c r="AA66" s="20">
        <f>189000+185500+196000+199500+133000</f>
        <v>903000</v>
      </c>
      <c r="AB66" s="20">
        <f>837900+197600+98800</f>
        <v>1134300</v>
      </c>
      <c r="AC66" s="20">
        <v>1185600</v>
      </c>
      <c r="AD66" s="20">
        <v>1086800</v>
      </c>
      <c r="AE66" s="175">
        <v>592800</v>
      </c>
      <c r="AF66" s="21">
        <f t="shared" si="175"/>
        <v>5480000</v>
      </c>
      <c r="AG66" s="20"/>
      <c r="AH66" s="20"/>
      <c r="AI66" s="20"/>
      <c r="AJ66" s="20"/>
      <c r="AK66" s="20"/>
      <c r="AL66" s="20"/>
      <c r="AM66" s="20"/>
      <c r="AN66" s="20"/>
      <c r="AO66" s="20"/>
      <c r="AP66" s="9">
        <f t="shared" si="176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9">
        <f t="shared" si="177"/>
        <v>0</v>
      </c>
      <c r="BA66" s="25"/>
      <c r="BB66" s="20"/>
      <c r="BC66" s="20"/>
      <c r="BD66" s="20"/>
      <c r="BE66" s="20"/>
      <c r="BF66" s="20"/>
      <c r="BG66" s="21">
        <f t="shared" si="178"/>
        <v>0</v>
      </c>
      <c r="BH66" s="25"/>
      <c r="BI66" s="25"/>
      <c r="BJ66" s="25"/>
      <c r="BK66" s="25"/>
      <c r="BL66" s="20"/>
      <c r="BM66" s="20"/>
      <c r="BN66" s="20"/>
      <c r="BO66" s="20"/>
      <c r="BP66" s="20"/>
      <c r="BQ66" s="21">
        <f t="shared" si="179"/>
        <v>0</v>
      </c>
      <c r="BR66" s="4">
        <f t="shared" si="180"/>
        <v>350000</v>
      </c>
      <c r="BS66" s="4">
        <f t="shared" si="181"/>
        <v>111550</v>
      </c>
      <c r="BT66" s="4">
        <f t="shared" si="182"/>
        <v>608850</v>
      </c>
      <c r="BU66" s="4">
        <f t="shared" si="183"/>
        <v>909500</v>
      </c>
      <c r="BV66" s="94">
        <f t="shared" si="184"/>
        <v>903000</v>
      </c>
      <c r="BW66" s="94">
        <f t="shared" si="185"/>
        <v>1134300</v>
      </c>
      <c r="BX66" s="94">
        <f t="shared" si="186"/>
        <v>1185600</v>
      </c>
      <c r="BY66" s="94">
        <f t="shared" si="187"/>
        <v>1086800</v>
      </c>
      <c r="BZ66" s="94">
        <f t="shared" si="188"/>
        <v>592800</v>
      </c>
      <c r="CA66" s="9">
        <f t="shared" si="189"/>
        <v>6882400</v>
      </c>
    </row>
    <row r="67" spans="1:79" ht="31.5">
      <c r="A67" s="187"/>
      <c r="B67" s="8">
        <v>4</v>
      </c>
      <c r="C67" s="1" t="s">
        <v>156</v>
      </c>
      <c r="D67" s="5" t="s">
        <v>411</v>
      </c>
      <c r="E67" s="4" t="s">
        <v>148</v>
      </c>
      <c r="F67" s="4"/>
      <c r="G67" s="4"/>
      <c r="H67" s="4"/>
      <c r="I67" s="4"/>
      <c r="J67" s="4"/>
      <c r="K67" s="4"/>
      <c r="L67" s="4"/>
      <c r="M67" s="4"/>
      <c r="N67" s="4"/>
      <c r="O67" s="9">
        <f t="shared" si="173"/>
        <v>0</v>
      </c>
      <c r="P67" s="20"/>
      <c r="Q67" s="24">
        <v>195000</v>
      </c>
      <c r="R67" s="20">
        <v>-195000</v>
      </c>
      <c r="S67" s="20"/>
      <c r="T67" s="20"/>
      <c r="U67" s="20"/>
      <c r="V67" s="20"/>
      <c r="W67" s="20"/>
      <c r="X67" s="20"/>
      <c r="Y67" s="21">
        <f t="shared" si="174"/>
        <v>0</v>
      </c>
      <c r="Z67" s="25">
        <v>0</v>
      </c>
      <c r="AA67" s="20"/>
      <c r="AB67" s="20"/>
      <c r="AC67" s="20"/>
      <c r="AD67" s="20"/>
      <c r="AE67" s="20"/>
      <c r="AF67" s="21">
        <f t="shared" si="175"/>
        <v>0</v>
      </c>
      <c r="AG67" s="20"/>
      <c r="AH67" s="20"/>
      <c r="AI67" s="20"/>
      <c r="AJ67" s="20"/>
      <c r="AK67" s="20"/>
      <c r="AL67" s="20"/>
      <c r="AM67" s="20"/>
      <c r="AN67" s="20"/>
      <c r="AO67" s="20"/>
      <c r="AP67" s="9">
        <f t="shared" si="176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9">
        <f t="shared" si="177"/>
        <v>0</v>
      </c>
      <c r="BA67" s="25"/>
      <c r="BB67" s="20"/>
      <c r="BC67" s="20"/>
      <c r="BD67" s="20"/>
      <c r="BE67" s="20"/>
      <c r="BF67" s="20"/>
      <c r="BG67" s="21">
        <f t="shared" si="178"/>
        <v>0</v>
      </c>
      <c r="BH67" s="25"/>
      <c r="BI67" s="25"/>
      <c r="BJ67" s="25"/>
      <c r="BK67" s="25"/>
      <c r="BL67" s="20"/>
      <c r="BM67" s="20"/>
      <c r="BN67" s="20"/>
      <c r="BO67" s="20"/>
      <c r="BP67" s="20"/>
      <c r="BQ67" s="21">
        <f t="shared" si="179"/>
        <v>0</v>
      </c>
      <c r="BR67" s="4">
        <f t="shared" si="180"/>
        <v>0</v>
      </c>
      <c r="BS67" s="4">
        <f t="shared" si="181"/>
        <v>195000</v>
      </c>
      <c r="BT67" s="4">
        <f t="shared" si="182"/>
        <v>-195000</v>
      </c>
      <c r="BU67" s="4">
        <f t="shared" si="183"/>
        <v>0</v>
      </c>
      <c r="BV67" s="94">
        <f t="shared" si="184"/>
        <v>0</v>
      </c>
      <c r="BW67" s="94">
        <f t="shared" si="185"/>
        <v>0</v>
      </c>
      <c r="BX67" s="94">
        <f t="shared" si="186"/>
        <v>0</v>
      </c>
      <c r="BY67" s="94">
        <f t="shared" si="187"/>
        <v>0</v>
      </c>
      <c r="BZ67" s="94">
        <f t="shared" si="188"/>
        <v>0</v>
      </c>
      <c r="CA67" s="9">
        <f t="shared" si="189"/>
        <v>0</v>
      </c>
    </row>
    <row r="68" spans="1:79" s="38" customFormat="1">
      <c r="A68" s="34"/>
      <c r="B68" s="34"/>
      <c r="C68" s="35" t="s">
        <v>157</v>
      </c>
      <c r="D68" s="37"/>
      <c r="E68" s="37"/>
      <c r="F68" s="37">
        <f>SUM(F64:F67)</f>
        <v>310000</v>
      </c>
      <c r="G68" s="37">
        <f t="shared" ref="G68:CA68" si="190">SUM(G64:G67)</f>
        <v>308000</v>
      </c>
      <c r="H68" s="37">
        <f t="shared" si="190"/>
        <v>209500</v>
      </c>
      <c r="I68" s="37">
        <f t="shared" si="190"/>
        <v>160000</v>
      </c>
      <c r="J68" s="37">
        <f t="shared" si="190"/>
        <v>-155000</v>
      </c>
      <c r="K68" s="37">
        <f t="shared" si="190"/>
        <v>0</v>
      </c>
      <c r="L68" s="37">
        <f t="shared" si="190"/>
        <v>0</v>
      </c>
      <c r="M68" s="37">
        <f t="shared" si="190"/>
        <v>0</v>
      </c>
      <c r="N68" s="37">
        <f t="shared" si="190"/>
        <v>0</v>
      </c>
      <c r="O68" s="37">
        <f t="shared" si="190"/>
        <v>832500</v>
      </c>
      <c r="P68" s="37">
        <f t="shared" ref="P68:AP68" si="191">SUM(P64:P67)</f>
        <v>390000</v>
      </c>
      <c r="Q68" s="37">
        <f t="shared" si="191"/>
        <v>797200</v>
      </c>
      <c r="R68" s="37">
        <f t="shared" si="191"/>
        <v>614950</v>
      </c>
      <c r="S68" s="37">
        <f t="shared" si="191"/>
        <v>350000</v>
      </c>
      <c r="T68" s="37">
        <f t="shared" si="191"/>
        <v>-195000</v>
      </c>
      <c r="U68" s="37">
        <f t="shared" si="191"/>
        <v>0</v>
      </c>
      <c r="V68" s="37">
        <f t="shared" si="191"/>
        <v>0</v>
      </c>
      <c r="W68" s="37">
        <f t="shared" si="191"/>
        <v>0</v>
      </c>
      <c r="X68" s="37">
        <f t="shared" si="191"/>
        <v>0</v>
      </c>
      <c r="Y68" s="37">
        <f t="shared" si="191"/>
        <v>1957150</v>
      </c>
      <c r="Z68" s="37">
        <f t="shared" si="191"/>
        <v>957500</v>
      </c>
      <c r="AA68" s="37">
        <f t="shared" si="191"/>
        <v>1319000</v>
      </c>
      <c r="AB68" s="37">
        <f t="shared" si="191"/>
        <v>1784500</v>
      </c>
      <c r="AC68" s="37">
        <f t="shared" si="191"/>
        <v>1866800</v>
      </c>
      <c r="AD68" s="37">
        <f t="shared" si="191"/>
        <v>1736900</v>
      </c>
      <c r="AE68" s="37">
        <f t="shared" si="191"/>
        <v>769600</v>
      </c>
      <c r="AF68" s="37">
        <f t="shared" si="191"/>
        <v>8434300</v>
      </c>
      <c r="AG68" s="37">
        <f t="shared" si="191"/>
        <v>0</v>
      </c>
      <c r="AH68" s="37">
        <f t="shared" si="191"/>
        <v>0</v>
      </c>
      <c r="AI68" s="37">
        <f t="shared" si="191"/>
        <v>0</v>
      </c>
      <c r="AJ68" s="37">
        <f t="shared" si="191"/>
        <v>0</v>
      </c>
      <c r="AK68" s="37">
        <f t="shared" si="191"/>
        <v>0</v>
      </c>
      <c r="AL68" s="37">
        <f t="shared" si="191"/>
        <v>0</v>
      </c>
      <c r="AM68" s="37">
        <f t="shared" si="191"/>
        <v>0</v>
      </c>
      <c r="AN68" s="37">
        <f t="shared" si="191"/>
        <v>0</v>
      </c>
      <c r="AO68" s="37">
        <f t="shared" si="191"/>
        <v>0</v>
      </c>
      <c r="AP68" s="37">
        <f t="shared" si="191"/>
        <v>0</v>
      </c>
      <c r="AQ68" s="37">
        <f t="shared" si="190"/>
        <v>0</v>
      </c>
      <c r="AR68" s="37">
        <f t="shared" si="190"/>
        <v>0</v>
      </c>
      <c r="AS68" s="37">
        <f t="shared" si="190"/>
        <v>0</v>
      </c>
      <c r="AT68" s="37">
        <f t="shared" si="190"/>
        <v>0</v>
      </c>
      <c r="AU68" s="37">
        <f t="shared" si="190"/>
        <v>0</v>
      </c>
      <c r="AV68" s="37">
        <f t="shared" si="190"/>
        <v>0</v>
      </c>
      <c r="AW68" s="37">
        <f t="shared" si="190"/>
        <v>0</v>
      </c>
      <c r="AX68" s="37">
        <f t="shared" si="190"/>
        <v>0</v>
      </c>
      <c r="AY68" s="37">
        <f t="shared" si="190"/>
        <v>0</v>
      </c>
      <c r="AZ68" s="37">
        <f t="shared" si="190"/>
        <v>0</v>
      </c>
      <c r="BA68" s="37">
        <f t="shared" si="190"/>
        <v>0</v>
      </c>
      <c r="BB68" s="37">
        <f t="shared" si="190"/>
        <v>0</v>
      </c>
      <c r="BC68" s="37">
        <f t="shared" si="190"/>
        <v>0</v>
      </c>
      <c r="BD68" s="37">
        <f t="shared" si="190"/>
        <v>0</v>
      </c>
      <c r="BE68" s="37">
        <f t="shared" si="190"/>
        <v>0</v>
      </c>
      <c r="BF68" s="37">
        <f t="shared" si="190"/>
        <v>0</v>
      </c>
      <c r="BG68" s="37">
        <f t="shared" si="190"/>
        <v>0</v>
      </c>
      <c r="BH68" s="37">
        <f t="shared" si="190"/>
        <v>0</v>
      </c>
      <c r="BI68" s="37">
        <f t="shared" si="190"/>
        <v>100000</v>
      </c>
      <c r="BJ68" s="37">
        <f t="shared" si="190"/>
        <v>230000</v>
      </c>
      <c r="BK68" s="37">
        <f t="shared" si="190"/>
        <v>0</v>
      </c>
      <c r="BL68" s="37">
        <f t="shared" si="190"/>
        <v>0</v>
      </c>
      <c r="BM68" s="37">
        <f t="shared" si="190"/>
        <v>0</v>
      </c>
      <c r="BN68" s="37">
        <f t="shared" si="190"/>
        <v>0</v>
      </c>
      <c r="BO68" s="37">
        <f t="shared" si="190"/>
        <v>0</v>
      </c>
      <c r="BP68" s="37">
        <f t="shared" si="190"/>
        <v>0</v>
      </c>
      <c r="BQ68" s="37">
        <f t="shared" si="190"/>
        <v>330000</v>
      </c>
      <c r="BR68" s="37">
        <f t="shared" si="190"/>
        <v>700000</v>
      </c>
      <c r="BS68" s="37">
        <f t="shared" si="190"/>
        <v>1205200</v>
      </c>
      <c r="BT68" s="37">
        <f t="shared" si="190"/>
        <v>1054450</v>
      </c>
      <c r="BU68" s="37">
        <f t="shared" si="190"/>
        <v>1467500</v>
      </c>
      <c r="BV68" s="37">
        <f t="shared" si="190"/>
        <v>969000</v>
      </c>
      <c r="BW68" s="144">
        <f>SUM(BW64:BW67)</f>
        <v>1784500</v>
      </c>
      <c r="BX68" s="37">
        <f t="shared" ref="BX68:BY68" si="192">SUM(BX64:BX67)</f>
        <v>1866800</v>
      </c>
      <c r="BY68" s="37">
        <f t="shared" si="192"/>
        <v>1736900</v>
      </c>
      <c r="BZ68" s="144">
        <f>SUM(BZ64:BZ67)</f>
        <v>769600</v>
      </c>
      <c r="CA68" s="37">
        <f t="shared" si="190"/>
        <v>11553950</v>
      </c>
    </row>
    <row r="69" spans="1:79">
      <c r="A69" s="185" t="s">
        <v>493</v>
      </c>
      <c r="B69" s="8">
        <v>2</v>
      </c>
      <c r="C69" s="1" t="s">
        <v>509</v>
      </c>
      <c r="D69" s="5" t="s">
        <v>511</v>
      </c>
      <c r="E69" s="4" t="s">
        <v>493</v>
      </c>
      <c r="F69" s="4"/>
      <c r="G69" s="4"/>
      <c r="H69" s="5"/>
      <c r="I69" s="4"/>
      <c r="J69" s="4"/>
      <c r="K69" s="4"/>
      <c r="L69" s="4"/>
      <c r="M69" s="4"/>
      <c r="N69" s="4"/>
      <c r="O69" s="9">
        <f t="shared" ref="O69" si="193">SUM(F69:N69)</f>
        <v>0</v>
      </c>
      <c r="P69" s="20"/>
      <c r="Q69" s="24"/>
      <c r="R69" s="20"/>
      <c r="S69" s="20"/>
      <c r="T69" s="20"/>
      <c r="U69" s="20"/>
      <c r="V69" s="20"/>
      <c r="W69" s="20">
        <v>627300</v>
      </c>
      <c r="X69" s="174">
        <v>426800</v>
      </c>
      <c r="Y69" s="21">
        <f t="shared" ref="Y69" si="194">SUM(P69:X69)</f>
        <v>1054100</v>
      </c>
      <c r="Z69" s="25"/>
      <c r="AA69" s="20"/>
      <c r="AB69" s="20"/>
      <c r="AC69" s="20"/>
      <c r="AD69" s="20"/>
      <c r="AE69" s="20"/>
      <c r="AF69" s="21">
        <f t="shared" ref="AF69" si="195">SUM(Z69:AE69)</f>
        <v>0</v>
      </c>
      <c r="AG69" s="20"/>
      <c r="AH69" s="22"/>
      <c r="AI69" s="20"/>
      <c r="AJ69" s="20"/>
      <c r="AK69" s="20"/>
      <c r="AL69" s="20"/>
      <c r="AM69" s="20"/>
      <c r="AN69" s="20"/>
      <c r="AO69" s="20"/>
      <c r="AP69" s="9">
        <f t="shared" ref="AP69" si="196">SUM(AG69:AO69)</f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9">
        <f t="shared" ref="AZ69" si="197">SUM(AQ69:AY69)</f>
        <v>0</v>
      </c>
      <c r="BA69" s="25"/>
      <c r="BB69" s="20"/>
      <c r="BC69" s="20"/>
      <c r="BD69" s="20"/>
      <c r="BE69" s="20"/>
      <c r="BF69" s="20"/>
      <c r="BG69" s="21">
        <f t="shared" ref="BG69" si="198">SUM(BA69:BF69)</f>
        <v>0</v>
      </c>
      <c r="BH69" s="25"/>
      <c r="BI69" s="25"/>
      <c r="BJ69" s="25"/>
      <c r="BK69" s="25"/>
      <c r="BL69" s="20"/>
      <c r="BM69" s="20"/>
      <c r="BN69" s="20"/>
      <c r="BO69" s="20"/>
      <c r="BP69" s="20"/>
      <c r="BQ69" s="21">
        <f t="shared" ref="BQ69" si="199">SUM(BH69:BP69)</f>
        <v>0</v>
      </c>
      <c r="BR69" s="4">
        <f t="shared" ref="BR69" si="200">F69+P69+AG69+AQ69+BH69</f>
        <v>0</v>
      </c>
      <c r="BS69" s="4">
        <f t="shared" ref="BS69" si="201">G69+Q69+AH69+AR69+BI69</f>
        <v>0</v>
      </c>
      <c r="BT69" s="4">
        <f t="shared" ref="BT69" si="202">H69+R69+AI69+AS69+BJ69</f>
        <v>0</v>
      </c>
      <c r="BU69" s="4">
        <f t="shared" ref="BU69" si="203">I69+S69+Z69+AJ69+AT69+BA69+BK69</f>
        <v>0</v>
      </c>
      <c r="BV69" s="94">
        <f t="shared" ref="BV69" si="204">J69+T69+AA69+AK69+AU69+BB69+BL69</f>
        <v>0</v>
      </c>
      <c r="BW69" s="94">
        <f t="shared" ref="BW69" si="205">K69+U69+AB69+AM69+AV69+BC69+BM69</f>
        <v>0</v>
      </c>
      <c r="BX69" s="94">
        <f t="shared" ref="BX69" si="206">L69+V69+AC69+AM69+AW69+BD69+BN69</f>
        <v>0</v>
      </c>
      <c r="BY69" s="94">
        <f t="shared" ref="BY69" si="207">M69+W69+AD69+AO69+AX69+BE69+BO69</f>
        <v>627300</v>
      </c>
      <c r="BZ69" s="94">
        <f t="shared" ref="BZ69" si="208">N69+X69+AE69+AO69+AY69+BF69+BP69</f>
        <v>426800</v>
      </c>
      <c r="CA69" s="9">
        <f t="shared" ref="CA69" si="209">SUM(BR69:BZ69)</f>
        <v>1054100</v>
      </c>
    </row>
    <row r="70" spans="1:79">
      <c r="A70" s="186"/>
      <c r="B70" s="8">
        <v>1</v>
      </c>
      <c r="C70" s="1" t="s">
        <v>494</v>
      </c>
      <c r="D70" s="5" t="s">
        <v>524</v>
      </c>
      <c r="E70" s="4" t="s">
        <v>493</v>
      </c>
      <c r="F70" s="4"/>
      <c r="G70" s="4"/>
      <c r="H70" s="5"/>
      <c r="I70" s="4"/>
      <c r="J70" s="4"/>
      <c r="K70" s="4"/>
      <c r="L70" s="4"/>
      <c r="M70" s="4"/>
      <c r="N70" s="4"/>
      <c r="O70" s="9">
        <f t="shared" ref="O70:O71" si="210">SUM(F70:N70)</f>
        <v>0</v>
      </c>
      <c r="P70" s="20"/>
      <c r="Q70" s="24"/>
      <c r="R70" s="20"/>
      <c r="S70" s="20"/>
      <c r="T70" s="20"/>
      <c r="U70" s="20"/>
      <c r="V70" s="20">
        <v>571500</v>
      </c>
      <c r="W70" s="20">
        <v>1600500</v>
      </c>
      <c r="X70" s="174">
        <v>1164000</v>
      </c>
      <c r="Y70" s="21">
        <f t="shared" ref="Y70:Y71" si="211">SUM(P70:X70)</f>
        <v>3336000</v>
      </c>
      <c r="Z70" s="25"/>
      <c r="AA70" s="20"/>
      <c r="AB70" s="20"/>
      <c r="AC70" s="20"/>
      <c r="AD70" s="20"/>
      <c r="AE70" s="20"/>
      <c r="AF70" s="21">
        <f t="shared" ref="AF70:AF71" si="212">SUM(Z70:AE70)</f>
        <v>0</v>
      </c>
      <c r="AG70" s="20"/>
      <c r="AH70" s="22"/>
      <c r="AI70" s="20"/>
      <c r="AJ70" s="20"/>
      <c r="AK70" s="20"/>
      <c r="AL70" s="20"/>
      <c r="AM70" s="20"/>
      <c r="AN70" s="20"/>
      <c r="AO70" s="20"/>
      <c r="AP70" s="9">
        <f t="shared" ref="AP70:AP71" si="213">SUM(AG70:AO70)</f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9">
        <f t="shared" ref="AZ70:AZ71" si="214">SUM(AQ70:AY70)</f>
        <v>0</v>
      </c>
      <c r="BA70" s="25"/>
      <c r="BB70" s="20"/>
      <c r="BC70" s="20"/>
      <c r="BD70" s="20"/>
      <c r="BE70" s="20"/>
      <c r="BF70" s="20"/>
      <c r="BG70" s="21">
        <f t="shared" ref="BG70:BG71" si="215">SUM(BA70:BF70)</f>
        <v>0</v>
      </c>
      <c r="BH70" s="25"/>
      <c r="BI70" s="25"/>
      <c r="BJ70" s="25"/>
      <c r="BK70" s="25"/>
      <c r="BL70" s="20"/>
      <c r="BM70" s="20"/>
      <c r="BN70" s="20"/>
      <c r="BO70" s="20"/>
      <c r="BP70" s="20"/>
      <c r="BQ70" s="21">
        <f t="shared" ref="BQ70:BQ71" si="216">SUM(BH70:BP70)</f>
        <v>0</v>
      </c>
      <c r="BR70" s="4">
        <f t="shared" ref="BR70:BR71" si="217">F70+P70+AG70+AQ70+BH70</f>
        <v>0</v>
      </c>
      <c r="BS70" s="4">
        <f t="shared" ref="BS70:BS71" si="218">G70+Q70+AH70+AR70+BI70</f>
        <v>0</v>
      </c>
      <c r="BT70" s="4">
        <f t="shared" ref="BT70:BT71" si="219">H70+R70+AI70+AS70+BJ70</f>
        <v>0</v>
      </c>
      <c r="BU70" s="4">
        <f t="shared" ref="BU70:BU71" si="220">I70+S70+Z70+AJ70+AT70+BA70+BK70</f>
        <v>0</v>
      </c>
      <c r="BV70" s="94">
        <f t="shared" ref="BV70:BV71" si="221">J70+T70+AA70+AK70+AU70+BB70+BL70</f>
        <v>0</v>
      </c>
      <c r="BW70" s="94">
        <f t="shared" ref="BW70:BW71" si="222">K70+U70+AB70+AM70+AV70+BC70+BM70</f>
        <v>0</v>
      </c>
      <c r="BX70" s="94">
        <f t="shared" ref="BX70:BX71" si="223">L70+V70+AC70+AM70+AW70+BD70+BN70</f>
        <v>571500</v>
      </c>
      <c r="BY70" s="94">
        <f t="shared" ref="BY70:BY71" si="224">M70+W70+AD70+AO70+AX70+BE70+BO70</f>
        <v>1600500</v>
      </c>
      <c r="BZ70" s="94">
        <f t="shared" ref="BZ70:BZ71" si="225">N70+X70+AE70+AO70+AY70+BF70+BP70</f>
        <v>1164000</v>
      </c>
      <c r="CA70" s="9">
        <f t="shared" ref="CA70:CA71" si="226">SUM(BR70:BZ70)</f>
        <v>3336000</v>
      </c>
    </row>
    <row r="71" spans="1:79">
      <c r="A71" s="187"/>
      <c r="B71" s="8">
        <v>2</v>
      </c>
      <c r="C71" s="1" t="s">
        <v>523</v>
      </c>
      <c r="D71" s="5" t="s">
        <v>525</v>
      </c>
      <c r="E71" s="4" t="s">
        <v>493</v>
      </c>
      <c r="F71" s="4"/>
      <c r="G71" s="4"/>
      <c r="H71" s="5"/>
      <c r="I71" s="4"/>
      <c r="J71" s="4"/>
      <c r="K71" s="4"/>
      <c r="L71" s="4"/>
      <c r="M71" s="4"/>
      <c r="N71" s="4"/>
      <c r="O71" s="9">
        <f t="shared" si="210"/>
        <v>0</v>
      </c>
      <c r="P71" s="20"/>
      <c r="Q71" s="24"/>
      <c r="R71" s="20"/>
      <c r="S71" s="20"/>
      <c r="T71" s="20"/>
      <c r="U71" s="20"/>
      <c r="V71" s="20"/>
      <c r="W71" s="20"/>
      <c r="X71" s="174"/>
      <c r="Y71" s="21">
        <f t="shared" si="211"/>
        <v>0</v>
      </c>
      <c r="Z71" s="25"/>
      <c r="AA71" s="20"/>
      <c r="AB71" s="20"/>
      <c r="AC71" s="20"/>
      <c r="AD71" s="20"/>
      <c r="AE71" s="20"/>
      <c r="AF71" s="21">
        <f t="shared" si="212"/>
        <v>0</v>
      </c>
      <c r="AG71" s="20"/>
      <c r="AH71" s="22"/>
      <c r="AI71" s="20"/>
      <c r="AJ71" s="20"/>
      <c r="AK71" s="20"/>
      <c r="AL71" s="20"/>
      <c r="AM71" s="20"/>
      <c r="AN71" s="20"/>
      <c r="AO71" s="20"/>
      <c r="AP71" s="9">
        <f t="shared" si="213"/>
        <v>0</v>
      </c>
      <c r="AQ71" s="4"/>
      <c r="AR71" s="4"/>
      <c r="AS71" s="4"/>
      <c r="AT71" s="4"/>
      <c r="AU71" s="4"/>
      <c r="AV71" s="4"/>
      <c r="AW71" s="4"/>
      <c r="AX71" s="4"/>
      <c r="AY71" s="4">
        <v>290000</v>
      </c>
      <c r="AZ71" s="9">
        <f t="shared" si="214"/>
        <v>290000</v>
      </c>
      <c r="BA71" s="25"/>
      <c r="BB71" s="20"/>
      <c r="BC71" s="20"/>
      <c r="BD71" s="20"/>
      <c r="BE71" s="20"/>
      <c r="BF71" s="20"/>
      <c r="BG71" s="21">
        <f t="shared" si="215"/>
        <v>0</v>
      </c>
      <c r="BH71" s="25"/>
      <c r="BI71" s="25"/>
      <c r="BJ71" s="25"/>
      <c r="BK71" s="25"/>
      <c r="BL71" s="20"/>
      <c r="BM71" s="20"/>
      <c r="BN71" s="20"/>
      <c r="BO71" s="20"/>
      <c r="BP71" s="20"/>
      <c r="BQ71" s="21">
        <f t="shared" si="216"/>
        <v>0</v>
      </c>
      <c r="BR71" s="4">
        <f t="shared" si="217"/>
        <v>0</v>
      </c>
      <c r="BS71" s="4">
        <f t="shared" si="218"/>
        <v>0</v>
      </c>
      <c r="BT71" s="4">
        <f t="shared" si="219"/>
        <v>0</v>
      </c>
      <c r="BU71" s="4">
        <f t="shared" si="220"/>
        <v>0</v>
      </c>
      <c r="BV71" s="94">
        <f t="shared" si="221"/>
        <v>0</v>
      </c>
      <c r="BW71" s="94">
        <f t="shared" si="222"/>
        <v>0</v>
      </c>
      <c r="BX71" s="94">
        <f t="shared" si="223"/>
        <v>0</v>
      </c>
      <c r="BY71" s="94">
        <f t="shared" si="224"/>
        <v>0</v>
      </c>
      <c r="BZ71" s="94">
        <f t="shared" si="225"/>
        <v>290000</v>
      </c>
      <c r="CA71" s="9">
        <f t="shared" si="226"/>
        <v>290000</v>
      </c>
    </row>
    <row r="72" spans="1:79" s="38" customFormat="1">
      <c r="A72" s="34"/>
      <c r="B72" s="34"/>
      <c r="C72" s="35" t="s">
        <v>495</v>
      </c>
      <c r="D72" s="37"/>
      <c r="E72" s="37"/>
      <c r="F72" s="37">
        <f t="shared" ref="F72:AX72" si="227">SUM(F69:F71)</f>
        <v>0</v>
      </c>
      <c r="G72" s="37">
        <f t="shared" si="227"/>
        <v>0</v>
      </c>
      <c r="H72" s="37">
        <f t="shared" si="227"/>
        <v>0</v>
      </c>
      <c r="I72" s="37">
        <f t="shared" si="227"/>
        <v>0</v>
      </c>
      <c r="J72" s="37">
        <f t="shared" si="227"/>
        <v>0</v>
      </c>
      <c r="K72" s="37">
        <f t="shared" si="227"/>
        <v>0</v>
      </c>
      <c r="L72" s="37">
        <f t="shared" si="227"/>
        <v>0</v>
      </c>
      <c r="M72" s="37">
        <f t="shared" si="227"/>
        <v>0</v>
      </c>
      <c r="N72" s="37">
        <f t="shared" si="227"/>
        <v>0</v>
      </c>
      <c r="O72" s="37">
        <f t="shared" si="227"/>
        <v>0</v>
      </c>
      <c r="P72" s="37">
        <f t="shared" si="227"/>
        <v>0</v>
      </c>
      <c r="Q72" s="37">
        <f t="shared" si="227"/>
        <v>0</v>
      </c>
      <c r="R72" s="37">
        <f t="shared" si="227"/>
        <v>0</v>
      </c>
      <c r="S72" s="37">
        <f t="shared" si="227"/>
        <v>0</v>
      </c>
      <c r="T72" s="37">
        <f t="shared" si="227"/>
        <v>0</v>
      </c>
      <c r="U72" s="37">
        <f t="shared" si="227"/>
        <v>0</v>
      </c>
      <c r="V72" s="37">
        <f t="shared" si="227"/>
        <v>571500</v>
      </c>
      <c r="W72" s="37">
        <f t="shared" si="227"/>
        <v>2227800</v>
      </c>
      <c r="X72" s="37">
        <f t="shared" si="227"/>
        <v>1590800</v>
      </c>
      <c r="Y72" s="37">
        <f t="shared" si="227"/>
        <v>4390100</v>
      </c>
      <c r="Z72" s="37">
        <f t="shared" si="227"/>
        <v>0</v>
      </c>
      <c r="AA72" s="37">
        <f t="shared" si="227"/>
        <v>0</v>
      </c>
      <c r="AB72" s="37">
        <f t="shared" si="227"/>
        <v>0</v>
      </c>
      <c r="AC72" s="37">
        <f t="shared" si="227"/>
        <v>0</v>
      </c>
      <c r="AD72" s="37">
        <f t="shared" si="227"/>
        <v>0</v>
      </c>
      <c r="AE72" s="37">
        <f t="shared" si="227"/>
        <v>0</v>
      </c>
      <c r="AF72" s="37">
        <f t="shared" si="227"/>
        <v>0</v>
      </c>
      <c r="AG72" s="37">
        <f t="shared" si="227"/>
        <v>0</v>
      </c>
      <c r="AH72" s="37">
        <f t="shared" si="227"/>
        <v>0</v>
      </c>
      <c r="AI72" s="37">
        <f t="shared" si="227"/>
        <v>0</v>
      </c>
      <c r="AJ72" s="37">
        <f t="shared" si="227"/>
        <v>0</v>
      </c>
      <c r="AK72" s="37">
        <f t="shared" si="227"/>
        <v>0</v>
      </c>
      <c r="AL72" s="37">
        <f t="shared" si="227"/>
        <v>0</v>
      </c>
      <c r="AM72" s="37">
        <f t="shared" si="227"/>
        <v>0</v>
      </c>
      <c r="AN72" s="37">
        <f t="shared" si="227"/>
        <v>0</v>
      </c>
      <c r="AO72" s="37">
        <f t="shared" si="227"/>
        <v>0</v>
      </c>
      <c r="AP72" s="37">
        <f t="shared" si="227"/>
        <v>0</v>
      </c>
      <c r="AQ72" s="37">
        <f t="shared" si="227"/>
        <v>0</v>
      </c>
      <c r="AR72" s="37">
        <f t="shared" si="227"/>
        <v>0</v>
      </c>
      <c r="AS72" s="37">
        <f t="shared" si="227"/>
        <v>0</v>
      </c>
      <c r="AT72" s="37">
        <f t="shared" si="227"/>
        <v>0</v>
      </c>
      <c r="AU72" s="37">
        <f t="shared" si="227"/>
        <v>0</v>
      </c>
      <c r="AV72" s="37">
        <f t="shared" si="227"/>
        <v>0</v>
      </c>
      <c r="AW72" s="37">
        <f t="shared" si="227"/>
        <v>0</v>
      </c>
      <c r="AX72" s="37">
        <f t="shared" si="227"/>
        <v>0</v>
      </c>
      <c r="AY72" s="37">
        <f>SUM(AY69:AY71)</f>
        <v>290000</v>
      </c>
      <c r="AZ72" s="37">
        <f t="shared" ref="AZ72:BY72" si="228">SUM(AZ69:AZ71)</f>
        <v>290000</v>
      </c>
      <c r="BA72" s="37">
        <f t="shared" si="228"/>
        <v>0</v>
      </c>
      <c r="BB72" s="37">
        <f t="shared" si="228"/>
        <v>0</v>
      </c>
      <c r="BC72" s="37">
        <f t="shared" si="228"/>
        <v>0</v>
      </c>
      <c r="BD72" s="37">
        <f t="shared" si="228"/>
        <v>0</v>
      </c>
      <c r="BE72" s="37">
        <f t="shared" si="228"/>
        <v>0</v>
      </c>
      <c r="BF72" s="37">
        <f t="shared" si="228"/>
        <v>0</v>
      </c>
      <c r="BG72" s="37">
        <f t="shared" si="228"/>
        <v>0</v>
      </c>
      <c r="BH72" s="37">
        <f t="shared" si="228"/>
        <v>0</v>
      </c>
      <c r="BI72" s="37">
        <f t="shared" si="228"/>
        <v>0</v>
      </c>
      <c r="BJ72" s="37">
        <f t="shared" si="228"/>
        <v>0</v>
      </c>
      <c r="BK72" s="37">
        <f t="shared" si="228"/>
        <v>0</v>
      </c>
      <c r="BL72" s="37">
        <f t="shared" si="228"/>
        <v>0</v>
      </c>
      <c r="BM72" s="37">
        <f t="shared" si="228"/>
        <v>0</v>
      </c>
      <c r="BN72" s="37">
        <f t="shared" si="228"/>
        <v>0</v>
      </c>
      <c r="BO72" s="37">
        <f t="shared" si="228"/>
        <v>0</v>
      </c>
      <c r="BP72" s="37">
        <f t="shared" si="228"/>
        <v>0</v>
      </c>
      <c r="BQ72" s="37">
        <f t="shared" si="228"/>
        <v>0</v>
      </c>
      <c r="BR72" s="144">
        <f t="shared" si="228"/>
        <v>0</v>
      </c>
      <c r="BS72" s="144">
        <f t="shared" si="228"/>
        <v>0</v>
      </c>
      <c r="BT72" s="144">
        <f t="shared" si="228"/>
        <v>0</v>
      </c>
      <c r="BU72" s="144">
        <f t="shared" si="228"/>
        <v>0</v>
      </c>
      <c r="BV72" s="144">
        <f t="shared" si="228"/>
        <v>0</v>
      </c>
      <c r="BW72" s="144">
        <f t="shared" si="228"/>
        <v>0</v>
      </c>
      <c r="BX72" s="144">
        <f t="shared" si="228"/>
        <v>571500</v>
      </c>
      <c r="BY72" s="144">
        <f t="shared" si="228"/>
        <v>2227800</v>
      </c>
      <c r="BZ72" s="144">
        <f>SUM(BZ69:BZ71)</f>
        <v>1880800</v>
      </c>
      <c r="CA72" s="144">
        <f t="shared" ref="CA72" si="229">SUM(CA69:CA71)</f>
        <v>4680100</v>
      </c>
    </row>
    <row r="73" spans="1:79">
      <c r="A73" s="168" t="s">
        <v>28</v>
      </c>
      <c r="B73" s="8">
        <v>1</v>
      </c>
      <c r="C73" s="1" t="s">
        <v>3</v>
      </c>
      <c r="D73" s="5" t="s">
        <v>412</v>
      </c>
      <c r="E73" s="4" t="s">
        <v>28</v>
      </c>
      <c r="F73" s="4"/>
      <c r="G73" s="4"/>
      <c r="H73" s="5"/>
      <c r="I73" s="4"/>
      <c r="J73" s="4"/>
      <c r="K73" s="4"/>
      <c r="L73" s="4"/>
      <c r="M73" s="4"/>
      <c r="N73" s="4"/>
      <c r="O73" s="9">
        <f>SUM(F73:N73)</f>
        <v>0</v>
      </c>
      <c r="P73" s="20"/>
      <c r="Q73" s="24">
        <v>195000</v>
      </c>
      <c r="R73" s="20"/>
      <c r="S73" s="20"/>
      <c r="T73" s="20"/>
      <c r="U73" s="20"/>
      <c r="V73" s="20"/>
      <c r="W73" s="20"/>
      <c r="X73" s="20"/>
      <c r="Y73" s="21">
        <f>SUM(P73:X73)</f>
        <v>195000</v>
      </c>
      <c r="Z73" s="25"/>
      <c r="AA73" s="20"/>
      <c r="AB73" s="20"/>
      <c r="AC73" s="20"/>
      <c r="AD73" s="20"/>
      <c r="AE73" s="20"/>
      <c r="AF73" s="21">
        <f>SUM(Z73:AE73)</f>
        <v>0</v>
      </c>
      <c r="AG73" s="20"/>
      <c r="AH73" s="22">
        <v>290000</v>
      </c>
      <c r="AI73" s="20"/>
      <c r="AJ73" s="20"/>
      <c r="AK73" s="20"/>
      <c r="AL73" s="20"/>
      <c r="AM73" s="20">
        <f>630000+210000</f>
        <v>840000</v>
      </c>
      <c r="AN73" s="4">
        <v>630000</v>
      </c>
      <c r="AO73" s="4"/>
      <c r="AP73" s="9">
        <f>SUM(AG73:AO73)</f>
        <v>1760000</v>
      </c>
      <c r="AQ73" s="4"/>
      <c r="AR73" s="4"/>
      <c r="AS73" s="4"/>
      <c r="AT73" s="4"/>
      <c r="AU73" s="4"/>
      <c r="AV73" s="4"/>
      <c r="AW73" s="4"/>
      <c r="AX73" s="4"/>
      <c r="AY73" s="4"/>
      <c r="AZ73" s="9">
        <f>SUM(AQ73:AY73)</f>
        <v>0</v>
      </c>
      <c r="BA73" s="25"/>
      <c r="BB73" s="20"/>
      <c r="BC73" s="20"/>
      <c r="BD73" s="20"/>
      <c r="BE73" s="20"/>
      <c r="BF73" s="4"/>
      <c r="BG73" s="21">
        <f>SUM(BA73:BF73)</f>
        <v>0</v>
      </c>
      <c r="BH73" s="25"/>
      <c r="BI73" s="25"/>
      <c r="BJ73" s="25"/>
      <c r="BK73" s="25"/>
      <c r="BL73" s="20"/>
      <c r="BM73" s="20"/>
      <c r="BN73" s="20"/>
      <c r="BO73" s="20"/>
      <c r="BP73" s="20"/>
      <c r="BQ73" s="21">
        <f>SUM(BH73:BP73)</f>
        <v>0</v>
      </c>
      <c r="BR73" s="4">
        <f>F73+P73+AG73+AQ73+BH73</f>
        <v>0</v>
      </c>
      <c r="BS73" s="4">
        <f>G73+Q73+AH73+AR73+BI73</f>
        <v>485000</v>
      </c>
      <c r="BT73" s="4">
        <f>H73+R73+AI73+AS73+BJ73</f>
        <v>0</v>
      </c>
      <c r="BU73" s="4">
        <f>I73+S73+Z73+AJ73+AT73+BA73+BK73</f>
        <v>0</v>
      </c>
      <c r="BV73" s="94">
        <f>J73+T73+AA73+AK73+AU73+BB73+BL73</f>
        <v>0</v>
      </c>
      <c r="BW73" s="94">
        <f>K73+U73+AB73+AM73+AV73+BC73+BM73</f>
        <v>840000</v>
      </c>
      <c r="BX73" s="94">
        <f>L73+V73+AC73+AM73+AW73+BD73+BN73</f>
        <v>840000</v>
      </c>
      <c r="BY73" s="94">
        <f>M73+W73+AD73+AO73+AX73+BE73+BO73</f>
        <v>0</v>
      </c>
      <c r="BZ73" s="94">
        <f>N73+X73+AE73+AO73+AY73+BF73+BP73</f>
        <v>0</v>
      </c>
      <c r="CA73" s="9">
        <f>SUM(BR73:BZ73)</f>
        <v>2165000</v>
      </c>
    </row>
    <row r="74" spans="1:79" s="38" customFormat="1">
      <c r="A74" s="34"/>
      <c r="B74" s="34"/>
      <c r="C74" s="35" t="s">
        <v>158</v>
      </c>
      <c r="D74" s="37"/>
      <c r="E74" s="37"/>
      <c r="F74" s="37">
        <f>SUM(F73)</f>
        <v>0</v>
      </c>
      <c r="G74" s="37">
        <f t="shared" ref="G74:CA74" si="230">SUM(G73)</f>
        <v>0</v>
      </c>
      <c r="H74" s="37">
        <f t="shared" si="230"/>
        <v>0</v>
      </c>
      <c r="I74" s="37">
        <f t="shared" si="230"/>
        <v>0</v>
      </c>
      <c r="J74" s="37">
        <f t="shared" si="230"/>
        <v>0</v>
      </c>
      <c r="K74" s="37">
        <f t="shared" si="230"/>
        <v>0</v>
      </c>
      <c r="L74" s="37">
        <f t="shared" si="230"/>
        <v>0</v>
      </c>
      <c r="M74" s="37">
        <f t="shared" si="230"/>
        <v>0</v>
      </c>
      <c r="N74" s="37">
        <f t="shared" si="230"/>
        <v>0</v>
      </c>
      <c r="O74" s="37">
        <f t="shared" si="230"/>
        <v>0</v>
      </c>
      <c r="P74" s="37">
        <f t="shared" ref="P74:AP74" si="231">SUM(P73)</f>
        <v>0</v>
      </c>
      <c r="Q74" s="37">
        <f t="shared" si="231"/>
        <v>195000</v>
      </c>
      <c r="R74" s="37">
        <f t="shared" si="231"/>
        <v>0</v>
      </c>
      <c r="S74" s="37">
        <f t="shared" si="231"/>
        <v>0</v>
      </c>
      <c r="T74" s="37">
        <f t="shared" si="231"/>
        <v>0</v>
      </c>
      <c r="U74" s="37">
        <f t="shared" si="231"/>
        <v>0</v>
      </c>
      <c r="V74" s="37">
        <f t="shared" si="231"/>
        <v>0</v>
      </c>
      <c r="W74" s="37">
        <f t="shared" si="231"/>
        <v>0</v>
      </c>
      <c r="X74" s="37">
        <f t="shared" si="231"/>
        <v>0</v>
      </c>
      <c r="Y74" s="37">
        <f t="shared" si="231"/>
        <v>195000</v>
      </c>
      <c r="Z74" s="37">
        <f t="shared" si="231"/>
        <v>0</v>
      </c>
      <c r="AA74" s="37">
        <f t="shared" si="231"/>
        <v>0</v>
      </c>
      <c r="AB74" s="37">
        <f t="shared" si="231"/>
        <v>0</v>
      </c>
      <c r="AC74" s="37">
        <f t="shared" si="231"/>
        <v>0</v>
      </c>
      <c r="AD74" s="37">
        <f t="shared" si="231"/>
        <v>0</v>
      </c>
      <c r="AE74" s="37">
        <f t="shared" si="231"/>
        <v>0</v>
      </c>
      <c r="AF74" s="37">
        <f t="shared" si="231"/>
        <v>0</v>
      </c>
      <c r="AG74" s="37">
        <f t="shared" si="231"/>
        <v>0</v>
      </c>
      <c r="AH74" s="37">
        <f t="shared" si="231"/>
        <v>290000</v>
      </c>
      <c r="AI74" s="37">
        <f t="shared" si="231"/>
        <v>0</v>
      </c>
      <c r="AJ74" s="37">
        <f t="shared" si="231"/>
        <v>0</v>
      </c>
      <c r="AK74" s="37">
        <f t="shared" si="231"/>
        <v>0</v>
      </c>
      <c r="AL74" s="37">
        <f t="shared" si="231"/>
        <v>0</v>
      </c>
      <c r="AM74" s="37">
        <f t="shared" si="231"/>
        <v>840000</v>
      </c>
      <c r="AN74" s="37">
        <f t="shared" si="231"/>
        <v>630000</v>
      </c>
      <c r="AO74" s="37">
        <f t="shared" si="231"/>
        <v>0</v>
      </c>
      <c r="AP74" s="37">
        <f t="shared" si="231"/>
        <v>1760000</v>
      </c>
      <c r="AQ74" s="37">
        <f t="shared" si="230"/>
        <v>0</v>
      </c>
      <c r="AR74" s="37">
        <f t="shared" si="230"/>
        <v>0</v>
      </c>
      <c r="AS74" s="37">
        <f t="shared" si="230"/>
        <v>0</v>
      </c>
      <c r="AT74" s="37">
        <f t="shared" si="230"/>
        <v>0</v>
      </c>
      <c r="AU74" s="37">
        <f t="shared" si="230"/>
        <v>0</v>
      </c>
      <c r="AV74" s="37">
        <f t="shared" si="230"/>
        <v>0</v>
      </c>
      <c r="AW74" s="37">
        <f t="shared" si="230"/>
        <v>0</v>
      </c>
      <c r="AX74" s="37">
        <f t="shared" si="230"/>
        <v>0</v>
      </c>
      <c r="AY74" s="37">
        <f t="shared" si="230"/>
        <v>0</v>
      </c>
      <c r="AZ74" s="37">
        <f t="shared" si="230"/>
        <v>0</v>
      </c>
      <c r="BA74" s="37">
        <f t="shared" si="230"/>
        <v>0</v>
      </c>
      <c r="BB74" s="37">
        <f t="shared" si="230"/>
        <v>0</v>
      </c>
      <c r="BC74" s="37">
        <f t="shared" si="230"/>
        <v>0</v>
      </c>
      <c r="BD74" s="37">
        <f t="shared" si="230"/>
        <v>0</v>
      </c>
      <c r="BE74" s="37">
        <f t="shared" si="230"/>
        <v>0</v>
      </c>
      <c r="BF74" s="37">
        <f t="shared" si="230"/>
        <v>0</v>
      </c>
      <c r="BG74" s="37">
        <f t="shared" si="230"/>
        <v>0</v>
      </c>
      <c r="BH74" s="37">
        <f t="shared" si="230"/>
        <v>0</v>
      </c>
      <c r="BI74" s="37">
        <f t="shared" si="230"/>
        <v>0</v>
      </c>
      <c r="BJ74" s="37">
        <f t="shared" si="230"/>
        <v>0</v>
      </c>
      <c r="BK74" s="37">
        <f t="shared" si="230"/>
        <v>0</v>
      </c>
      <c r="BL74" s="37">
        <f t="shared" si="230"/>
        <v>0</v>
      </c>
      <c r="BM74" s="37">
        <f t="shared" si="230"/>
        <v>0</v>
      </c>
      <c r="BN74" s="37">
        <f t="shared" si="230"/>
        <v>0</v>
      </c>
      <c r="BO74" s="37">
        <f t="shared" si="230"/>
        <v>0</v>
      </c>
      <c r="BP74" s="37">
        <f t="shared" si="230"/>
        <v>0</v>
      </c>
      <c r="BQ74" s="37">
        <f t="shared" si="230"/>
        <v>0</v>
      </c>
      <c r="BR74" s="37">
        <f t="shared" si="230"/>
        <v>0</v>
      </c>
      <c r="BS74" s="37">
        <f t="shared" si="230"/>
        <v>485000</v>
      </c>
      <c r="BT74" s="37">
        <f t="shared" si="230"/>
        <v>0</v>
      </c>
      <c r="BU74" s="37">
        <f t="shared" si="230"/>
        <v>0</v>
      </c>
      <c r="BV74" s="37">
        <f t="shared" si="230"/>
        <v>0</v>
      </c>
      <c r="BW74" s="37">
        <f t="shared" si="230"/>
        <v>840000</v>
      </c>
      <c r="BX74" s="37">
        <f t="shared" si="230"/>
        <v>840000</v>
      </c>
      <c r="BY74" s="37">
        <f t="shared" si="230"/>
        <v>0</v>
      </c>
      <c r="BZ74" s="144">
        <f>SUM(BZ73)</f>
        <v>0</v>
      </c>
      <c r="CA74" s="37">
        <f t="shared" si="230"/>
        <v>2165000</v>
      </c>
    </row>
    <row r="75" spans="1:79" ht="31.5">
      <c r="A75" s="185" t="s">
        <v>159</v>
      </c>
      <c r="B75" s="8">
        <v>1</v>
      </c>
      <c r="C75" s="1" t="s">
        <v>160</v>
      </c>
      <c r="D75" s="4" t="s">
        <v>161</v>
      </c>
      <c r="E75" s="4" t="s">
        <v>159</v>
      </c>
      <c r="F75" s="4"/>
      <c r="G75" s="4"/>
      <c r="H75" s="4">
        <v>155000</v>
      </c>
      <c r="I75" s="4"/>
      <c r="J75" s="4"/>
      <c r="K75" s="4"/>
      <c r="L75" s="4"/>
      <c r="M75" s="4">
        <v>660000</v>
      </c>
      <c r="N75" s="94">
        <v>880000</v>
      </c>
      <c r="O75" s="9">
        <f t="shared" ref="O75:O84" si="232">SUM(F75:N75)</f>
        <v>1695000</v>
      </c>
      <c r="P75" s="20"/>
      <c r="Q75" s="20"/>
      <c r="R75" s="20"/>
      <c r="S75" s="20"/>
      <c r="T75" s="20"/>
      <c r="U75" s="20"/>
      <c r="V75" s="20"/>
      <c r="W75" s="20"/>
      <c r="X75" s="20"/>
      <c r="Y75" s="21">
        <f t="shared" ref="Y75:Y84" si="233">SUM(P75:X75)</f>
        <v>0</v>
      </c>
      <c r="Z75" s="25"/>
      <c r="AA75" s="20"/>
      <c r="AB75" s="20"/>
      <c r="AC75" s="20"/>
      <c r="AD75" s="20"/>
      <c r="AE75" s="20"/>
      <c r="AF75" s="21">
        <f t="shared" ref="AF75:AF84" si="234">SUM(Z75:AE75)</f>
        <v>0</v>
      </c>
      <c r="AG75" s="20"/>
      <c r="AH75" s="20"/>
      <c r="AI75" s="20"/>
      <c r="AJ75" s="20"/>
      <c r="AK75" s="20"/>
      <c r="AL75" s="20"/>
      <c r="AM75" s="20"/>
      <c r="AN75" s="20"/>
      <c r="AO75" s="20"/>
      <c r="AP75" s="9">
        <f t="shared" ref="AP75:AP84" si="235">SUM(AG75:AO75)</f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9">
        <f t="shared" ref="AZ75:AZ84" si="236">SUM(AQ75:AY75)</f>
        <v>0</v>
      </c>
      <c r="BA75" s="25"/>
      <c r="BB75" s="20"/>
      <c r="BC75" s="20"/>
      <c r="BD75" s="20"/>
      <c r="BE75" s="20"/>
      <c r="BF75" s="20"/>
      <c r="BG75" s="21">
        <f t="shared" ref="BG75:BG84" si="237">SUM(BA75:BF75)</f>
        <v>0</v>
      </c>
      <c r="BH75" s="25"/>
      <c r="BI75" s="25"/>
      <c r="BJ75" s="25"/>
      <c r="BK75" s="25"/>
      <c r="BL75" s="20"/>
      <c r="BM75" s="20"/>
      <c r="BN75" s="20"/>
      <c r="BO75" s="20"/>
      <c r="BP75" s="20"/>
      <c r="BQ75" s="21">
        <f t="shared" ref="BQ75:BQ84" si="238">SUM(BH75:BP75)</f>
        <v>0</v>
      </c>
      <c r="BR75" s="4">
        <f t="shared" ref="BR75:BR84" si="239">F75+P75+AG75+AQ75+BH75</f>
        <v>0</v>
      </c>
      <c r="BS75" s="4">
        <f t="shared" ref="BS75:BS84" si="240">G75+Q75+AH75+AR75+BI75</f>
        <v>0</v>
      </c>
      <c r="BT75" s="4">
        <f t="shared" ref="BT75:BT84" si="241">H75+R75+AI75+AS75+BJ75</f>
        <v>155000</v>
      </c>
      <c r="BU75" s="4">
        <f t="shared" ref="BU75:BU84" si="242">I75+S75+Z75+AJ75+AT75+BA75+BK75</f>
        <v>0</v>
      </c>
      <c r="BV75" s="94">
        <f t="shared" ref="BV75:BV84" si="243">J75+T75+AA75+AK75+AU75+BB75+BL75</f>
        <v>0</v>
      </c>
      <c r="BW75" s="94">
        <f t="shared" ref="BW75:BW84" si="244">K75+U75+AB75+AM75+AV75+BC75+BM75</f>
        <v>0</v>
      </c>
      <c r="BX75" s="94">
        <f t="shared" ref="BX75:BX84" si="245">L75+V75+AC75+AM75+AW75+BD75+BN75</f>
        <v>0</v>
      </c>
      <c r="BY75" s="94">
        <f t="shared" ref="BY75:BY84" si="246">M75+W75+AD75+AO75+AX75+BE75+BO75</f>
        <v>660000</v>
      </c>
      <c r="BZ75" s="94">
        <f t="shared" ref="BZ75:BZ84" si="247">N75+X75+AE75+AO75+AY75+BF75+BP75</f>
        <v>880000</v>
      </c>
      <c r="CA75" s="9">
        <f t="shared" ref="CA75:CA84" si="248">SUM(BR75:BZ75)</f>
        <v>1695000</v>
      </c>
    </row>
    <row r="76" spans="1:79">
      <c r="A76" s="186"/>
      <c r="B76" s="8">
        <v>2</v>
      </c>
      <c r="C76" s="1" t="s">
        <v>162</v>
      </c>
      <c r="D76" s="4" t="s">
        <v>163</v>
      </c>
      <c r="E76" s="4" t="s">
        <v>159</v>
      </c>
      <c r="F76" s="4"/>
      <c r="G76" s="4">
        <v>430000</v>
      </c>
      <c r="H76" s="4">
        <f>60500+60500+286000+100000</f>
        <v>507000</v>
      </c>
      <c r="I76" s="4">
        <v>136500</v>
      </c>
      <c r="J76" s="4"/>
      <c r="K76" s="4"/>
      <c r="L76" s="4"/>
      <c r="M76" s="4"/>
      <c r="N76" s="4"/>
      <c r="O76" s="9">
        <f t="shared" si="232"/>
        <v>1073500</v>
      </c>
      <c r="P76" s="20"/>
      <c r="Q76" s="20"/>
      <c r="R76" s="20"/>
      <c r="S76" s="20"/>
      <c r="T76" s="20"/>
      <c r="U76" s="20"/>
      <c r="V76" s="20"/>
      <c r="W76" s="20"/>
      <c r="X76" s="20"/>
      <c r="Y76" s="21">
        <f t="shared" si="233"/>
        <v>0</v>
      </c>
      <c r="Z76" s="25"/>
      <c r="AA76" s="20"/>
      <c r="AB76" s="20"/>
      <c r="AC76" s="20"/>
      <c r="AD76" s="20"/>
      <c r="AE76" s="20"/>
      <c r="AF76" s="21">
        <f t="shared" si="234"/>
        <v>0</v>
      </c>
      <c r="AG76" s="20"/>
      <c r="AH76" s="20"/>
      <c r="AI76" s="20"/>
      <c r="AJ76" s="20"/>
      <c r="AK76" s="20"/>
      <c r="AL76" s="20"/>
      <c r="AM76" s="20"/>
      <c r="AN76" s="20"/>
      <c r="AO76" s="20"/>
      <c r="AP76" s="9">
        <f t="shared" si="235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9">
        <f t="shared" si="236"/>
        <v>0</v>
      </c>
      <c r="BA76" s="25"/>
      <c r="BB76" s="20"/>
      <c r="BC76" s="20"/>
      <c r="BD76" s="20"/>
      <c r="BE76" s="20"/>
      <c r="BF76" s="20"/>
      <c r="BG76" s="21">
        <f t="shared" si="237"/>
        <v>0</v>
      </c>
      <c r="BH76" s="25"/>
      <c r="BI76" s="25"/>
      <c r="BJ76" s="25"/>
      <c r="BK76" s="25"/>
      <c r="BL76" s="20"/>
      <c r="BM76" s="20"/>
      <c r="BN76" s="20"/>
      <c r="BO76" s="20"/>
      <c r="BP76" s="20"/>
      <c r="BQ76" s="21">
        <f t="shared" si="238"/>
        <v>0</v>
      </c>
      <c r="BR76" s="4">
        <f t="shared" si="239"/>
        <v>0</v>
      </c>
      <c r="BS76" s="4">
        <f t="shared" si="240"/>
        <v>430000</v>
      </c>
      <c r="BT76" s="4">
        <f t="shared" si="241"/>
        <v>507000</v>
      </c>
      <c r="BU76" s="4">
        <f t="shared" si="242"/>
        <v>136500</v>
      </c>
      <c r="BV76" s="94">
        <f t="shared" si="243"/>
        <v>0</v>
      </c>
      <c r="BW76" s="94">
        <f t="shared" si="244"/>
        <v>0</v>
      </c>
      <c r="BX76" s="94">
        <f t="shared" si="245"/>
        <v>0</v>
      </c>
      <c r="BY76" s="94">
        <f t="shared" si="246"/>
        <v>0</v>
      </c>
      <c r="BZ76" s="94">
        <f t="shared" si="247"/>
        <v>0</v>
      </c>
      <c r="CA76" s="9">
        <f t="shared" si="248"/>
        <v>1073500</v>
      </c>
    </row>
    <row r="77" spans="1:79" ht="47.25">
      <c r="A77" s="186"/>
      <c r="B77" s="8">
        <v>3</v>
      </c>
      <c r="C77" s="156" t="s">
        <v>506</v>
      </c>
      <c r="D77" s="156" t="s">
        <v>507</v>
      </c>
      <c r="E77" s="156" t="s">
        <v>159</v>
      </c>
      <c r="F77" s="4"/>
      <c r="G77" s="4"/>
      <c r="H77" s="4"/>
      <c r="I77" s="4"/>
      <c r="J77" s="4"/>
      <c r="K77" s="4"/>
      <c r="L77" s="4"/>
      <c r="M77" s="4"/>
      <c r="N77" s="4"/>
      <c r="O77" s="9">
        <f t="shared" si="232"/>
        <v>0</v>
      </c>
      <c r="P77" s="20"/>
      <c r="Q77" s="20"/>
      <c r="R77" s="20"/>
      <c r="S77" s="20"/>
      <c r="T77" s="20"/>
      <c r="U77" s="20"/>
      <c r="V77" s="20"/>
      <c r="W77" s="20"/>
      <c r="X77" s="20"/>
      <c r="Y77" s="21">
        <f t="shared" si="233"/>
        <v>0</v>
      </c>
      <c r="Z77" s="25"/>
      <c r="AA77" s="20"/>
      <c r="AB77" s="20"/>
      <c r="AC77" s="20"/>
      <c r="AD77" s="20"/>
      <c r="AE77" s="20"/>
      <c r="AF77" s="21">
        <f t="shared" si="234"/>
        <v>0</v>
      </c>
      <c r="AG77" s="20"/>
      <c r="AH77" s="20"/>
      <c r="AI77" s="20"/>
      <c r="AJ77" s="20"/>
      <c r="AK77" s="20"/>
      <c r="AL77" s="20"/>
      <c r="AM77" s="20"/>
      <c r="AN77" s="20"/>
      <c r="AO77" s="20"/>
      <c r="AP77" s="9">
        <f t="shared" si="235"/>
        <v>0</v>
      </c>
      <c r="AQ77" s="4"/>
      <c r="AR77" s="4"/>
      <c r="AS77" s="4"/>
      <c r="AT77" s="4"/>
      <c r="AU77" s="4"/>
      <c r="AV77" s="4"/>
      <c r="AW77" s="4"/>
      <c r="AX77" s="4">
        <f>180000+240000+120000+180000</f>
        <v>720000</v>
      </c>
      <c r="AY77" s="4"/>
      <c r="AZ77" s="9">
        <f t="shared" si="236"/>
        <v>720000</v>
      </c>
      <c r="BA77" s="25"/>
      <c r="BB77" s="20"/>
      <c r="BC77" s="20"/>
      <c r="BD77" s="20"/>
      <c r="BE77" s="20"/>
      <c r="BF77" s="20"/>
      <c r="BG77" s="21">
        <f t="shared" si="237"/>
        <v>0</v>
      </c>
      <c r="BH77" s="25"/>
      <c r="BI77" s="25"/>
      <c r="BJ77" s="25"/>
      <c r="BK77" s="25"/>
      <c r="BL77" s="20"/>
      <c r="BM77" s="20"/>
      <c r="BN77" s="20"/>
      <c r="BO77" s="20"/>
      <c r="BP77" s="20"/>
      <c r="BQ77" s="21">
        <f t="shared" si="238"/>
        <v>0</v>
      </c>
      <c r="BR77" s="4">
        <f t="shared" si="239"/>
        <v>0</v>
      </c>
      <c r="BS77" s="4">
        <f t="shared" si="240"/>
        <v>0</v>
      </c>
      <c r="BT77" s="4">
        <f t="shared" si="241"/>
        <v>0</v>
      </c>
      <c r="BU77" s="4">
        <f t="shared" si="242"/>
        <v>0</v>
      </c>
      <c r="BV77" s="94">
        <f t="shared" si="243"/>
        <v>0</v>
      </c>
      <c r="BW77" s="94">
        <f t="shared" si="244"/>
        <v>0</v>
      </c>
      <c r="BX77" s="94">
        <f t="shared" si="245"/>
        <v>0</v>
      </c>
      <c r="BY77" s="94">
        <f t="shared" si="246"/>
        <v>720000</v>
      </c>
      <c r="BZ77" s="94">
        <f t="shared" si="247"/>
        <v>0</v>
      </c>
      <c r="CA77" s="9">
        <f t="shared" si="248"/>
        <v>720000</v>
      </c>
    </row>
    <row r="78" spans="1:79">
      <c r="A78" s="186"/>
      <c r="B78" s="8">
        <v>4</v>
      </c>
      <c r="C78" s="1" t="s">
        <v>164</v>
      </c>
      <c r="D78" s="4" t="s">
        <v>165</v>
      </c>
      <c r="E78" s="4" t="s">
        <v>159</v>
      </c>
      <c r="F78" s="4"/>
      <c r="G78" s="4">
        <v>942500</v>
      </c>
      <c r="H78" s="4">
        <v>87500</v>
      </c>
      <c r="I78" s="4"/>
      <c r="J78" s="4"/>
      <c r="K78" s="4"/>
      <c r="L78" s="4"/>
      <c r="M78" s="4"/>
      <c r="N78" s="4"/>
      <c r="O78" s="9">
        <f t="shared" si="232"/>
        <v>1030000</v>
      </c>
      <c r="P78" s="20"/>
      <c r="Q78" s="20"/>
      <c r="R78" s="25"/>
      <c r="S78" s="25"/>
      <c r="T78" s="20"/>
      <c r="U78" s="20"/>
      <c r="V78" s="20"/>
      <c r="W78" s="20"/>
      <c r="X78" s="20"/>
      <c r="Y78" s="21">
        <f t="shared" si="233"/>
        <v>0</v>
      </c>
      <c r="Z78" s="25"/>
      <c r="AA78" s="20"/>
      <c r="AB78" s="20"/>
      <c r="AC78" s="20"/>
      <c r="AD78" s="20"/>
      <c r="AE78" s="20"/>
      <c r="AF78" s="21">
        <f t="shared" si="234"/>
        <v>0</v>
      </c>
      <c r="AG78" s="20"/>
      <c r="AH78" s="22">
        <v>794000</v>
      </c>
      <c r="AI78" s="20"/>
      <c r="AJ78" s="20"/>
      <c r="AK78" s="20"/>
      <c r="AL78" s="20"/>
      <c r="AM78" s="20"/>
      <c r="AN78" s="20"/>
      <c r="AO78" s="20"/>
      <c r="AP78" s="9">
        <f t="shared" si="235"/>
        <v>794000</v>
      </c>
      <c r="AQ78" s="4"/>
      <c r="AR78" s="4"/>
      <c r="AS78" s="4"/>
      <c r="AT78" s="4"/>
      <c r="AU78" s="4"/>
      <c r="AV78" s="4"/>
      <c r="AW78" s="4"/>
      <c r="AX78" s="4"/>
      <c r="AY78" s="4"/>
      <c r="AZ78" s="9">
        <f t="shared" si="236"/>
        <v>0</v>
      </c>
      <c r="BA78" s="25"/>
      <c r="BB78" s="20"/>
      <c r="BC78" s="20"/>
      <c r="BD78" s="20"/>
      <c r="BE78" s="20"/>
      <c r="BF78" s="20"/>
      <c r="BG78" s="21">
        <f t="shared" si="237"/>
        <v>0</v>
      </c>
      <c r="BH78" s="25"/>
      <c r="BI78" s="25"/>
      <c r="BJ78" s="25"/>
      <c r="BK78" s="25"/>
      <c r="BL78" s="20"/>
      <c r="BM78" s="20"/>
      <c r="BN78" s="20"/>
      <c r="BO78" s="20"/>
      <c r="BP78" s="20"/>
      <c r="BQ78" s="21">
        <f t="shared" si="238"/>
        <v>0</v>
      </c>
      <c r="BR78" s="4">
        <f t="shared" si="239"/>
        <v>0</v>
      </c>
      <c r="BS78" s="4">
        <f t="shared" si="240"/>
        <v>1736500</v>
      </c>
      <c r="BT78" s="4">
        <f t="shared" si="241"/>
        <v>87500</v>
      </c>
      <c r="BU78" s="4">
        <f t="shared" si="242"/>
        <v>0</v>
      </c>
      <c r="BV78" s="94">
        <f t="shared" si="243"/>
        <v>0</v>
      </c>
      <c r="BW78" s="94">
        <f t="shared" si="244"/>
        <v>0</v>
      </c>
      <c r="BX78" s="94">
        <f t="shared" si="245"/>
        <v>0</v>
      </c>
      <c r="BY78" s="94">
        <f t="shared" si="246"/>
        <v>0</v>
      </c>
      <c r="BZ78" s="94">
        <f t="shared" si="247"/>
        <v>0</v>
      </c>
      <c r="CA78" s="9">
        <f t="shared" si="248"/>
        <v>1824000</v>
      </c>
    </row>
    <row r="79" spans="1:79">
      <c r="A79" s="186"/>
      <c r="B79" s="8">
        <v>5</v>
      </c>
      <c r="C79" s="1" t="s">
        <v>166</v>
      </c>
      <c r="D79" s="4" t="s">
        <v>167</v>
      </c>
      <c r="E79" s="4" t="s">
        <v>159</v>
      </c>
      <c r="F79" s="4"/>
      <c r="G79" s="4"/>
      <c r="H79" s="4">
        <f>155000+104500+93500+110000+20000</f>
        <v>483000</v>
      </c>
      <c r="I79" s="4">
        <v>884000</v>
      </c>
      <c r="J79" s="4">
        <f>70000+210000+210000+210000+140000</f>
        <v>840000</v>
      </c>
      <c r="K79" s="4">
        <f>1000000+220000+110000</f>
        <v>1330000</v>
      </c>
      <c r="L79" s="4">
        <v>1320000</v>
      </c>
      <c r="M79" s="4">
        <v>1210000</v>
      </c>
      <c r="N79" s="94">
        <v>880000</v>
      </c>
      <c r="O79" s="9">
        <f t="shared" si="232"/>
        <v>6947000</v>
      </c>
      <c r="P79" s="20"/>
      <c r="Q79" s="20"/>
      <c r="R79" s="20"/>
      <c r="S79" s="20"/>
      <c r="T79" s="20"/>
      <c r="U79" s="20"/>
      <c r="V79" s="20"/>
      <c r="W79" s="20"/>
      <c r="X79" s="20"/>
      <c r="Y79" s="21">
        <f t="shared" si="233"/>
        <v>0</v>
      </c>
      <c r="Z79" s="25"/>
      <c r="AA79" s="20"/>
      <c r="AB79" s="20"/>
      <c r="AC79" s="20"/>
      <c r="AD79" s="20"/>
      <c r="AE79" s="20"/>
      <c r="AF79" s="21">
        <f t="shared" si="234"/>
        <v>0</v>
      </c>
      <c r="AG79" s="20"/>
      <c r="AH79" s="20"/>
      <c r="AI79" s="20"/>
      <c r="AJ79" s="20"/>
      <c r="AK79" s="20"/>
      <c r="AL79" s="20"/>
      <c r="AM79" s="20"/>
      <c r="AN79" s="20"/>
      <c r="AO79" s="20"/>
      <c r="AP79" s="9">
        <f t="shared" si="235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9">
        <f t="shared" si="236"/>
        <v>0</v>
      </c>
      <c r="BA79" s="25"/>
      <c r="BB79" s="20"/>
      <c r="BC79" s="20"/>
      <c r="BD79" s="20"/>
      <c r="BE79" s="20"/>
      <c r="BF79" s="20"/>
      <c r="BG79" s="21">
        <f t="shared" si="237"/>
        <v>0</v>
      </c>
      <c r="BH79" s="25"/>
      <c r="BI79" s="25"/>
      <c r="BJ79" s="25"/>
      <c r="BK79" s="25"/>
      <c r="BL79" s="20"/>
      <c r="BM79" s="20"/>
      <c r="BN79" s="20"/>
      <c r="BO79" s="20"/>
      <c r="BP79" s="20"/>
      <c r="BQ79" s="21">
        <f t="shared" si="238"/>
        <v>0</v>
      </c>
      <c r="BR79" s="4">
        <f t="shared" si="239"/>
        <v>0</v>
      </c>
      <c r="BS79" s="4">
        <f t="shared" si="240"/>
        <v>0</v>
      </c>
      <c r="BT79" s="4">
        <f t="shared" si="241"/>
        <v>483000</v>
      </c>
      <c r="BU79" s="4">
        <f t="shared" si="242"/>
        <v>884000</v>
      </c>
      <c r="BV79" s="94">
        <f t="shared" si="243"/>
        <v>840000</v>
      </c>
      <c r="BW79" s="94">
        <f t="shared" si="244"/>
        <v>1330000</v>
      </c>
      <c r="BX79" s="94">
        <f t="shared" si="245"/>
        <v>1320000</v>
      </c>
      <c r="BY79" s="94">
        <f t="shared" si="246"/>
        <v>1210000</v>
      </c>
      <c r="BZ79" s="94">
        <f t="shared" si="247"/>
        <v>880000</v>
      </c>
      <c r="CA79" s="9">
        <f t="shared" si="248"/>
        <v>6947000</v>
      </c>
    </row>
    <row r="80" spans="1:79">
      <c r="A80" s="186"/>
      <c r="B80" s="8">
        <v>6</v>
      </c>
      <c r="C80" s="1" t="s">
        <v>168</v>
      </c>
      <c r="D80" s="4" t="s">
        <v>169</v>
      </c>
      <c r="E80" s="4" t="s">
        <v>159</v>
      </c>
      <c r="F80" s="4"/>
      <c r="G80" s="4">
        <v>155000</v>
      </c>
      <c r="H80" s="4">
        <v>469000</v>
      </c>
      <c r="I80" s="4">
        <v>632000</v>
      </c>
      <c r="J80" s="4">
        <f>38500+126000+129500+112000+70000</f>
        <v>476000</v>
      </c>
      <c r="K80" s="4">
        <v>35000</v>
      </c>
      <c r="L80" s="4"/>
      <c r="M80" s="4">
        <v>1043000</v>
      </c>
      <c r="N80" s="94">
        <v>862500</v>
      </c>
      <c r="O80" s="9">
        <f t="shared" si="232"/>
        <v>3672500</v>
      </c>
      <c r="P80" s="20"/>
      <c r="Q80" s="20"/>
      <c r="R80" s="20"/>
      <c r="S80" s="20"/>
      <c r="T80" s="20"/>
      <c r="U80" s="20"/>
      <c r="V80" s="20"/>
      <c r="W80" s="20"/>
      <c r="X80" s="20"/>
      <c r="Y80" s="21">
        <f t="shared" si="233"/>
        <v>0</v>
      </c>
      <c r="Z80" s="25"/>
      <c r="AA80" s="20"/>
      <c r="AB80" s="20"/>
      <c r="AC80" s="20"/>
      <c r="AD80" s="20"/>
      <c r="AE80" s="20"/>
      <c r="AF80" s="21">
        <f t="shared" si="234"/>
        <v>0</v>
      </c>
      <c r="AG80" s="20"/>
      <c r="AH80" s="20"/>
      <c r="AI80" s="20"/>
      <c r="AJ80" s="20"/>
      <c r="AK80" s="20"/>
      <c r="AL80" s="20"/>
      <c r="AM80" s="20"/>
      <c r="AN80" s="20"/>
      <c r="AO80" s="20"/>
      <c r="AP80" s="9">
        <f t="shared" si="235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9">
        <f t="shared" si="236"/>
        <v>0</v>
      </c>
      <c r="BA80" s="25"/>
      <c r="BB80" s="20"/>
      <c r="BC80" s="20"/>
      <c r="BD80" s="20"/>
      <c r="BE80" s="20"/>
      <c r="BF80" s="20"/>
      <c r="BG80" s="21">
        <f t="shared" si="237"/>
        <v>0</v>
      </c>
      <c r="BH80" s="25"/>
      <c r="BI80" s="25"/>
      <c r="BJ80" s="25"/>
      <c r="BK80" s="25"/>
      <c r="BL80" s="20"/>
      <c r="BM80" s="20"/>
      <c r="BN80" s="20"/>
      <c r="BO80" s="20"/>
      <c r="BP80" s="20"/>
      <c r="BQ80" s="21">
        <f t="shared" si="238"/>
        <v>0</v>
      </c>
      <c r="BR80" s="4">
        <f t="shared" si="239"/>
        <v>0</v>
      </c>
      <c r="BS80" s="4">
        <f t="shared" si="240"/>
        <v>155000</v>
      </c>
      <c r="BT80" s="4">
        <f t="shared" si="241"/>
        <v>469000</v>
      </c>
      <c r="BU80" s="4">
        <f t="shared" si="242"/>
        <v>632000</v>
      </c>
      <c r="BV80" s="94">
        <f t="shared" si="243"/>
        <v>476000</v>
      </c>
      <c r="BW80" s="94">
        <f t="shared" si="244"/>
        <v>35000</v>
      </c>
      <c r="BX80" s="94">
        <f t="shared" si="245"/>
        <v>0</v>
      </c>
      <c r="BY80" s="94">
        <f t="shared" si="246"/>
        <v>1043000</v>
      </c>
      <c r="BZ80" s="94">
        <f t="shared" si="247"/>
        <v>862500</v>
      </c>
      <c r="CA80" s="9">
        <f t="shared" si="248"/>
        <v>3672500</v>
      </c>
    </row>
    <row r="81" spans="1:79">
      <c r="A81" s="186"/>
      <c r="B81" s="8">
        <v>7</v>
      </c>
      <c r="C81" s="1" t="s">
        <v>170</v>
      </c>
      <c r="D81" s="4" t="s">
        <v>171</v>
      </c>
      <c r="E81" s="4" t="s">
        <v>159</v>
      </c>
      <c r="F81" s="4"/>
      <c r="G81" s="4"/>
      <c r="H81" s="4"/>
      <c r="I81" s="4"/>
      <c r="J81" s="4"/>
      <c r="K81" s="4"/>
      <c r="L81" s="4"/>
      <c r="M81" s="4"/>
      <c r="N81" s="4"/>
      <c r="O81" s="9">
        <f t="shared" si="232"/>
        <v>0</v>
      </c>
      <c r="P81" s="20"/>
      <c r="Q81" s="25">
        <v>232800</v>
      </c>
      <c r="R81" s="25">
        <v>424050</v>
      </c>
      <c r="S81" s="25">
        <v>229000</v>
      </c>
      <c r="T81" s="20">
        <f>59500+31500+168000+126000+42000</f>
        <v>427000</v>
      </c>
      <c r="U81" s="20">
        <f>411600+138600+46200</f>
        <v>596400</v>
      </c>
      <c r="V81" s="20">
        <v>596750</v>
      </c>
      <c r="W81" s="20">
        <v>531200</v>
      </c>
      <c r="X81" s="20"/>
      <c r="Y81" s="21">
        <f t="shared" si="233"/>
        <v>3037200</v>
      </c>
      <c r="Z81" s="25"/>
      <c r="AA81" s="20"/>
      <c r="AB81" s="20"/>
      <c r="AC81" s="20"/>
      <c r="AD81" s="20"/>
      <c r="AE81" s="20"/>
      <c r="AF81" s="21">
        <f t="shared" si="234"/>
        <v>0</v>
      </c>
      <c r="AG81" s="20"/>
      <c r="AH81" s="20"/>
      <c r="AI81" s="20"/>
      <c r="AJ81" s="20"/>
      <c r="AK81" s="20"/>
      <c r="AL81" s="20"/>
      <c r="AM81" s="20"/>
      <c r="AN81" s="20"/>
      <c r="AO81" s="20"/>
      <c r="AP81" s="9">
        <f t="shared" si="235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9">
        <f t="shared" si="236"/>
        <v>0</v>
      </c>
      <c r="BA81" s="25"/>
      <c r="BB81" s="20"/>
      <c r="BC81" s="20"/>
      <c r="BD81" s="20"/>
      <c r="BE81" s="20"/>
      <c r="BF81" s="20"/>
      <c r="BG81" s="21">
        <f t="shared" si="237"/>
        <v>0</v>
      </c>
      <c r="BH81" s="25"/>
      <c r="BI81" s="25"/>
      <c r="BJ81" s="25"/>
      <c r="BK81" s="25"/>
      <c r="BL81" s="20"/>
      <c r="BM81" s="20"/>
      <c r="BN81" s="20"/>
      <c r="BO81" s="20"/>
      <c r="BP81" s="20"/>
      <c r="BQ81" s="21">
        <f t="shared" si="238"/>
        <v>0</v>
      </c>
      <c r="BR81" s="4">
        <f t="shared" si="239"/>
        <v>0</v>
      </c>
      <c r="BS81" s="4">
        <f t="shared" si="240"/>
        <v>232800</v>
      </c>
      <c r="BT81" s="4">
        <f t="shared" si="241"/>
        <v>424050</v>
      </c>
      <c r="BU81" s="4">
        <f t="shared" si="242"/>
        <v>229000</v>
      </c>
      <c r="BV81" s="94">
        <f t="shared" si="243"/>
        <v>427000</v>
      </c>
      <c r="BW81" s="94">
        <f t="shared" si="244"/>
        <v>596400</v>
      </c>
      <c r="BX81" s="94">
        <f t="shared" si="245"/>
        <v>596750</v>
      </c>
      <c r="BY81" s="94">
        <f t="shared" si="246"/>
        <v>531200</v>
      </c>
      <c r="BZ81" s="94">
        <f t="shared" si="247"/>
        <v>0</v>
      </c>
      <c r="CA81" s="9">
        <f t="shared" si="248"/>
        <v>3037200</v>
      </c>
    </row>
    <row r="82" spans="1:79">
      <c r="A82" s="186"/>
      <c r="B82" s="8">
        <v>8</v>
      </c>
      <c r="C82" s="1" t="s">
        <v>172</v>
      </c>
      <c r="D82" s="4" t="s">
        <v>165</v>
      </c>
      <c r="E82" s="4" t="s">
        <v>159</v>
      </c>
      <c r="F82" s="4"/>
      <c r="G82" s="4"/>
      <c r="H82" s="4">
        <v>155000</v>
      </c>
      <c r="I82" s="4">
        <v>-155000</v>
      </c>
      <c r="J82" s="4"/>
      <c r="K82" s="4"/>
      <c r="L82" s="4"/>
      <c r="M82" s="4"/>
      <c r="N82" s="4"/>
      <c r="O82" s="9">
        <f t="shared" si="232"/>
        <v>0</v>
      </c>
      <c r="P82" s="20"/>
      <c r="Q82" s="20"/>
      <c r="R82" s="20"/>
      <c r="S82" s="20"/>
      <c r="T82" s="20"/>
      <c r="U82" s="20"/>
      <c r="V82" s="20"/>
      <c r="W82" s="20"/>
      <c r="X82" s="20"/>
      <c r="Y82" s="21">
        <f t="shared" si="233"/>
        <v>0</v>
      </c>
      <c r="Z82" s="25"/>
      <c r="AA82" s="20"/>
      <c r="AB82" s="20"/>
      <c r="AC82" s="20"/>
      <c r="AD82" s="20"/>
      <c r="AE82" s="20"/>
      <c r="AF82" s="21">
        <f t="shared" si="234"/>
        <v>0</v>
      </c>
      <c r="AG82" s="20"/>
      <c r="AH82" s="20"/>
      <c r="AI82" s="20"/>
      <c r="AJ82" s="20"/>
      <c r="AK82" s="20"/>
      <c r="AL82" s="20"/>
      <c r="AM82" s="20"/>
      <c r="AN82" s="20"/>
      <c r="AO82" s="20"/>
      <c r="AP82" s="9">
        <f t="shared" si="235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9">
        <f t="shared" si="236"/>
        <v>0</v>
      </c>
      <c r="BA82" s="25"/>
      <c r="BB82" s="20"/>
      <c r="BC82" s="20"/>
      <c r="BD82" s="20"/>
      <c r="BE82" s="20"/>
      <c r="BF82" s="20"/>
      <c r="BG82" s="21">
        <f t="shared" si="237"/>
        <v>0</v>
      </c>
      <c r="BH82" s="25"/>
      <c r="BI82" s="25"/>
      <c r="BJ82" s="25"/>
      <c r="BK82" s="25"/>
      <c r="BL82" s="20"/>
      <c r="BM82" s="20"/>
      <c r="BN82" s="20"/>
      <c r="BO82" s="20"/>
      <c r="BP82" s="20"/>
      <c r="BQ82" s="21">
        <f t="shared" si="238"/>
        <v>0</v>
      </c>
      <c r="BR82" s="4">
        <f t="shared" si="239"/>
        <v>0</v>
      </c>
      <c r="BS82" s="4">
        <f t="shared" si="240"/>
        <v>0</v>
      </c>
      <c r="BT82" s="4">
        <f t="shared" si="241"/>
        <v>155000</v>
      </c>
      <c r="BU82" s="4">
        <f t="shared" si="242"/>
        <v>-155000</v>
      </c>
      <c r="BV82" s="94">
        <f t="shared" si="243"/>
        <v>0</v>
      </c>
      <c r="BW82" s="94">
        <f t="shared" si="244"/>
        <v>0</v>
      </c>
      <c r="BX82" s="94">
        <f t="shared" si="245"/>
        <v>0</v>
      </c>
      <c r="BY82" s="94">
        <f t="shared" si="246"/>
        <v>0</v>
      </c>
      <c r="BZ82" s="94">
        <f t="shared" si="247"/>
        <v>0</v>
      </c>
      <c r="CA82" s="9">
        <f t="shared" si="248"/>
        <v>0</v>
      </c>
    </row>
    <row r="83" spans="1:79" ht="31.5">
      <c r="A83" s="186"/>
      <c r="B83" s="8">
        <v>9</v>
      </c>
      <c r="C83" s="1" t="s">
        <v>173</v>
      </c>
      <c r="D83" s="4" t="s">
        <v>174</v>
      </c>
      <c r="E83" s="4" t="s">
        <v>159</v>
      </c>
      <c r="F83" s="4"/>
      <c r="G83" s="4"/>
      <c r="H83" s="4">
        <v>155000</v>
      </c>
      <c r="I83" s="4"/>
      <c r="J83" s="4"/>
      <c r="K83" s="4"/>
      <c r="L83" s="4"/>
      <c r="M83" s="4"/>
      <c r="N83" s="4"/>
      <c r="O83" s="9">
        <f t="shared" si="232"/>
        <v>155000</v>
      </c>
      <c r="P83" s="20"/>
      <c r="Q83" s="20"/>
      <c r="R83" s="20"/>
      <c r="S83" s="20"/>
      <c r="T83" s="20"/>
      <c r="U83" s="20"/>
      <c r="V83" s="20"/>
      <c r="W83" s="20"/>
      <c r="X83" s="20"/>
      <c r="Y83" s="21">
        <f t="shared" si="233"/>
        <v>0</v>
      </c>
      <c r="Z83" s="25"/>
      <c r="AA83" s="20"/>
      <c r="AB83" s="20"/>
      <c r="AC83" s="20"/>
      <c r="AD83" s="20"/>
      <c r="AE83" s="20"/>
      <c r="AF83" s="21">
        <f t="shared" si="234"/>
        <v>0</v>
      </c>
      <c r="AG83" s="20"/>
      <c r="AH83" s="20"/>
      <c r="AI83" s="20"/>
      <c r="AJ83" s="20"/>
      <c r="AK83" s="20"/>
      <c r="AL83" s="20"/>
      <c r="AM83" s="20"/>
      <c r="AN83" s="20"/>
      <c r="AO83" s="20"/>
      <c r="AP83" s="9">
        <f t="shared" si="235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9">
        <f t="shared" si="236"/>
        <v>0</v>
      </c>
      <c r="BA83" s="25"/>
      <c r="BB83" s="20"/>
      <c r="BC83" s="20"/>
      <c r="BD83" s="20"/>
      <c r="BE83" s="20"/>
      <c r="BF83" s="20"/>
      <c r="BG83" s="21">
        <f t="shared" si="237"/>
        <v>0</v>
      </c>
      <c r="BH83" s="25"/>
      <c r="BI83" s="25"/>
      <c r="BJ83" s="25"/>
      <c r="BK83" s="25"/>
      <c r="BL83" s="20"/>
      <c r="BM83" s="20"/>
      <c r="BN83" s="20"/>
      <c r="BO83" s="20"/>
      <c r="BP83" s="20"/>
      <c r="BQ83" s="21">
        <f t="shared" si="238"/>
        <v>0</v>
      </c>
      <c r="BR83" s="4">
        <f t="shared" si="239"/>
        <v>0</v>
      </c>
      <c r="BS83" s="4">
        <f t="shared" si="240"/>
        <v>0</v>
      </c>
      <c r="BT83" s="4">
        <f t="shared" si="241"/>
        <v>155000</v>
      </c>
      <c r="BU83" s="4">
        <f t="shared" si="242"/>
        <v>0</v>
      </c>
      <c r="BV83" s="94">
        <f t="shared" si="243"/>
        <v>0</v>
      </c>
      <c r="BW83" s="94">
        <f t="shared" si="244"/>
        <v>0</v>
      </c>
      <c r="BX83" s="94">
        <f t="shared" si="245"/>
        <v>0</v>
      </c>
      <c r="BY83" s="94">
        <f t="shared" si="246"/>
        <v>0</v>
      </c>
      <c r="BZ83" s="94">
        <f t="shared" si="247"/>
        <v>0</v>
      </c>
      <c r="CA83" s="9">
        <f t="shared" si="248"/>
        <v>155000</v>
      </c>
    </row>
    <row r="84" spans="1:79">
      <c r="A84" s="187"/>
      <c r="B84" s="8">
        <v>10</v>
      </c>
      <c r="C84" s="1" t="s">
        <v>175</v>
      </c>
      <c r="D84" s="4" t="s">
        <v>163</v>
      </c>
      <c r="E84" s="4" t="s">
        <v>159</v>
      </c>
      <c r="F84" s="4"/>
      <c r="G84" s="4"/>
      <c r="H84" s="4">
        <v>155000</v>
      </c>
      <c r="I84" s="4">
        <v>776500</v>
      </c>
      <c r="J84" s="4">
        <f>200000+273000+210000+140000</f>
        <v>823000</v>
      </c>
      <c r="K84" s="4">
        <v>160000</v>
      </c>
      <c r="L84" s="4"/>
      <c r="M84" s="4"/>
      <c r="N84" s="4"/>
      <c r="O84" s="9">
        <f t="shared" si="232"/>
        <v>1914500</v>
      </c>
      <c r="P84" s="20"/>
      <c r="Q84" s="20"/>
      <c r="R84" s="20"/>
      <c r="S84" s="20"/>
      <c r="T84" s="20"/>
      <c r="U84" s="20"/>
      <c r="V84" s="20"/>
      <c r="W84" s="20"/>
      <c r="X84" s="20"/>
      <c r="Y84" s="21">
        <f t="shared" si="233"/>
        <v>0</v>
      </c>
      <c r="Z84" s="25"/>
      <c r="AA84" s="20"/>
      <c r="AB84" s="20"/>
      <c r="AC84" s="20"/>
      <c r="AD84" s="20"/>
      <c r="AE84" s="20"/>
      <c r="AF84" s="21">
        <f t="shared" si="234"/>
        <v>0</v>
      </c>
      <c r="AG84" s="20"/>
      <c r="AH84" s="20"/>
      <c r="AI84" s="20"/>
      <c r="AJ84" s="20"/>
      <c r="AK84" s="20"/>
      <c r="AL84" s="20"/>
      <c r="AM84" s="20"/>
      <c r="AN84" s="20"/>
      <c r="AO84" s="20"/>
      <c r="AP84" s="9">
        <f t="shared" si="235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9">
        <f t="shared" si="236"/>
        <v>0</v>
      </c>
      <c r="BA84" s="25"/>
      <c r="BB84" s="20"/>
      <c r="BC84" s="20"/>
      <c r="BD84" s="20"/>
      <c r="BE84" s="20"/>
      <c r="BF84" s="20"/>
      <c r="BG84" s="21">
        <f t="shared" si="237"/>
        <v>0</v>
      </c>
      <c r="BH84" s="25"/>
      <c r="BI84" s="25"/>
      <c r="BJ84" s="25"/>
      <c r="BK84" s="25"/>
      <c r="BL84" s="20"/>
      <c r="BM84" s="20"/>
      <c r="BN84" s="20"/>
      <c r="BO84" s="20"/>
      <c r="BP84" s="20"/>
      <c r="BQ84" s="21">
        <f t="shared" si="238"/>
        <v>0</v>
      </c>
      <c r="BR84" s="4">
        <f t="shared" si="239"/>
        <v>0</v>
      </c>
      <c r="BS84" s="4">
        <f t="shared" si="240"/>
        <v>0</v>
      </c>
      <c r="BT84" s="4">
        <f t="shared" si="241"/>
        <v>155000</v>
      </c>
      <c r="BU84" s="4">
        <f t="shared" si="242"/>
        <v>776500</v>
      </c>
      <c r="BV84" s="94">
        <f t="shared" si="243"/>
        <v>823000</v>
      </c>
      <c r="BW84" s="94">
        <f t="shared" si="244"/>
        <v>160000</v>
      </c>
      <c r="BX84" s="94">
        <f t="shared" si="245"/>
        <v>0</v>
      </c>
      <c r="BY84" s="94">
        <f t="shared" si="246"/>
        <v>0</v>
      </c>
      <c r="BZ84" s="94">
        <f t="shared" si="247"/>
        <v>0</v>
      </c>
      <c r="CA84" s="9">
        <f t="shared" si="248"/>
        <v>1914500</v>
      </c>
    </row>
    <row r="85" spans="1:79" s="38" customFormat="1">
      <c r="A85" s="34"/>
      <c r="B85" s="34"/>
      <c r="C85" s="35" t="s">
        <v>176</v>
      </c>
      <c r="D85" s="37"/>
      <c r="E85" s="37"/>
      <c r="F85" s="37">
        <f>SUM(F75:F84)</f>
        <v>0</v>
      </c>
      <c r="G85" s="37">
        <f t="shared" ref="G85:CA85" si="249">SUM(G75:G84)</f>
        <v>1527500</v>
      </c>
      <c r="H85" s="37">
        <f t="shared" si="249"/>
        <v>2166500</v>
      </c>
      <c r="I85" s="37">
        <f t="shared" si="249"/>
        <v>2274000</v>
      </c>
      <c r="J85" s="37">
        <f t="shared" si="249"/>
        <v>2139000</v>
      </c>
      <c r="K85" s="37">
        <f t="shared" si="249"/>
        <v>1525000</v>
      </c>
      <c r="L85" s="37">
        <f t="shared" si="249"/>
        <v>1320000</v>
      </c>
      <c r="M85" s="37">
        <f t="shared" si="249"/>
        <v>2913000</v>
      </c>
      <c r="N85" s="37">
        <f t="shared" si="249"/>
        <v>2622500</v>
      </c>
      <c r="O85" s="37">
        <f t="shared" si="249"/>
        <v>16487500</v>
      </c>
      <c r="P85" s="37">
        <f t="shared" ref="P85:AP85" si="250">SUM(P75:P84)</f>
        <v>0</v>
      </c>
      <c r="Q85" s="37">
        <f t="shared" si="250"/>
        <v>232800</v>
      </c>
      <c r="R85" s="37">
        <f t="shared" si="250"/>
        <v>424050</v>
      </c>
      <c r="S85" s="37">
        <f t="shared" si="250"/>
        <v>229000</v>
      </c>
      <c r="T85" s="37">
        <f t="shared" si="250"/>
        <v>427000</v>
      </c>
      <c r="U85" s="37">
        <f t="shared" si="250"/>
        <v>596400</v>
      </c>
      <c r="V85" s="37">
        <f t="shared" si="250"/>
        <v>596750</v>
      </c>
      <c r="W85" s="37">
        <f t="shared" si="250"/>
        <v>531200</v>
      </c>
      <c r="X85" s="37">
        <f t="shared" si="250"/>
        <v>0</v>
      </c>
      <c r="Y85" s="37">
        <f t="shared" si="250"/>
        <v>3037200</v>
      </c>
      <c r="Z85" s="37">
        <f t="shared" si="250"/>
        <v>0</v>
      </c>
      <c r="AA85" s="37">
        <f t="shared" si="250"/>
        <v>0</v>
      </c>
      <c r="AB85" s="37">
        <f t="shared" si="250"/>
        <v>0</v>
      </c>
      <c r="AC85" s="37">
        <f t="shared" si="250"/>
        <v>0</v>
      </c>
      <c r="AD85" s="37">
        <f t="shared" si="250"/>
        <v>0</v>
      </c>
      <c r="AE85" s="37">
        <f t="shared" si="250"/>
        <v>0</v>
      </c>
      <c r="AF85" s="37">
        <f t="shared" si="250"/>
        <v>0</v>
      </c>
      <c r="AG85" s="37">
        <f t="shared" si="250"/>
        <v>0</v>
      </c>
      <c r="AH85" s="37">
        <f t="shared" si="250"/>
        <v>794000</v>
      </c>
      <c r="AI85" s="37">
        <f t="shared" si="250"/>
        <v>0</v>
      </c>
      <c r="AJ85" s="37">
        <f t="shared" si="250"/>
        <v>0</v>
      </c>
      <c r="AK85" s="37">
        <f t="shared" si="250"/>
        <v>0</v>
      </c>
      <c r="AL85" s="37">
        <f t="shared" si="250"/>
        <v>0</v>
      </c>
      <c r="AM85" s="37">
        <f t="shared" si="250"/>
        <v>0</v>
      </c>
      <c r="AN85" s="37">
        <f t="shared" si="250"/>
        <v>0</v>
      </c>
      <c r="AO85" s="37">
        <f t="shared" si="250"/>
        <v>0</v>
      </c>
      <c r="AP85" s="37">
        <f t="shared" si="250"/>
        <v>794000</v>
      </c>
      <c r="AQ85" s="37">
        <f t="shared" si="249"/>
        <v>0</v>
      </c>
      <c r="AR85" s="37">
        <f t="shared" si="249"/>
        <v>0</v>
      </c>
      <c r="AS85" s="37">
        <f t="shared" si="249"/>
        <v>0</v>
      </c>
      <c r="AT85" s="37">
        <f t="shared" si="249"/>
        <v>0</v>
      </c>
      <c r="AU85" s="37">
        <f t="shared" si="249"/>
        <v>0</v>
      </c>
      <c r="AV85" s="37">
        <f t="shared" si="249"/>
        <v>0</v>
      </c>
      <c r="AW85" s="37">
        <f t="shared" si="249"/>
        <v>0</v>
      </c>
      <c r="AX85" s="37">
        <f t="shared" si="249"/>
        <v>720000</v>
      </c>
      <c r="AY85" s="37">
        <f t="shared" si="249"/>
        <v>0</v>
      </c>
      <c r="AZ85" s="37">
        <f t="shared" si="249"/>
        <v>720000</v>
      </c>
      <c r="BA85" s="37">
        <f t="shared" si="249"/>
        <v>0</v>
      </c>
      <c r="BB85" s="37">
        <f t="shared" si="249"/>
        <v>0</v>
      </c>
      <c r="BC85" s="37">
        <f t="shared" si="249"/>
        <v>0</v>
      </c>
      <c r="BD85" s="37">
        <f t="shared" si="249"/>
        <v>0</v>
      </c>
      <c r="BE85" s="37">
        <f t="shared" si="249"/>
        <v>0</v>
      </c>
      <c r="BF85" s="37">
        <f t="shared" si="249"/>
        <v>0</v>
      </c>
      <c r="BG85" s="37">
        <f t="shared" si="249"/>
        <v>0</v>
      </c>
      <c r="BH85" s="37">
        <f t="shared" si="249"/>
        <v>0</v>
      </c>
      <c r="BI85" s="37">
        <f t="shared" si="249"/>
        <v>0</v>
      </c>
      <c r="BJ85" s="37">
        <f t="shared" si="249"/>
        <v>0</v>
      </c>
      <c r="BK85" s="37">
        <f t="shared" si="249"/>
        <v>0</v>
      </c>
      <c r="BL85" s="37">
        <f t="shared" si="249"/>
        <v>0</v>
      </c>
      <c r="BM85" s="37">
        <f t="shared" si="249"/>
        <v>0</v>
      </c>
      <c r="BN85" s="37">
        <f t="shared" si="249"/>
        <v>0</v>
      </c>
      <c r="BO85" s="37">
        <f t="shared" si="249"/>
        <v>0</v>
      </c>
      <c r="BP85" s="37">
        <f t="shared" si="249"/>
        <v>0</v>
      </c>
      <c r="BQ85" s="37">
        <f t="shared" si="249"/>
        <v>0</v>
      </c>
      <c r="BR85" s="37">
        <f t="shared" si="249"/>
        <v>0</v>
      </c>
      <c r="BS85" s="37">
        <f t="shared" si="249"/>
        <v>2554300</v>
      </c>
      <c r="BT85" s="37">
        <f t="shared" si="249"/>
        <v>2590550</v>
      </c>
      <c r="BU85" s="37">
        <f t="shared" si="249"/>
        <v>2503000</v>
      </c>
      <c r="BV85" s="37">
        <f t="shared" si="249"/>
        <v>2566000</v>
      </c>
      <c r="BW85" s="144">
        <f>SUM(BW75:BW84)</f>
        <v>2121400</v>
      </c>
      <c r="BX85" s="37">
        <f t="shared" ref="BX85:BY85" si="251">SUM(BX75:BX84)</f>
        <v>1916750</v>
      </c>
      <c r="BY85" s="37">
        <f t="shared" si="251"/>
        <v>4164200</v>
      </c>
      <c r="BZ85" s="144">
        <f>SUM(BZ75:BZ84)</f>
        <v>2622500</v>
      </c>
      <c r="CA85" s="37">
        <f t="shared" si="249"/>
        <v>21038700</v>
      </c>
    </row>
    <row r="86" spans="1:79" ht="31.5">
      <c r="A86" s="168" t="s">
        <v>34</v>
      </c>
      <c r="B86" s="8">
        <v>1</v>
      </c>
      <c r="C86" s="1" t="s">
        <v>60</v>
      </c>
      <c r="D86" s="4" t="s">
        <v>33</v>
      </c>
      <c r="E86" s="4" t="s">
        <v>34</v>
      </c>
      <c r="F86" s="4"/>
      <c r="G86" s="4">
        <v>155000</v>
      </c>
      <c r="H86" s="4">
        <f>180000-155000</f>
        <v>25000</v>
      </c>
      <c r="I86" s="4">
        <v>160000</v>
      </c>
      <c r="J86" s="4">
        <f>590000+49000+378000</f>
        <v>1017000</v>
      </c>
      <c r="K86" s="4">
        <f>803000+185000+92500</f>
        <v>1080500</v>
      </c>
      <c r="L86" s="4">
        <v>1092000</v>
      </c>
      <c r="M86" s="4">
        <v>840100</v>
      </c>
      <c r="N86" s="94">
        <v>671000</v>
      </c>
      <c r="O86" s="9">
        <f>SUM(F86:N86)</f>
        <v>5040600</v>
      </c>
      <c r="P86" s="20"/>
      <c r="Q86" s="20"/>
      <c r="R86" s="20"/>
      <c r="S86" s="20"/>
      <c r="T86" s="20"/>
      <c r="U86" s="20"/>
      <c r="V86" s="20"/>
      <c r="W86" s="20"/>
      <c r="X86" s="20"/>
      <c r="Y86" s="21">
        <f>SUM(P86:X86)</f>
        <v>0</v>
      </c>
      <c r="Z86" s="25"/>
      <c r="AA86" s="20"/>
      <c r="AB86" s="20"/>
      <c r="AC86" s="20"/>
      <c r="AD86" s="20"/>
      <c r="AE86" s="20"/>
      <c r="AF86" s="21">
        <f>SUM(Z86:AE86)</f>
        <v>0</v>
      </c>
      <c r="AG86" s="20"/>
      <c r="AH86" s="20"/>
      <c r="AI86" s="20"/>
      <c r="AJ86" s="20"/>
      <c r="AK86" s="20"/>
      <c r="AL86" s="20"/>
      <c r="AM86" s="20"/>
      <c r="AN86" s="20"/>
      <c r="AO86" s="20"/>
      <c r="AP86" s="9">
        <f>SUM(AG86:AO86)</f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9">
        <f>SUM(AQ86:AY86)</f>
        <v>0</v>
      </c>
      <c r="BA86" s="25"/>
      <c r="BB86" s="20"/>
      <c r="BC86" s="20"/>
      <c r="BD86" s="20"/>
      <c r="BE86" s="20"/>
      <c r="BF86" s="20"/>
      <c r="BG86" s="21">
        <f>SUM(BA86:BF86)</f>
        <v>0</v>
      </c>
      <c r="BH86" s="25"/>
      <c r="BI86" s="25"/>
      <c r="BJ86" s="25"/>
      <c r="BK86" s="25"/>
      <c r="BL86" s="20"/>
      <c r="BM86" s="20"/>
      <c r="BN86" s="20"/>
      <c r="BO86" s="20"/>
      <c r="BP86" s="20"/>
      <c r="BQ86" s="21">
        <f>SUM(BH86:BP86)</f>
        <v>0</v>
      </c>
      <c r="BR86" s="4">
        <f>F86+P86+AG86+AQ86+BH86</f>
        <v>0</v>
      </c>
      <c r="BS86" s="4">
        <f>G86+Q86+AH86+AR86+BI86</f>
        <v>155000</v>
      </c>
      <c r="BT86" s="4">
        <f>H86+R86+AI86+AS86+BJ86</f>
        <v>25000</v>
      </c>
      <c r="BU86" s="4">
        <f>I86+S86+Z86+AJ86+AT86+BA86+BK86</f>
        <v>160000</v>
      </c>
      <c r="BV86" s="94">
        <f>J86+T86+AA86+AK86+AU86+BB86+BL86</f>
        <v>1017000</v>
      </c>
      <c r="BW86" s="94">
        <f>K86+U86+AB86+AM86+AV86+BC86+BM86</f>
        <v>1080500</v>
      </c>
      <c r="BX86" s="94">
        <f>L86+V86+AC86+AM86+AW86+BD86+BN86</f>
        <v>1092000</v>
      </c>
      <c r="BY86" s="94">
        <f>M86+W86+AD86+AO86+AX86+BE86+BO86</f>
        <v>840100</v>
      </c>
      <c r="BZ86" s="94">
        <f>N86+X86+AE86+AO86+AY86+BF86+BP86</f>
        <v>671000</v>
      </c>
      <c r="CA86" s="9">
        <f>SUM(BR86:BZ86)</f>
        <v>5040600</v>
      </c>
    </row>
    <row r="87" spans="1:79" s="38" customFormat="1">
      <c r="A87" s="34"/>
      <c r="B87" s="34"/>
      <c r="C87" s="35" t="s">
        <v>177</v>
      </c>
      <c r="D87" s="37"/>
      <c r="E87" s="37"/>
      <c r="F87" s="37">
        <f>SUM(F86)</f>
        <v>0</v>
      </c>
      <c r="G87" s="37">
        <f t="shared" ref="G87:CA87" si="252">SUM(G86)</f>
        <v>155000</v>
      </c>
      <c r="H87" s="37">
        <f t="shared" si="252"/>
        <v>25000</v>
      </c>
      <c r="I87" s="37">
        <f t="shared" si="252"/>
        <v>160000</v>
      </c>
      <c r="J87" s="37">
        <f t="shared" si="252"/>
        <v>1017000</v>
      </c>
      <c r="K87" s="37">
        <f t="shared" si="252"/>
        <v>1080500</v>
      </c>
      <c r="L87" s="37">
        <f t="shared" si="252"/>
        <v>1092000</v>
      </c>
      <c r="M87" s="37">
        <f t="shared" si="252"/>
        <v>840100</v>
      </c>
      <c r="N87" s="37">
        <f t="shared" si="252"/>
        <v>671000</v>
      </c>
      <c r="O87" s="37">
        <f t="shared" si="252"/>
        <v>5040600</v>
      </c>
      <c r="P87" s="37">
        <f t="shared" ref="P87:AP87" si="253">SUM(P86)</f>
        <v>0</v>
      </c>
      <c r="Q87" s="37">
        <f t="shared" si="253"/>
        <v>0</v>
      </c>
      <c r="R87" s="37">
        <f t="shared" si="253"/>
        <v>0</v>
      </c>
      <c r="S87" s="37">
        <f t="shared" si="253"/>
        <v>0</v>
      </c>
      <c r="T87" s="37">
        <f t="shared" si="253"/>
        <v>0</v>
      </c>
      <c r="U87" s="37">
        <f t="shared" si="253"/>
        <v>0</v>
      </c>
      <c r="V87" s="37">
        <f t="shared" si="253"/>
        <v>0</v>
      </c>
      <c r="W87" s="37">
        <f t="shared" si="253"/>
        <v>0</v>
      </c>
      <c r="X87" s="37">
        <f t="shared" si="253"/>
        <v>0</v>
      </c>
      <c r="Y87" s="37">
        <f t="shared" si="253"/>
        <v>0</v>
      </c>
      <c r="Z87" s="37">
        <f t="shared" si="253"/>
        <v>0</v>
      </c>
      <c r="AA87" s="37">
        <f t="shared" si="253"/>
        <v>0</v>
      </c>
      <c r="AB87" s="37">
        <f t="shared" si="253"/>
        <v>0</v>
      </c>
      <c r="AC87" s="37">
        <f t="shared" si="253"/>
        <v>0</v>
      </c>
      <c r="AD87" s="37">
        <f t="shared" si="253"/>
        <v>0</v>
      </c>
      <c r="AE87" s="37">
        <f t="shared" si="253"/>
        <v>0</v>
      </c>
      <c r="AF87" s="37">
        <f t="shared" si="253"/>
        <v>0</v>
      </c>
      <c r="AG87" s="37">
        <f t="shared" si="253"/>
        <v>0</v>
      </c>
      <c r="AH87" s="37">
        <f t="shared" si="253"/>
        <v>0</v>
      </c>
      <c r="AI87" s="37">
        <f t="shared" si="253"/>
        <v>0</v>
      </c>
      <c r="AJ87" s="37">
        <f t="shared" si="253"/>
        <v>0</v>
      </c>
      <c r="AK87" s="37">
        <f t="shared" si="253"/>
        <v>0</v>
      </c>
      <c r="AL87" s="37">
        <f t="shared" si="253"/>
        <v>0</v>
      </c>
      <c r="AM87" s="37">
        <f t="shared" si="253"/>
        <v>0</v>
      </c>
      <c r="AN87" s="37">
        <f t="shared" si="253"/>
        <v>0</v>
      </c>
      <c r="AO87" s="37">
        <f t="shared" si="253"/>
        <v>0</v>
      </c>
      <c r="AP87" s="37">
        <f t="shared" si="253"/>
        <v>0</v>
      </c>
      <c r="AQ87" s="37">
        <f t="shared" si="252"/>
        <v>0</v>
      </c>
      <c r="AR87" s="37">
        <f t="shared" si="252"/>
        <v>0</v>
      </c>
      <c r="AS87" s="37">
        <f t="shared" si="252"/>
        <v>0</v>
      </c>
      <c r="AT87" s="37">
        <f t="shared" si="252"/>
        <v>0</v>
      </c>
      <c r="AU87" s="37">
        <f t="shared" si="252"/>
        <v>0</v>
      </c>
      <c r="AV87" s="37">
        <f t="shared" si="252"/>
        <v>0</v>
      </c>
      <c r="AW87" s="37">
        <f t="shared" si="252"/>
        <v>0</v>
      </c>
      <c r="AX87" s="37">
        <f t="shared" si="252"/>
        <v>0</v>
      </c>
      <c r="AY87" s="37">
        <f t="shared" si="252"/>
        <v>0</v>
      </c>
      <c r="AZ87" s="37">
        <f t="shared" si="252"/>
        <v>0</v>
      </c>
      <c r="BA87" s="37">
        <f t="shared" si="252"/>
        <v>0</v>
      </c>
      <c r="BB87" s="37">
        <f t="shared" si="252"/>
        <v>0</v>
      </c>
      <c r="BC87" s="37">
        <f t="shared" si="252"/>
        <v>0</v>
      </c>
      <c r="BD87" s="37">
        <f t="shared" si="252"/>
        <v>0</v>
      </c>
      <c r="BE87" s="37">
        <f t="shared" si="252"/>
        <v>0</v>
      </c>
      <c r="BF87" s="37">
        <f t="shared" si="252"/>
        <v>0</v>
      </c>
      <c r="BG87" s="37">
        <f t="shared" si="252"/>
        <v>0</v>
      </c>
      <c r="BH87" s="37">
        <f t="shared" si="252"/>
        <v>0</v>
      </c>
      <c r="BI87" s="37">
        <f t="shared" si="252"/>
        <v>0</v>
      </c>
      <c r="BJ87" s="37">
        <f t="shared" si="252"/>
        <v>0</v>
      </c>
      <c r="BK87" s="37">
        <f t="shared" si="252"/>
        <v>0</v>
      </c>
      <c r="BL87" s="37">
        <f t="shared" si="252"/>
        <v>0</v>
      </c>
      <c r="BM87" s="37">
        <f t="shared" si="252"/>
        <v>0</v>
      </c>
      <c r="BN87" s="37">
        <f t="shared" si="252"/>
        <v>0</v>
      </c>
      <c r="BO87" s="37">
        <f t="shared" si="252"/>
        <v>0</v>
      </c>
      <c r="BP87" s="37">
        <f t="shared" si="252"/>
        <v>0</v>
      </c>
      <c r="BQ87" s="37">
        <f t="shared" si="252"/>
        <v>0</v>
      </c>
      <c r="BR87" s="37">
        <f t="shared" si="252"/>
        <v>0</v>
      </c>
      <c r="BS87" s="37">
        <f t="shared" si="252"/>
        <v>155000</v>
      </c>
      <c r="BT87" s="37">
        <f t="shared" si="252"/>
        <v>25000</v>
      </c>
      <c r="BU87" s="37">
        <f t="shared" si="252"/>
        <v>160000</v>
      </c>
      <c r="BV87" s="37">
        <f t="shared" si="252"/>
        <v>1017000</v>
      </c>
      <c r="BW87" s="144">
        <f>SUM(BW86)</f>
        <v>1080500</v>
      </c>
      <c r="BX87" s="37">
        <f t="shared" ref="BX87:BY87" si="254">SUM(BX86)</f>
        <v>1092000</v>
      </c>
      <c r="BY87" s="37">
        <f t="shared" si="254"/>
        <v>840100</v>
      </c>
      <c r="BZ87" s="144">
        <f>SUM(BZ86)</f>
        <v>671000</v>
      </c>
      <c r="CA87" s="37">
        <f t="shared" si="252"/>
        <v>5040600</v>
      </c>
    </row>
    <row r="88" spans="1:79">
      <c r="A88" s="185" t="s">
        <v>17</v>
      </c>
      <c r="B88" s="8">
        <v>1</v>
      </c>
      <c r="C88" s="1" t="s">
        <v>178</v>
      </c>
      <c r="D88" s="4" t="s">
        <v>179</v>
      </c>
      <c r="E88" s="4" t="s">
        <v>17</v>
      </c>
      <c r="F88" s="4">
        <v>155000</v>
      </c>
      <c r="G88" s="4">
        <v>1164000</v>
      </c>
      <c r="H88" s="4">
        <f>110000+110000+330000+110000+80000</f>
        <v>740000</v>
      </c>
      <c r="I88" s="4">
        <f>20000+60000</f>
        <v>80000</v>
      </c>
      <c r="J88" s="4"/>
      <c r="K88" s="4"/>
      <c r="L88" s="4"/>
      <c r="M88" s="4"/>
      <c r="N88" s="4"/>
      <c r="O88" s="9">
        <f t="shared" ref="O88:O118" si="255">SUM(F88:N88)</f>
        <v>2139000</v>
      </c>
      <c r="P88" s="20">
        <v>195000</v>
      </c>
      <c r="Q88" s="25">
        <v>1676350</v>
      </c>
      <c r="R88" s="25">
        <f>792000+30000</f>
        <v>822000</v>
      </c>
      <c r="S88" s="24">
        <v>30000</v>
      </c>
      <c r="T88" s="20"/>
      <c r="U88" s="20"/>
      <c r="V88" s="20"/>
      <c r="W88" s="20"/>
      <c r="X88" s="20"/>
      <c r="Y88" s="21">
        <f t="shared" ref="Y88:Y118" si="256">SUM(P88:X88)</f>
        <v>2723350</v>
      </c>
      <c r="Z88" s="25">
        <v>0</v>
      </c>
      <c r="AA88" s="20"/>
      <c r="AB88" s="20"/>
      <c r="AC88" s="20"/>
      <c r="AD88" s="20"/>
      <c r="AE88" s="20"/>
      <c r="AF88" s="21">
        <f t="shared" ref="AF88:AF118" si="257">SUM(Z88:AE88)</f>
        <v>0</v>
      </c>
      <c r="AG88" s="20"/>
      <c r="AH88" s="20"/>
      <c r="AI88" s="4">
        <v>590000</v>
      </c>
      <c r="AJ88" s="23"/>
      <c r="AK88" s="23"/>
      <c r="AL88" s="23"/>
      <c r="AM88" s="23"/>
      <c r="AN88" s="23"/>
      <c r="AO88" s="23"/>
      <c r="AP88" s="9">
        <f t="shared" ref="AP88:AP118" si="258">SUM(AG88:AO88)</f>
        <v>590000</v>
      </c>
      <c r="AQ88" s="77">
        <v>290000</v>
      </c>
      <c r="AR88" s="77">
        <v>2150000</v>
      </c>
      <c r="AS88" s="77">
        <v>1650000</v>
      </c>
      <c r="AT88" s="77">
        <v>200000</v>
      </c>
      <c r="AU88" s="4"/>
      <c r="AV88" s="4"/>
      <c r="AW88" s="4"/>
      <c r="AX88" s="4"/>
      <c r="AY88" s="4"/>
      <c r="AZ88" s="9">
        <f t="shared" ref="AZ88:AZ118" si="259">SUM(AQ88:AY88)</f>
        <v>4290000</v>
      </c>
      <c r="BA88" s="24">
        <v>900000</v>
      </c>
      <c r="BB88" s="20">
        <f>300000+300000+300000+300000+200000</f>
        <v>1400000</v>
      </c>
      <c r="BC88" s="20">
        <f>1902000+765000</f>
        <v>2667000</v>
      </c>
      <c r="BD88" s="20">
        <f>255000+765000+510000+255000+255000+510000+255000</f>
        <v>2805000</v>
      </c>
      <c r="BE88" s="20">
        <f>765000+255000+255000+255000+255000+510000+510000+255000</f>
        <v>3060000</v>
      </c>
      <c r="BF88" s="23">
        <v>2040000</v>
      </c>
      <c r="BG88" s="21">
        <f t="shared" ref="BG88:BG118" si="260">SUM(BA88:BF88)</f>
        <v>12872000</v>
      </c>
      <c r="BH88" s="25"/>
      <c r="BI88" s="24">
        <f>100000+248400</f>
        <v>348400</v>
      </c>
      <c r="BJ88" s="25"/>
      <c r="BK88" s="25"/>
      <c r="BL88" s="20"/>
      <c r="BM88" s="20"/>
      <c r="BN88" s="20"/>
      <c r="BO88" s="20"/>
      <c r="BP88" s="20"/>
      <c r="BQ88" s="21">
        <f t="shared" ref="BQ88:BQ118" si="261">SUM(BH88:BP88)</f>
        <v>348400</v>
      </c>
      <c r="BR88" s="4">
        <f t="shared" ref="BR88:BR118" si="262">F88+P88+AG88+AQ88+BH88</f>
        <v>640000</v>
      </c>
      <c r="BS88" s="4">
        <f t="shared" ref="BS88:BS118" si="263">G88+Q88+AH88+AR88+BI88</f>
        <v>5338750</v>
      </c>
      <c r="BT88" s="4">
        <f t="shared" ref="BT88:BT118" si="264">H88+R88+AI88+AS88+BJ88</f>
        <v>3802000</v>
      </c>
      <c r="BU88" s="4">
        <f t="shared" ref="BU88:BU118" si="265">I88+S88+Z88+AJ88+AT88+BA88+BK88</f>
        <v>1210000</v>
      </c>
      <c r="BV88" s="94">
        <f t="shared" ref="BV88:BV118" si="266">J88+T88+AA88+AK88+AU88+BB88+BL88</f>
        <v>1400000</v>
      </c>
      <c r="BW88" s="94">
        <f t="shared" ref="BW88:BW118" si="267">K88+U88+AB88+AM88+AV88+BC88+BM88</f>
        <v>2667000</v>
      </c>
      <c r="BX88" s="94">
        <f t="shared" ref="BX88:BX118" si="268">L88+V88+AC88+AM88+AW88+BD88+BN88</f>
        <v>2805000</v>
      </c>
      <c r="BY88" s="94">
        <f t="shared" ref="BY88:BY118" si="269">M88+W88+AD88+AO88+AX88+BE88+BO88</f>
        <v>3060000</v>
      </c>
      <c r="BZ88" s="94">
        <f t="shared" ref="BZ88:BZ118" si="270">N88+X88+AE88+AO88+AY88+BF88+BP88</f>
        <v>2040000</v>
      </c>
      <c r="CA88" s="9">
        <f t="shared" ref="CA88:CA118" si="271">SUM(BR88:BZ88)</f>
        <v>22962750</v>
      </c>
    </row>
    <row r="89" spans="1:79">
      <c r="A89" s="186"/>
      <c r="B89" s="8">
        <v>2</v>
      </c>
      <c r="C89" s="1" t="s">
        <v>180</v>
      </c>
      <c r="D89" s="4" t="s">
        <v>181</v>
      </c>
      <c r="E89" s="4" t="s">
        <v>17</v>
      </c>
      <c r="F89" s="4"/>
      <c r="G89" s="4"/>
      <c r="H89" s="4">
        <v>155000</v>
      </c>
      <c r="I89" s="4">
        <f>156000+16000</f>
        <v>172000</v>
      </c>
      <c r="J89" s="4"/>
      <c r="K89" s="4"/>
      <c r="L89" s="4"/>
      <c r="M89" s="4"/>
      <c r="N89" s="4"/>
      <c r="O89" s="9">
        <f t="shared" si="255"/>
        <v>327000</v>
      </c>
      <c r="P89" s="20"/>
      <c r="Q89" s="25">
        <v>195000</v>
      </c>
      <c r="R89" s="25">
        <f>165550+208000</f>
        <v>373550</v>
      </c>
      <c r="S89" s="24">
        <v>30000</v>
      </c>
      <c r="T89" s="20"/>
      <c r="U89" s="20"/>
      <c r="V89" s="20"/>
      <c r="W89" s="20"/>
      <c r="X89" s="20"/>
      <c r="Y89" s="21">
        <f t="shared" si="256"/>
        <v>598550</v>
      </c>
      <c r="Z89" s="25">
        <v>945000</v>
      </c>
      <c r="AA89" s="20">
        <f>315000+315000+315000</f>
        <v>945000</v>
      </c>
      <c r="AB89" s="20"/>
      <c r="AC89" s="20"/>
      <c r="AD89" s="20"/>
      <c r="AE89" s="20"/>
      <c r="AF89" s="21">
        <f t="shared" si="257"/>
        <v>1890000</v>
      </c>
      <c r="AG89" s="20"/>
      <c r="AH89" s="20"/>
      <c r="AI89" s="4"/>
      <c r="AJ89" s="20"/>
      <c r="AK89" s="20"/>
      <c r="AL89" s="20"/>
      <c r="AM89" s="20"/>
      <c r="AN89" s="20"/>
      <c r="AO89" s="20"/>
      <c r="AP89" s="9">
        <f t="shared" si="258"/>
        <v>0</v>
      </c>
      <c r="AQ89" s="77"/>
      <c r="AR89" s="77"/>
      <c r="AS89" s="77">
        <v>390000</v>
      </c>
      <c r="AT89" s="77"/>
      <c r="AU89" s="4"/>
      <c r="AV89" s="4"/>
      <c r="AW89" s="4"/>
      <c r="AX89" s="4"/>
      <c r="AY89" s="4"/>
      <c r="AZ89" s="9">
        <f t="shared" si="259"/>
        <v>390000</v>
      </c>
      <c r="BA89" s="25"/>
      <c r="BB89" s="20"/>
      <c r="BC89" s="20"/>
      <c r="BD89" s="20"/>
      <c r="BE89" s="20"/>
      <c r="BF89" s="20"/>
      <c r="BG89" s="21">
        <f t="shared" si="260"/>
        <v>0</v>
      </c>
      <c r="BH89" s="25"/>
      <c r="BI89" s="25"/>
      <c r="BJ89" s="25"/>
      <c r="BK89" s="25"/>
      <c r="BL89" s="20"/>
      <c r="BM89" s="20"/>
      <c r="BN89" s="20"/>
      <c r="BO89" s="20"/>
      <c r="BP89" s="20"/>
      <c r="BQ89" s="21">
        <f t="shared" si="261"/>
        <v>0</v>
      </c>
      <c r="BR89" s="4">
        <f t="shared" si="262"/>
        <v>0</v>
      </c>
      <c r="BS89" s="4">
        <f t="shared" si="263"/>
        <v>195000</v>
      </c>
      <c r="BT89" s="4">
        <f t="shared" si="264"/>
        <v>918550</v>
      </c>
      <c r="BU89" s="4">
        <f t="shared" si="265"/>
        <v>1147000</v>
      </c>
      <c r="BV89" s="94">
        <f t="shared" si="266"/>
        <v>945000</v>
      </c>
      <c r="BW89" s="94">
        <f t="shared" si="267"/>
        <v>0</v>
      </c>
      <c r="BX89" s="94">
        <f t="shared" si="268"/>
        <v>0</v>
      </c>
      <c r="BY89" s="94">
        <f t="shared" si="269"/>
        <v>0</v>
      </c>
      <c r="BZ89" s="94">
        <f t="shared" si="270"/>
        <v>0</v>
      </c>
      <c r="CA89" s="9">
        <f t="shared" si="271"/>
        <v>3205550</v>
      </c>
    </row>
    <row r="90" spans="1:79">
      <c r="A90" s="186"/>
      <c r="B90" s="8">
        <v>3</v>
      </c>
      <c r="C90" s="1" t="s">
        <v>182</v>
      </c>
      <c r="D90" s="4" t="s">
        <v>183</v>
      </c>
      <c r="E90" s="4" t="s">
        <v>17</v>
      </c>
      <c r="F90" s="4"/>
      <c r="G90" s="4"/>
      <c r="H90" s="4"/>
      <c r="I90" s="4"/>
      <c r="J90" s="4"/>
      <c r="K90" s="4"/>
      <c r="L90" s="4"/>
      <c r="M90" s="4"/>
      <c r="N90" s="4"/>
      <c r="O90" s="9">
        <f t="shared" si="255"/>
        <v>0</v>
      </c>
      <c r="P90" s="20"/>
      <c r="Q90" s="25"/>
      <c r="R90" s="25">
        <v>225000</v>
      </c>
      <c r="S90" s="24">
        <v>963000</v>
      </c>
      <c r="T90" s="20">
        <f>70000+630000+140000</f>
        <v>840000</v>
      </c>
      <c r="U90" s="20">
        <f>1122400+289000+144500</f>
        <v>1555900</v>
      </c>
      <c r="V90" s="20">
        <v>1455000</v>
      </c>
      <c r="W90" s="20">
        <v>1600500</v>
      </c>
      <c r="X90" s="20"/>
      <c r="Y90" s="21">
        <f t="shared" si="256"/>
        <v>6639400</v>
      </c>
      <c r="Z90" s="25">
        <v>0</v>
      </c>
      <c r="AA90" s="20"/>
      <c r="AB90" s="20"/>
      <c r="AC90" s="20"/>
      <c r="AD90" s="20"/>
      <c r="AE90" s="20"/>
      <c r="AF90" s="21">
        <f t="shared" si="257"/>
        <v>0</v>
      </c>
      <c r="AG90" s="20"/>
      <c r="AH90" s="20"/>
      <c r="AI90" s="4"/>
      <c r="AJ90" s="20"/>
      <c r="AK90" s="20"/>
      <c r="AL90" s="20"/>
      <c r="AM90" s="20"/>
      <c r="AN90" s="20"/>
      <c r="AO90" s="20"/>
      <c r="AP90" s="9">
        <f t="shared" si="258"/>
        <v>0</v>
      </c>
      <c r="AQ90" s="77"/>
      <c r="AR90" s="77"/>
      <c r="AS90" s="77">
        <v>290000</v>
      </c>
      <c r="AT90" s="77">
        <v>-290000</v>
      </c>
      <c r="AU90" s="4"/>
      <c r="AV90" s="4"/>
      <c r="AW90" s="4"/>
      <c r="AX90" s="4"/>
      <c r="AY90" s="4"/>
      <c r="AZ90" s="9">
        <f t="shared" si="259"/>
        <v>0</v>
      </c>
      <c r="BA90" s="25"/>
      <c r="BB90" s="20"/>
      <c r="BC90" s="20"/>
      <c r="BD90" s="20"/>
      <c r="BE90" s="20"/>
      <c r="BF90" s="20"/>
      <c r="BG90" s="21">
        <f t="shared" si="260"/>
        <v>0</v>
      </c>
      <c r="BH90" s="25"/>
      <c r="BI90" s="25"/>
      <c r="BJ90" s="25"/>
      <c r="BK90" s="25"/>
      <c r="BL90" s="20"/>
      <c r="BM90" s="20"/>
      <c r="BN90" s="20"/>
      <c r="BO90" s="20"/>
      <c r="BP90" s="20"/>
      <c r="BQ90" s="21">
        <f t="shared" si="261"/>
        <v>0</v>
      </c>
      <c r="BR90" s="4">
        <f t="shared" si="262"/>
        <v>0</v>
      </c>
      <c r="BS90" s="4">
        <f t="shared" si="263"/>
        <v>0</v>
      </c>
      <c r="BT90" s="4">
        <f t="shared" si="264"/>
        <v>515000</v>
      </c>
      <c r="BU90" s="4">
        <f t="shared" si="265"/>
        <v>673000</v>
      </c>
      <c r="BV90" s="94">
        <f t="shared" si="266"/>
        <v>840000</v>
      </c>
      <c r="BW90" s="94">
        <f t="shared" si="267"/>
        <v>1555900</v>
      </c>
      <c r="BX90" s="94">
        <f t="shared" si="268"/>
        <v>1455000</v>
      </c>
      <c r="BY90" s="94">
        <f t="shared" si="269"/>
        <v>1600500</v>
      </c>
      <c r="BZ90" s="94">
        <f t="shared" si="270"/>
        <v>0</v>
      </c>
      <c r="CA90" s="9">
        <f t="shared" si="271"/>
        <v>6639400</v>
      </c>
    </row>
    <row r="91" spans="1:79">
      <c r="A91" s="186"/>
      <c r="B91" s="8">
        <v>4</v>
      </c>
      <c r="C91" s="1" t="s">
        <v>184</v>
      </c>
      <c r="D91" s="4" t="s">
        <v>185</v>
      </c>
      <c r="E91" s="4" t="s">
        <v>17</v>
      </c>
      <c r="F91" s="4"/>
      <c r="G91" s="4">
        <v>323000</v>
      </c>
      <c r="H91" s="4">
        <f>93500+55000+253000+71500+55000+20000+60000</f>
        <v>608000</v>
      </c>
      <c r="I91" s="4">
        <v>649000</v>
      </c>
      <c r="J91" s="4">
        <f>59500+147000+154000+157500</f>
        <v>518000</v>
      </c>
      <c r="K91" s="4">
        <f>808000+162000+81000</f>
        <v>1051000</v>
      </c>
      <c r="L91" s="4">
        <v>838000</v>
      </c>
      <c r="M91" s="4">
        <v>684500</v>
      </c>
      <c r="N91" s="94">
        <v>372000</v>
      </c>
      <c r="O91" s="9">
        <f t="shared" si="255"/>
        <v>5043500</v>
      </c>
      <c r="P91" s="20"/>
      <c r="Q91" s="20"/>
      <c r="R91" s="20"/>
      <c r="S91" s="20"/>
      <c r="T91" s="20"/>
      <c r="U91" s="20"/>
      <c r="V91" s="20"/>
      <c r="W91" s="20"/>
      <c r="X91" s="20"/>
      <c r="Y91" s="21">
        <f t="shared" si="256"/>
        <v>0</v>
      </c>
      <c r="Z91" s="25">
        <v>0</v>
      </c>
      <c r="AA91" s="20"/>
      <c r="AB91" s="20"/>
      <c r="AC91" s="20"/>
      <c r="AD91" s="20"/>
      <c r="AE91" s="20"/>
      <c r="AF91" s="21">
        <f t="shared" si="257"/>
        <v>0</v>
      </c>
      <c r="AG91" s="20"/>
      <c r="AH91" s="20"/>
      <c r="AI91" s="4"/>
      <c r="AJ91" s="20"/>
      <c r="AK91" s="20"/>
      <c r="AL91" s="20"/>
      <c r="AM91" s="20"/>
      <c r="AN91" s="20"/>
      <c r="AO91" s="20"/>
      <c r="AP91" s="9">
        <f t="shared" si="258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9">
        <f t="shared" si="259"/>
        <v>0</v>
      </c>
      <c r="BA91" s="25"/>
      <c r="BB91" s="20"/>
      <c r="BC91" s="20"/>
      <c r="BD91" s="20"/>
      <c r="BE91" s="20"/>
      <c r="BF91" s="20"/>
      <c r="BG91" s="21">
        <f t="shared" si="260"/>
        <v>0</v>
      </c>
      <c r="BH91" s="25"/>
      <c r="BI91" s="25"/>
      <c r="BJ91" s="25"/>
      <c r="BK91" s="25"/>
      <c r="BL91" s="20"/>
      <c r="BM91" s="20"/>
      <c r="BN91" s="20"/>
      <c r="BO91" s="20"/>
      <c r="BP91" s="20"/>
      <c r="BQ91" s="21">
        <f t="shared" si="261"/>
        <v>0</v>
      </c>
      <c r="BR91" s="4">
        <f t="shared" si="262"/>
        <v>0</v>
      </c>
      <c r="BS91" s="4">
        <f t="shared" si="263"/>
        <v>323000</v>
      </c>
      <c r="BT91" s="4">
        <f t="shared" si="264"/>
        <v>608000</v>
      </c>
      <c r="BU91" s="4">
        <f t="shared" si="265"/>
        <v>649000</v>
      </c>
      <c r="BV91" s="94">
        <f t="shared" si="266"/>
        <v>518000</v>
      </c>
      <c r="BW91" s="94">
        <f t="shared" si="267"/>
        <v>1051000</v>
      </c>
      <c r="BX91" s="94">
        <f t="shared" si="268"/>
        <v>838000</v>
      </c>
      <c r="BY91" s="94">
        <f t="shared" si="269"/>
        <v>684500</v>
      </c>
      <c r="BZ91" s="94">
        <f t="shared" si="270"/>
        <v>372000</v>
      </c>
      <c r="CA91" s="9">
        <f t="shared" si="271"/>
        <v>5043500</v>
      </c>
    </row>
    <row r="92" spans="1:79">
      <c r="A92" s="186"/>
      <c r="B92" s="8">
        <v>5</v>
      </c>
      <c r="C92" s="42" t="s">
        <v>186</v>
      </c>
      <c r="D92" s="43" t="s">
        <v>187</v>
      </c>
      <c r="E92" s="4" t="s">
        <v>17</v>
      </c>
      <c r="F92" s="4"/>
      <c r="G92" s="4"/>
      <c r="H92" s="4"/>
      <c r="I92" s="4"/>
      <c r="J92" s="4"/>
      <c r="K92" s="4"/>
      <c r="L92" s="4"/>
      <c r="M92" s="4"/>
      <c r="N92" s="4"/>
      <c r="O92" s="9">
        <f t="shared" si="255"/>
        <v>0</v>
      </c>
      <c r="P92" s="20"/>
      <c r="Q92" s="20"/>
      <c r="R92" s="20"/>
      <c r="S92" s="20"/>
      <c r="T92" s="20"/>
      <c r="U92" s="20"/>
      <c r="V92" s="20"/>
      <c r="W92" s="20"/>
      <c r="X92" s="20"/>
      <c r="Y92" s="21">
        <f t="shared" si="256"/>
        <v>0</v>
      </c>
      <c r="Z92" s="25">
        <v>0</v>
      </c>
      <c r="AA92" s="20"/>
      <c r="AB92" s="20"/>
      <c r="AC92" s="20"/>
      <c r="AD92" s="20"/>
      <c r="AE92" s="20"/>
      <c r="AF92" s="21">
        <f t="shared" si="257"/>
        <v>0</v>
      </c>
      <c r="AG92" s="20"/>
      <c r="AH92" s="20"/>
      <c r="AI92" s="4">
        <v>290000</v>
      </c>
      <c r="AJ92" s="20"/>
      <c r="AK92" s="20"/>
      <c r="AL92" s="20"/>
      <c r="AM92" s="20">
        <v>232000</v>
      </c>
      <c r="AN92" s="20"/>
      <c r="AO92" s="20"/>
      <c r="AP92" s="9">
        <f t="shared" si="258"/>
        <v>522000</v>
      </c>
      <c r="AQ92" s="4"/>
      <c r="AR92" s="4"/>
      <c r="AS92" s="4"/>
      <c r="AT92" s="4"/>
      <c r="AU92" s="4"/>
      <c r="AV92" s="4"/>
      <c r="AW92" s="4"/>
      <c r="AX92" s="4"/>
      <c r="AY92" s="4"/>
      <c r="AZ92" s="9">
        <f t="shared" si="259"/>
        <v>0</v>
      </c>
      <c r="BA92" s="25"/>
      <c r="BB92" s="20"/>
      <c r="BC92" s="20"/>
      <c r="BD92" s="20"/>
      <c r="BE92" s="20"/>
      <c r="BF92" s="20"/>
      <c r="BG92" s="21">
        <f t="shared" si="260"/>
        <v>0</v>
      </c>
      <c r="BH92" s="25"/>
      <c r="BI92" s="25"/>
      <c r="BJ92" s="25"/>
      <c r="BK92" s="25"/>
      <c r="BL92" s="20"/>
      <c r="BM92" s="20"/>
      <c r="BN92" s="20"/>
      <c r="BO92" s="20"/>
      <c r="BP92" s="20"/>
      <c r="BQ92" s="21">
        <f t="shared" si="261"/>
        <v>0</v>
      </c>
      <c r="BR92" s="4">
        <f t="shared" si="262"/>
        <v>0</v>
      </c>
      <c r="BS92" s="4">
        <f t="shared" si="263"/>
        <v>0</v>
      </c>
      <c r="BT92" s="4">
        <f t="shared" si="264"/>
        <v>290000</v>
      </c>
      <c r="BU92" s="4">
        <f t="shared" si="265"/>
        <v>0</v>
      </c>
      <c r="BV92" s="94">
        <f t="shared" si="266"/>
        <v>0</v>
      </c>
      <c r="BW92" s="94">
        <f t="shared" si="267"/>
        <v>232000</v>
      </c>
      <c r="BX92" s="94">
        <f t="shared" si="268"/>
        <v>232000</v>
      </c>
      <c r="BY92" s="94">
        <f t="shared" si="269"/>
        <v>0</v>
      </c>
      <c r="BZ92" s="94">
        <f t="shared" si="270"/>
        <v>0</v>
      </c>
      <c r="CA92" s="9">
        <f t="shared" si="271"/>
        <v>754000</v>
      </c>
    </row>
    <row r="93" spans="1:79">
      <c r="A93" s="186"/>
      <c r="B93" s="8">
        <v>6</v>
      </c>
      <c r="C93" s="1" t="s">
        <v>188</v>
      </c>
      <c r="D93" s="4" t="s">
        <v>413</v>
      </c>
      <c r="E93" s="4" t="s">
        <v>17</v>
      </c>
      <c r="F93" s="4"/>
      <c r="G93" s="4"/>
      <c r="H93" s="4"/>
      <c r="I93" s="4"/>
      <c r="J93" s="4"/>
      <c r="K93" s="4"/>
      <c r="L93" s="4"/>
      <c r="M93" s="4"/>
      <c r="N93" s="4"/>
      <c r="O93" s="9">
        <f t="shared" si="255"/>
        <v>0</v>
      </c>
      <c r="P93" s="20"/>
      <c r="Q93" s="25">
        <v>616950</v>
      </c>
      <c r="R93" s="25">
        <v>708100</v>
      </c>
      <c r="S93" s="24">
        <v>898000</v>
      </c>
      <c r="T93" s="20">
        <f>140000+210000+210000+210000+140000</f>
        <v>910000</v>
      </c>
      <c r="U93" s="20">
        <f>863000+194000+97000</f>
        <v>1154000</v>
      </c>
      <c r="V93" s="20">
        <v>1262250</v>
      </c>
      <c r="W93" s="20">
        <v>1595650</v>
      </c>
      <c r="X93" s="174">
        <v>1057300</v>
      </c>
      <c r="Y93" s="21">
        <f t="shared" si="256"/>
        <v>8202250</v>
      </c>
      <c r="Z93" s="25">
        <v>0</v>
      </c>
      <c r="AA93" s="20"/>
      <c r="AB93" s="20"/>
      <c r="AC93" s="20"/>
      <c r="AD93" s="20"/>
      <c r="AE93" s="20"/>
      <c r="AF93" s="21">
        <f t="shared" si="257"/>
        <v>0</v>
      </c>
      <c r="AG93" s="20"/>
      <c r="AH93" s="20"/>
      <c r="AI93" s="20"/>
      <c r="AJ93" s="20"/>
      <c r="AK93" s="20"/>
      <c r="AL93" s="20"/>
      <c r="AM93" s="20"/>
      <c r="AN93" s="20"/>
      <c r="AO93" s="20"/>
      <c r="AP93" s="9">
        <f t="shared" si="258"/>
        <v>0</v>
      </c>
      <c r="AQ93" s="76"/>
      <c r="AR93" s="76">
        <v>290000</v>
      </c>
      <c r="AS93" s="76">
        <v>1620000</v>
      </c>
      <c r="AT93" s="76"/>
      <c r="AU93" s="4"/>
      <c r="AV93" s="4"/>
      <c r="AW93" s="4"/>
      <c r="AX93" s="4">
        <v>150000</v>
      </c>
      <c r="AY93" s="4"/>
      <c r="AZ93" s="9">
        <f t="shared" si="259"/>
        <v>2060000</v>
      </c>
      <c r="BA93" s="25"/>
      <c r="BB93" s="20"/>
      <c r="BC93" s="20"/>
      <c r="BD93" s="20"/>
      <c r="BE93" s="20"/>
      <c r="BF93" s="20"/>
      <c r="BG93" s="21">
        <f t="shared" si="260"/>
        <v>0</v>
      </c>
      <c r="BH93" s="25"/>
      <c r="BI93" s="25"/>
      <c r="BJ93" s="25"/>
      <c r="BK93" s="25"/>
      <c r="BL93" s="20"/>
      <c r="BM93" s="20"/>
      <c r="BN93" s="20"/>
      <c r="BO93" s="20"/>
      <c r="BP93" s="20"/>
      <c r="BQ93" s="21">
        <f t="shared" si="261"/>
        <v>0</v>
      </c>
      <c r="BR93" s="4">
        <f t="shared" si="262"/>
        <v>0</v>
      </c>
      <c r="BS93" s="4">
        <f t="shared" si="263"/>
        <v>906950</v>
      </c>
      <c r="BT93" s="4">
        <f t="shared" si="264"/>
        <v>2328100</v>
      </c>
      <c r="BU93" s="4">
        <f t="shared" si="265"/>
        <v>898000</v>
      </c>
      <c r="BV93" s="94">
        <f t="shared" si="266"/>
        <v>910000</v>
      </c>
      <c r="BW93" s="94">
        <f t="shared" si="267"/>
        <v>1154000</v>
      </c>
      <c r="BX93" s="94">
        <f t="shared" si="268"/>
        <v>1262250</v>
      </c>
      <c r="BY93" s="94">
        <f t="shared" si="269"/>
        <v>1745650</v>
      </c>
      <c r="BZ93" s="94">
        <f t="shared" si="270"/>
        <v>1057300</v>
      </c>
      <c r="CA93" s="9">
        <f t="shared" si="271"/>
        <v>10262250</v>
      </c>
    </row>
    <row r="94" spans="1:79" ht="47.25">
      <c r="A94" s="186"/>
      <c r="B94" s="8">
        <v>7</v>
      </c>
      <c r="C94" s="1" t="s">
        <v>189</v>
      </c>
      <c r="D94" s="4" t="s">
        <v>190</v>
      </c>
      <c r="E94" s="4" t="s">
        <v>17</v>
      </c>
      <c r="F94" s="4"/>
      <c r="G94" s="4">
        <v>287500</v>
      </c>
      <c r="H94" s="4">
        <f>137000+74000+352000</f>
        <v>563000</v>
      </c>
      <c r="I94" s="4"/>
      <c r="J94" s="4"/>
      <c r="K94" s="4"/>
      <c r="L94" s="4"/>
      <c r="M94" s="4"/>
      <c r="N94" s="4"/>
      <c r="O94" s="9">
        <f t="shared" si="255"/>
        <v>850500</v>
      </c>
      <c r="P94" s="20"/>
      <c r="Q94" s="20"/>
      <c r="R94" s="25">
        <v>350200</v>
      </c>
      <c r="S94" s="24">
        <v>1040000</v>
      </c>
      <c r="T94" s="20">
        <f>70000+210000+210000+210000+140000</f>
        <v>840000</v>
      </c>
      <c r="U94" s="20">
        <f>860500+194000+97000</f>
        <v>1151500</v>
      </c>
      <c r="V94" s="20">
        <v>1164000</v>
      </c>
      <c r="W94" s="20">
        <v>1067000</v>
      </c>
      <c r="X94" s="174">
        <v>780850</v>
      </c>
      <c r="Y94" s="21">
        <f t="shared" si="256"/>
        <v>6393550</v>
      </c>
      <c r="Z94" s="25">
        <v>0</v>
      </c>
      <c r="AA94" s="20"/>
      <c r="AB94" s="20"/>
      <c r="AC94" s="20"/>
      <c r="AD94" s="20"/>
      <c r="AE94" s="20"/>
      <c r="AF94" s="21">
        <f t="shared" si="257"/>
        <v>0</v>
      </c>
      <c r="AG94" s="20"/>
      <c r="AH94" s="20"/>
      <c r="AI94" s="20"/>
      <c r="AJ94" s="20"/>
      <c r="AK94" s="20"/>
      <c r="AL94" s="20"/>
      <c r="AM94" s="20"/>
      <c r="AN94" s="20"/>
      <c r="AO94" s="20"/>
      <c r="AP94" s="9">
        <f t="shared" si="258"/>
        <v>0</v>
      </c>
      <c r="AQ94" s="76"/>
      <c r="AR94" s="76">
        <v>410000</v>
      </c>
      <c r="AS94" s="76">
        <v>940000</v>
      </c>
      <c r="AT94" s="76">
        <v>400000</v>
      </c>
      <c r="AU94" s="4"/>
      <c r="AV94" s="4"/>
      <c r="AW94" s="4"/>
      <c r="AX94" s="4"/>
      <c r="AY94" s="4"/>
      <c r="AZ94" s="9">
        <f t="shared" si="259"/>
        <v>1750000</v>
      </c>
      <c r="BA94" s="25"/>
      <c r="BB94" s="20"/>
      <c r="BC94" s="20"/>
      <c r="BD94" s="20"/>
      <c r="BE94" s="20"/>
      <c r="BF94" s="20"/>
      <c r="BG94" s="21">
        <f t="shared" si="260"/>
        <v>0</v>
      </c>
      <c r="BH94" s="25"/>
      <c r="BI94" s="25"/>
      <c r="BJ94" s="25"/>
      <c r="BK94" s="25"/>
      <c r="BL94" s="20"/>
      <c r="BM94" s="20"/>
      <c r="BN94" s="20"/>
      <c r="BO94" s="20"/>
      <c r="BP94" s="20"/>
      <c r="BQ94" s="21">
        <f t="shared" si="261"/>
        <v>0</v>
      </c>
      <c r="BR94" s="4">
        <f t="shared" si="262"/>
        <v>0</v>
      </c>
      <c r="BS94" s="4">
        <f t="shared" si="263"/>
        <v>697500</v>
      </c>
      <c r="BT94" s="4">
        <f t="shared" si="264"/>
        <v>1853200</v>
      </c>
      <c r="BU94" s="4">
        <f t="shared" si="265"/>
        <v>1440000</v>
      </c>
      <c r="BV94" s="94">
        <f t="shared" si="266"/>
        <v>840000</v>
      </c>
      <c r="BW94" s="94">
        <f t="shared" si="267"/>
        <v>1151500</v>
      </c>
      <c r="BX94" s="94">
        <f t="shared" si="268"/>
        <v>1164000</v>
      </c>
      <c r="BY94" s="94">
        <f t="shared" si="269"/>
        <v>1067000</v>
      </c>
      <c r="BZ94" s="94">
        <f t="shared" si="270"/>
        <v>780850</v>
      </c>
      <c r="CA94" s="9">
        <f t="shared" si="271"/>
        <v>8994050</v>
      </c>
    </row>
    <row r="95" spans="1:79" ht="31.5">
      <c r="A95" s="186"/>
      <c r="B95" s="8">
        <v>8</v>
      </c>
      <c r="C95" s="1" t="s">
        <v>191</v>
      </c>
      <c r="D95" s="4" t="s">
        <v>185</v>
      </c>
      <c r="E95" s="4" t="s">
        <v>17</v>
      </c>
      <c r="F95" s="4">
        <v>155000</v>
      </c>
      <c r="G95" s="4">
        <v>490500</v>
      </c>
      <c r="H95" s="4">
        <f>93500+99000+396000+99000</f>
        <v>687500</v>
      </c>
      <c r="I95" s="4">
        <f>60000+20000+20000</f>
        <v>100000</v>
      </c>
      <c r="J95" s="4"/>
      <c r="K95" s="4"/>
      <c r="L95" s="4"/>
      <c r="M95" s="4"/>
      <c r="N95" s="4"/>
      <c r="O95" s="9">
        <f t="shared" si="255"/>
        <v>1433000</v>
      </c>
      <c r="P95" s="20">
        <v>195000</v>
      </c>
      <c r="Q95" s="25">
        <v>662850</v>
      </c>
      <c r="R95" s="25">
        <v>522700</v>
      </c>
      <c r="S95" s="24">
        <v>144000</v>
      </c>
      <c r="T95" s="20"/>
      <c r="U95" s="20"/>
      <c r="V95" s="20"/>
      <c r="W95" s="20"/>
      <c r="X95" s="20"/>
      <c r="Y95" s="21">
        <f t="shared" si="256"/>
        <v>1524550</v>
      </c>
      <c r="Z95" s="25">
        <v>781000</v>
      </c>
      <c r="AA95" s="20">
        <f>71000+212000+185500+175500+128500</f>
        <v>772500</v>
      </c>
      <c r="AB95" s="20">
        <f>923900+175000+87000</f>
        <v>1185900</v>
      </c>
      <c r="AC95" s="20">
        <v>992120</v>
      </c>
      <c r="AD95" s="20">
        <v>1312800</v>
      </c>
      <c r="AE95" s="175">
        <v>840800</v>
      </c>
      <c r="AF95" s="21">
        <f t="shared" si="257"/>
        <v>5885120</v>
      </c>
      <c r="AG95" s="20"/>
      <c r="AH95" s="20"/>
      <c r="AI95" s="20"/>
      <c r="AJ95" s="20"/>
      <c r="AK95" s="20"/>
      <c r="AL95" s="20"/>
      <c r="AM95" s="20"/>
      <c r="AN95" s="20"/>
      <c r="AO95" s="20"/>
      <c r="AP95" s="9">
        <f t="shared" si="258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9">
        <f t="shared" si="259"/>
        <v>0</v>
      </c>
      <c r="BA95" s="25"/>
      <c r="BB95" s="20"/>
      <c r="BC95" s="20"/>
      <c r="BD95" s="20"/>
      <c r="BE95" s="20"/>
      <c r="BF95" s="20"/>
      <c r="BG95" s="21">
        <f t="shared" si="260"/>
        <v>0</v>
      </c>
      <c r="BH95" s="25"/>
      <c r="BI95" s="25"/>
      <c r="BJ95" s="25"/>
      <c r="BK95" s="25"/>
      <c r="BL95" s="20"/>
      <c r="BM95" s="20"/>
      <c r="BN95" s="20"/>
      <c r="BO95" s="20"/>
      <c r="BP95" s="20"/>
      <c r="BQ95" s="21">
        <f t="shared" si="261"/>
        <v>0</v>
      </c>
      <c r="BR95" s="4">
        <f t="shared" si="262"/>
        <v>350000</v>
      </c>
      <c r="BS95" s="4">
        <f t="shared" si="263"/>
        <v>1153350</v>
      </c>
      <c r="BT95" s="4">
        <f t="shared" si="264"/>
        <v>1210200</v>
      </c>
      <c r="BU95" s="4">
        <f t="shared" si="265"/>
        <v>1025000</v>
      </c>
      <c r="BV95" s="94">
        <f t="shared" si="266"/>
        <v>772500</v>
      </c>
      <c r="BW95" s="94">
        <f t="shared" si="267"/>
        <v>1185900</v>
      </c>
      <c r="BX95" s="94">
        <f t="shared" si="268"/>
        <v>992120</v>
      </c>
      <c r="BY95" s="94">
        <f t="shared" si="269"/>
        <v>1312800</v>
      </c>
      <c r="BZ95" s="94">
        <f t="shared" si="270"/>
        <v>840800</v>
      </c>
      <c r="CA95" s="9">
        <f t="shared" si="271"/>
        <v>8842670</v>
      </c>
    </row>
    <row r="96" spans="1:79">
      <c r="A96" s="186"/>
      <c r="B96" s="8">
        <v>9</v>
      </c>
      <c r="C96" s="1" t="s">
        <v>192</v>
      </c>
      <c r="D96" s="4" t="s">
        <v>193</v>
      </c>
      <c r="E96" s="4" t="s">
        <v>17</v>
      </c>
      <c r="F96" s="4"/>
      <c r="G96" s="4">
        <v>804000</v>
      </c>
      <c r="H96" s="4">
        <f>99000+99000+297000</f>
        <v>495000</v>
      </c>
      <c r="I96" s="4">
        <f>20000+160000</f>
        <v>180000</v>
      </c>
      <c r="J96" s="4"/>
      <c r="K96" s="4"/>
      <c r="L96" s="4"/>
      <c r="M96" s="4"/>
      <c r="N96" s="4"/>
      <c r="O96" s="9">
        <f t="shared" si="255"/>
        <v>1479000</v>
      </c>
      <c r="P96" s="20"/>
      <c r="Q96" s="25">
        <v>1339600</v>
      </c>
      <c r="R96" s="25">
        <v>582000</v>
      </c>
      <c r="S96" s="24">
        <v>270000</v>
      </c>
      <c r="T96" s="20"/>
      <c r="U96" s="20"/>
      <c r="V96" s="20"/>
      <c r="W96" s="20"/>
      <c r="X96" s="20"/>
      <c r="Y96" s="21">
        <f t="shared" si="256"/>
        <v>2191600</v>
      </c>
      <c r="Z96" s="25">
        <v>0</v>
      </c>
      <c r="AA96" s="20"/>
      <c r="AB96" s="20"/>
      <c r="AC96" s="20"/>
      <c r="AD96" s="20"/>
      <c r="AE96" s="20"/>
      <c r="AF96" s="21">
        <f t="shared" si="257"/>
        <v>0</v>
      </c>
      <c r="AG96" s="20"/>
      <c r="AH96" s="20"/>
      <c r="AI96" s="20"/>
      <c r="AJ96" s="20"/>
      <c r="AK96" s="20"/>
      <c r="AL96" s="20"/>
      <c r="AM96" s="20"/>
      <c r="AN96" s="20"/>
      <c r="AO96" s="20"/>
      <c r="AP96" s="9">
        <f t="shared" si="258"/>
        <v>0</v>
      </c>
      <c r="AQ96" s="76"/>
      <c r="AR96" s="76">
        <v>1050000</v>
      </c>
      <c r="AS96" s="76">
        <v>760000</v>
      </c>
      <c r="AT96" s="76">
        <v>1025000</v>
      </c>
      <c r="AU96" s="4">
        <f>225000+225000+225000+225000+150000</f>
        <v>1050000</v>
      </c>
      <c r="AV96" s="4">
        <f>1575000+560000</f>
        <v>2135000</v>
      </c>
      <c r="AW96" s="4">
        <f>570000+550000+350000+300000+300000+150000</f>
        <v>2220000</v>
      </c>
      <c r="AX96" s="4">
        <f>300000+150000+150000+150000+160000+330000+510000</f>
        <v>1750000</v>
      </c>
      <c r="AY96" s="4">
        <v>1130000</v>
      </c>
      <c r="AZ96" s="9">
        <f t="shared" si="259"/>
        <v>11120000</v>
      </c>
      <c r="BA96" s="25"/>
      <c r="BB96" s="20"/>
      <c r="BC96" s="20"/>
      <c r="BD96" s="20"/>
      <c r="BE96" s="20"/>
      <c r="BF96" s="20"/>
      <c r="BG96" s="21">
        <f t="shared" si="260"/>
        <v>0</v>
      </c>
      <c r="BH96" s="25"/>
      <c r="BI96" s="25"/>
      <c r="BJ96" s="25">
        <v>366800</v>
      </c>
      <c r="BK96" s="25"/>
      <c r="BL96" s="20"/>
      <c r="BM96" s="20"/>
      <c r="BN96" s="20"/>
      <c r="BO96" s="20"/>
      <c r="BP96" s="20"/>
      <c r="BQ96" s="21">
        <f t="shared" si="261"/>
        <v>366800</v>
      </c>
      <c r="BR96" s="4">
        <f t="shared" si="262"/>
        <v>0</v>
      </c>
      <c r="BS96" s="4">
        <f t="shared" si="263"/>
        <v>3193600</v>
      </c>
      <c r="BT96" s="4">
        <f t="shared" si="264"/>
        <v>2203800</v>
      </c>
      <c r="BU96" s="4">
        <f t="shared" si="265"/>
        <v>1475000</v>
      </c>
      <c r="BV96" s="94">
        <f t="shared" si="266"/>
        <v>1050000</v>
      </c>
      <c r="BW96" s="94">
        <f t="shared" si="267"/>
        <v>2135000</v>
      </c>
      <c r="BX96" s="94">
        <f t="shared" si="268"/>
        <v>2220000</v>
      </c>
      <c r="BY96" s="94">
        <f t="shared" si="269"/>
        <v>1750000</v>
      </c>
      <c r="BZ96" s="94">
        <f t="shared" si="270"/>
        <v>1130000</v>
      </c>
      <c r="CA96" s="9">
        <f t="shared" si="271"/>
        <v>15157400</v>
      </c>
    </row>
    <row r="97" spans="1:79" ht="31.5">
      <c r="A97" s="186"/>
      <c r="B97" s="8">
        <v>10</v>
      </c>
      <c r="C97" s="1" t="s">
        <v>194</v>
      </c>
      <c r="D97" s="4" t="s">
        <v>187</v>
      </c>
      <c r="E97" s="4" t="s">
        <v>17</v>
      </c>
      <c r="F97" s="4"/>
      <c r="G97" s="4">
        <v>155000</v>
      </c>
      <c r="H97" s="4">
        <v>151000</v>
      </c>
      <c r="I97" s="4"/>
      <c r="J97" s="4"/>
      <c r="K97" s="4"/>
      <c r="L97" s="4"/>
      <c r="M97" s="4"/>
      <c r="N97" s="4"/>
      <c r="O97" s="9">
        <f t="shared" si="255"/>
        <v>306000</v>
      </c>
      <c r="P97" s="20"/>
      <c r="Q97" s="20"/>
      <c r="R97" s="20"/>
      <c r="S97" s="20"/>
      <c r="T97" s="20"/>
      <c r="U97" s="20"/>
      <c r="V97" s="20"/>
      <c r="W97" s="20"/>
      <c r="X97" s="20"/>
      <c r="Y97" s="21">
        <f t="shared" si="256"/>
        <v>0</v>
      </c>
      <c r="Z97" s="24">
        <v>0</v>
      </c>
      <c r="AA97" s="20"/>
      <c r="AB97" s="20"/>
      <c r="AC97" s="20"/>
      <c r="AD97" s="20"/>
      <c r="AE97" s="20"/>
      <c r="AF97" s="21">
        <f t="shared" si="257"/>
        <v>0</v>
      </c>
      <c r="AG97" s="20"/>
      <c r="AH97" s="20"/>
      <c r="AI97" s="20"/>
      <c r="AJ97" s="20"/>
      <c r="AK97" s="20"/>
      <c r="AL97" s="20"/>
      <c r="AM97" s="20"/>
      <c r="AN97" s="20"/>
      <c r="AO97" s="20"/>
      <c r="AP97" s="9">
        <f t="shared" si="258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9">
        <f t="shared" si="259"/>
        <v>0</v>
      </c>
      <c r="BA97" s="24"/>
      <c r="BB97" s="20"/>
      <c r="BC97" s="20"/>
      <c r="BD97" s="20"/>
      <c r="BE97" s="20"/>
      <c r="BF97" s="20"/>
      <c r="BG97" s="21">
        <f t="shared" si="260"/>
        <v>0</v>
      </c>
      <c r="BH97" s="24"/>
      <c r="BI97" s="24"/>
      <c r="BJ97" s="24"/>
      <c r="BK97" s="24"/>
      <c r="BL97" s="20"/>
      <c r="BM97" s="20"/>
      <c r="BN97" s="20"/>
      <c r="BO97" s="20"/>
      <c r="BP97" s="20"/>
      <c r="BQ97" s="21">
        <f t="shared" si="261"/>
        <v>0</v>
      </c>
      <c r="BR97" s="4">
        <f t="shared" si="262"/>
        <v>0</v>
      </c>
      <c r="BS97" s="4">
        <f t="shared" si="263"/>
        <v>155000</v>
      </c>
      <c r="BT97" s="4">
        <f t="shared" si="264"/>
        <v>151000</v>
      </c>
      <c r="BU97" s="4">
        <f t="shared" si="265"/>
        <v>0</v>
      </c>
      <c r="BV97" s="94">
        <f t="shared" si="266"/>
        <v>0</v>
      </c>
      <c r="BW97" s="94">
        <f t="shared" si="267"/>
        <v>0</v>
      </c>
      <c r="BX97" s="94">
        <f t="shared" si="268"/>
        <v>0</v>
      </c>
      <c r="BY97" s="94">
        <f t="shared" si="269"/>
        <v>0</v>
      </c>
      <c r="BZ97" s="94">
        <f t="shared" si="270"/>
        <v>0</v>
      </c>
      <c r="CA97" s="9">
        <f t="shared" si="271"/>
        <v>306000</v>
      </c>
    </row>
    <row r="98" spans="1:79">
      <c r="A98" s="186"/>
      <c r="B98" s="8">
        <v>11</v>
      </c>
      <c r="C98" s="1" t="s">
        <v>195</v>
      </c>
      <c r="D98" s="4" t="s">
        <v>196</v>
      </c>
      <c r="E98" s="4" t="s">
        <v>17</v>
      </c>
      <c r="F98" s="4"/>
      <c r="G98" s="4">
        <v>155000</v>
      </c>
      <c r="H98" s="4">
        <v>154000</v>
      </c>
      <c r="I98" s="4"/>
      <c r="J98" s="4"/>
      <c r="K98" s="4"/>
      <c r="L98" s="4"/>
      <c r="M98" s="4"/>
      <c r="N98" s="4"/>
      <c r="O98" s="9">
        <f t="shared" si="255"/>
        <v>309000</v>
      </c>
      <c r="P98" s="20"/>
      <c r="Q98" s="25">
        <v>447200</v>
      </c>
      <c r="R98" s="25">
        <v>504400</v>
      </c>
      <c r="S98" s="24">
        <v>270000</v>
      </c>
      <c r="T98" s="20"/>
      <c r="U98" s="20"/>
      <c r="V98" s="20"/>
      <c r="W98" s="20"/>
      <c r="X98" s="20"/>
      <c r="Y98" s="21">
        <f t="shared" si="256"/>
        <v>1221600</v>
      </c>
      <c r="Z98" s="25">
        <v>0</v>
      </c>
      <c r="AA98" s="20"/>
      <c r="AB98" s="20"/>
      <c r="AC98" s="20"/>
      <c r="AD98" s="20"/>
      <c r="AE98" s="20"/>
      <c r="AF98" s="21">
        <f t="shared" si="257"/>
        <v>0</v>
      </c>
      <c r="AG98" s="20"/>
      <c r="AH98" s="20"/>
      <c r="AI98" s="20"/>
      <c r="AJ98" s="20"/>
      <c r="AK98" s="20"/>
      <c r="AL98" s="20"/>
      <c r="AM98" s="20"/>
      <c r="AN98" s="20"/>
      <c r="AO98" s="20"/>
      <c r="AP98" s="9">
        <f t="shared" si="258"/>
        <v>0</v>
      </c>
      <c r="AQ98" s="76"/>
      <c r="AR98" s="76">
        <v>790000</v>
      </c>
      <c r="AS98" s="76">
        <v>1260000</v>
      </c>
      <c r="AT98" s="76">
        <v>975000</v>
      </c>
      <c r="AU98" s="4">
        <f>215000+225000+225000+225000+150000</f>
        <v>1040000</v>
      </c>
      <c r="AV98" s="4">
        <v>2195000</v>
      </c>
      <c r="AW98" s="4">
        <f>600000+600000+600000+200000+200000</f>
        <v>2200000</v>
      </c>
      <c r="AX98" s="4">
        <f>400000+200000+200000+200000+200000+400000+600000</f>
        <v>2200000</v>
      </c>
      <c r="AY98" s="4">
        <v>1400000</v>
      </c>
      <c r="AZ98" s="9">
        <f t="shared" si="259"/>
        <v>12060000</v>
      </c>
      <c r="BA98" s="25"/>
      <c r="BB98" s="20"/>
      <c r="BC98" s="20"/>
      <c r="BD98" s="20"/>
      <c r="BE98" s="20"/>
      <c r="BF98" s="20"/>
      <c r="BG98" s="21">
        <f t="shared" si="260"/>
        <v>0</v>
      </c>
      <c r="BH98" s="25"/>
      <c r="BI98" s="25"/>
      <c r="BJ98" s="25"/>
      <c r="BK98" s="25"/>
      <c r="BL98" s="20"/>
      <c r="BM98" s="20"/>
      <c r="BN98" s="20"/>
      <c r="BO98" s="20"/>
      <c r="BP98" s="20"/>
      <c r="BQ98" s="21">
        <f t="shared" si="261"/>
        <v>0</v>
      </c>
      <c r="BR98" s="4">
        <f t="shared" si="262"/>
        <v>0</v>
      </c>
      <c r="BS98" s="4">
        <f t="shared" si="263"/>
        <v>1392200</v>
      </c>
      <c r="BT98" s="4">
        <f t="shared" si="264"/>
        <v>1918400</v>
      </c>
      <c r="BU98" s="4">
        <f t="shared" si="265"/>
        <v>1245000</v>
      </c>
      <c r="BV98" s="94">
        <f t="shared" si="266"/>
        <v>1040000</v>
      </c>
      <c r="BW98" s="94">
        <f t="shared" si="267"/>
        <v>2195000</v>
      </c>
      <c r="BX98" s="94">
        <f t="shared" si="268"/>
        <v>2200000</v>
      </c>
      <c r="BY98" s="94">
        <f t="shared" si="269"/>
        <v>2200000</v>
      </c>
      <c r="BZ98" s="94">
        <f t="shared" si="270"/>
        <v>1400000</v>
      </c>
      <c r="CA98" s="9">
        <f t="shared" si="271"/>
        <v>13590600</v>
      </c>
    </row>
    <row r="99" spans="1:79">
      <c r="A99" s="186"/>
      <c r="B99" s="8">
        <v>12</v>
      </c>
      <c r="C99" s="1" t="s">
        <v>197</v>
      </c>
      <c r="D99" s="4" t="s">
        <v>187</v>
      </c>
      <c r="E99" s="4" t="s">
        <v>17</v>
      </c>
      <c r="F99" s="4"/>
      <c r="G99" s="4">
        <v>512500</v>
      </c>
      <c r="H99" s="4">
        <f>104500+110000+110000</f>
        <v>324500</v>
      </c>
      <c r="I99" s="4">
        <v>200000</v>
      </c>
      <c r="J99" s="4"/>
      <c r="K99" s="4"/>
      <c r="L99" s="4"/>
      <c r="M99" s="4"/>
      <c r="N99" s="4"/>
      <c r="O99" s="9">
        <f t="shared" si="255"/>
        <v>1037000</v>
      </c>
      <c r="P99" s="20"/>
      <c r="Q99" s="25">
        <v>943600</v>
      </c>
      <c r="R99" s="20">
        <v>780850</v>
      </c>
      <c r="S99" s="20">
        <v>150000</v>
      </c>
      <c r="T99" s="20"/>
      <c r="U99" s="20"/>
      <c r="V99" s="20"/>
      <c r="W99" s="20"/>
      <c r="X99" s="20"/>
      <c r="Y99" s="21">
        <f t="shared" si="256"/>
        <v>1874450</v>
      </c>
      <c r="Z99" s="25">
        <v>0</v>
      </c>
      <c r="AA99" s="20"/>
      <c r="AB99" s="20"/>
      <c r="AC99" s="20"/>
      <c r="AD99" s="20"/>
      <c r="AE99" s="20"/>
      <c r="AF99" s="21">
        <f t="shared" si="257"/>
        <v>0</v>
      </c>
      <c r="AG99" s="20"/>
      <c r="AH99" s="20">
        <v>290000</v>
      </c>
      <c r="AI99" s="20"/>
      <c r="AJ99" s="22">
        <v>1072000</v>
      </c>
      <c r="AK99" s="22"/>
      <c r="AL99" s="22"/>
      <c r="AM99" s="22"/>
      <c r="AN99" s="22"/>
      <c r="AO99" s="22"/>
      <c r="AP99" s="9">
        <f t="shared" si="258"/>
        <v>1362000</v>
      </c>
      <c r="AQ99" s="76"/>
      <c r="AR99" s="76">
        <v>1300000</v>
      </c>
      <c r="AS99" s="76">
        <v>1480000</v>
      </c>
      <c r="AT99" s="76">
        <v>250000</v>
      </c>
      <c r="AU99" s="4"/>
      <c r="AV99" s="4"/>
      <c r="AW99" s="4"/>
      <c r="AX99" s="4"/>
      <c r="AY99" s="4"/>
      <c r="AZ99" s="9">
        <f t="shared" si="259"/>
        <v>3030000</v>
      </c>
      <c r="BA99" s="24">
        <v>900000</v>
      </c>
      <c r="BB99" s="20">
        <f>300000+300000+300000+300000+200000</f>
        <v>1400000</v>
      </c>
      <c r="BC99" s="20">
        <f>2072000+765000</f>
        <v>2837000</v>
      </c>
      <c r="BD99" s="20">
        <f>255000+503000+755000+510000+765000</f>
        <v>2788000</v>
      </c>
      <c r="BE99" s="20">
        <f>765000+255000+246500+246500+255000+510000+510000+255000</f>
        <v>3043000</v>
      </c>
      <c r="BF99" s="22">
        <v>2040000</v>
      </c>
      <c r="BG99" s="21">
        <f t="shared" si="260"/>
        <v>13008000</v>
      </c>
      <c r="BH99" s="25"/>
      <c r="BI99" s="25">
        <v>100000</v>
      </c>
      <c r="BJ99" s="25">
        <v>276000</v>
      </c>
      <c r="BK99" s="25"/>
      <c r="BL99" s="20"/>
      <c r="BM99" s="20"/>
      <c r="BN99" s="20"/>
      <c r="BO99" s="20"/>
      <c r="BP99" s="20"/>
      <c r="BQ99" s="21">
        <f t="shared" si="261"/>
        <v>376000</v>
      </c>
      <c r="BR99" s="4">
        <f t="shared" si="262"/>
        <v>0</v>
      </c>
      <c r="BS99" s="4">
        <f t="shared" si="263"/>
        <v>3146100</v>
      </c>
      <c r="BT99" s="4">
        <f t="shared" si="264"/>
        <v>2861350</v>
      </c>
      <c r="BU99" s="4">
        <f t="shared" si="265"/>
        <v>2572000</v>
      </c>
      <c r="BV99" s="94">
        <f t="shared" si="266"/>
        <v>1400000</v>
      </c>
      <c r="BW99" s="94">
        <f t="shared" si="267"/>
        <v>2837000</v>
      </c>
      <c r="BX99" s="94">
        <f t="shared" si="268"/>
        <v>2788000</v>
      </c>
      <c r="BY99" s="94">
        <f t="shared" si="269"/>
        <v>3043000</v>
      </c>
      <c r="BZ99" s="94">
        <f t="shared" si="270"/>
        <v>2040000</v>
      </c>
      <c r="CA99" s="9">
        <f t="shared" si="271"/>
        <v>20687450</v>
      </c>
    </row>
    <row r="100" spans="1:79">
      <c r="A100" s="186"/>
      <c r="B100" s="8">
        <v>13</v>
      </c>
      <c r="C100" s="1" t="s">
        <v>198</v>
      </c>
      <c r="D100" s="4" t="s">
        <v>193</v>
      </c>
      <c r="E100" s="4" t="s">
        <v>17</v>
      </c>
      <c r="F100" s="4"/>
      <c r="G100" s="4"/>
      <c r="H100" s="4"/>
      <c r="I100" s="4"/>
      <c r="J100" s="4"/>
      <c r="K100" s="4"/>
      <c r="L100" s="4"/>
      <c r="M100" s="4"/>
      <c r="N100" s="4"/>
      <c r="O100" s="9">
        <f t="shared" si="255"/>
        <v>0</v>
      </c>
      <c r="P100" s="20"/>
      <c r="Q100" s="25">
        <v>801250</v>
      </c>
      <c r="R100" s="25">
        <v>582000</v>
      </c>
      <c r="S100" s="24">
        <v>270000</v>
      </c>
      <c r="T100" s="20"/>
      <c r="U100" s="20"/>
      <c r="V100" s="20"/>
      <c r="W100" s="20"/>
      <c r="X100" s="20"/>
      <c r="Y100" s="21">
        <f t="shared" si="256"/>
        <v>1653250</v>
      </c>
      <c r="Z100" s="25">
        <v>0</v>
      </c>
      <c r="AA100" s="20"/>
      <c r="AB100" s="20"/>
      <c r="AC100" s="20"/>
      <c r="AD100" s="20"/>
      <c r="AE100" s="20"/>
      <c r="AF100" s="21">
        <f t="shared" si="257"/>
        <v>0</v>
      </c>
      <c r="AG100" s="20"/>
      <c r="AH100" s="20"/>
      <c r="AI100" s="20"/>
      <c r="AJ100" s="20"/>
      <c r="AK100" s="20"/>
      <c r="AL100" s="20"/>
      <c r="AM100" s="20"/>
      <c r="AN100" s="20"/>
      <c r="AO100" s="20"/>
      <c r="AP100" s="9">
        <f t="shared" si="258"/>
        <v>0</v>
      </c>
      <c r="AQ100" s="76"/>
      <c r="AR100" s="76">
        <v>1210000</v>
      </c>
      <c r="AS100" s="76">
        <v>1000000</v>
      </c>
      <c r="AT100" s="76">
        <v>1075000</v>
      </c>
      <c r="AU100" s="4">
        <f>225000+225000+225000+225000</f>
        <v>900000</v>
      </c>
      <c r="AV100" s="4">
        <f>1715000+600000</f>
        <v>2315000</v>
      </c>
      <c r="AW100" s="4">
        <f>800000+400000+200000+200000+400000+200000+200000</f>
        <v>2400000</v>
      </c>
      <c r="AX100" s="4">
        <f>400000+200000+200000+200000+200000+400000+600000</f>
        <v>2200000</v>
      </c>
      <c r="AY100" s="4">
        <v>1560000</v>
      </c>
      <c r="AZ100" s="9">
        <f t="shared" si="259"/>
        <v>12660000</v>
      </c>
      <c r="BA100" s="25"/>
      <c r="BB100" s="20"/>
      <c r="BC100" s="20"/>
      <c r="BD100" s="20"/>
      <c r="BE100" s="20"/>
      <c r="BF100" s="20"/>
      <c r="BG100" s="21">
        <f t="shared" si="260"/>
        <v>0</v>
      </c>
      <c r="BH100" s="25"/>
      <c r="BI100" s="25"/>
      <c r="BJ100" s="25"/>
      <c r="BK100" s="25"/>
      <c r="BL100" s="20"/>
      <c r="BM100" s="20"/>
      <c r="BN100" s="20"/>
      <c r="BO100" s="20"/>
      <c r="BP100" s="20"/>
      <c r="BQ100" s="21">
        <f t="shared" si="261"/>
        <v>0</v>
      </c>
      <c r="BR100" s="4">
        <f t="shared" si="262"/>
        <v>0</v>
      </c>
      <c r="BS100" s="4">
        <f t="shared" si="263"/>
        <v>2011250</v>
      </c>
      <c r="BT100" s="4">
        <f t="shared" si="264"/>
        <v>1582000</v>
      </c>
      <c r="BU100" s="4">
        <f t="shared" si="265"/>
        <v>1345000</v>
      </c>
      <c r="BV100" s="94">
        <f t="shared" si="266"/>
        <v>900000</v>
      </c>
      <c r="BW100" s="94">
        <f t="shared" si="267"/>
        <v>2315000</v>
      </c>
      <c r="BX100" s="94">
        <f t="shared" si="268"/>
        <v>2400000</v>
      </c>
      <c r="BY100" s="94">
        <f t="shared" si="269"/>
        <v>2200000</v>
      </c>
      <c r="BZ100" s="94">
        <f t="shared" si="270"/>
        <v>1560000</v>
      </c>
      <c r="CA100" s="9">
        <f t="shared" si="271"/>
        <v>14313250</v>
      </c>
    </row>
    <row r="101" spans="1:79" ht="31.5">
      <c r="A101" s="186"/>
      <c r="B101" s="8">
        <v>14</v>
      </c>
      <c r="C101" s="1" t="s">
        <v>199</v>
      </c>
      <c r="D101" s="4" t="s">
        <v>185</v>
      </c>
      <c r="E101" s="4" t="s">
        <v>17</v>
      </c>
      <c r="F101" s="4"/>
      <c r="G101" s="4"/>
      <c r="H101" s="4"/>
      <c r="I101" s="4"/>
      <c r="J101" s="4"/>
      <c r="K101" s="4"/>
      <c r="L101" s="4"/>
      <c r="M101" s="4"/>
      <c r="N101" s="4"/>
      <c r="O101" s="9">
        <f t="shared" si="255"/>
        <v>0</v>
      </c>
      <c r="P101" s="20"/>
      <c r="Q101" s="25"/>
      <c r="R101" s="25">
        <v>680900</v>
      </c>
      <c r="S101" s="24">
        <v>150000</v>
      </c>
      <c r="T101" s="20"/>
      <c r="U101" s="20"/>
      <c r="V101" s="20"/>
      <c r="W101" s="20">
        <v>1367700</v>
      </c>
      <c r="X101" s="174">
        <v>1100950</v>
      </c>
      <c r="Y101" s="21">
        <f t="shared" si="256"/>
        <v>3299550</v>
      </c>
      <c r="Z101" s="25">
        <v>0</v>
      </c>
      <c r="AA101" s="20"/>
      <c r="AB101" s="20"/>
      <c r="AC101" s="20"/>
      <c r="AD101" s="20"/>
      <c r="AE101" s="20"/>
      <c r="AF101" s="21">
        <f t="shared" si="257"/>
        <v>0</v>
      </c>
      <c r="AG101" s="20"/>
      <c r="AH101" s="20"/>
      <c r="AI101" s="20"/>
      <c r="AJ101" s="20"/>
      <c r="AK101" s="20"/>
      <c r="AL101" s="20"/>
      <c r="AM101" s="20"/>
      <c r="AN101" s="20"/>
      <c r="AO101" s="20"/>
      <c r="AP101" s="9">
        <f t="shared" si="258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9">
        <f t="shared" si="259"/>
        <v>0</v>
      </c>
      <c r="BA101" s="25"/>
      <c r="BB101" s="20"/>
      <c r="BC101" s="20"/>
      <c r="BD101" s="20"/>
      <c r="BE101" s="20"/>
      <c r="BF101" s="20"/>
      <c r="BG101" s="21">
        <f t="shared" si="260"/>
        <v>0</v>
      </c>
      <c r="BH101" s="25"/>
      <c r="BI101" s="25"/>
      <c r="BJ101" s="25"/>
      <c r="BK101" s="25"/>
      <c r="BL101" s="20"/>
      <c r="BM101" s="20"/>
      <c r="BN101" s="20"/>
      <c r="BO101" s="20"/>
      <c r="BP101" s="20"/>
      <c r="BQ101" s="21">
        <f t="shared" si="261"/>
        <v>0</v>
      </c>
      <c r="BR101" s="4">
        <f t="shared" si="262"/>
        <v>0</v>
      </c>
      <c r="BS101" s="4">
        <f t="shared" si="263"/>
        <v>0</v>
      </c>
      <c r="BT101" s="4">
        <f t="shared" si="264"/>
        <v>680900</v>
      </c>
      <c r="BU101" s="4">
        <f t="shared" si="265"/>
        <v>150000</v>
      </c>
      <c r="BV101" s="94">
        <f t="shared" si="266"/>
        <v>0</v>
      </c>
      <c r="BW101" s="94">
        <f t="shared" si="267"/>
        <v>0</v>
      </c>
      <c r="BX101" s="94">
        <f t="shared" si="268"/>
        <v>0</v>
      </c>
      <c r="BY101" s="94">
        <f t="shared" si="269"/>
        <v>1367700</v>
      </c>
      <c r="BZ101" s="94">
        <f t="shared" si="270"/>
        <v>1100950</v>
      </c>
      <c r="CA101" s="9">
        <f t="shared" si="271"/>
        <v>3299550</v>
      </c>
    </row>
    <row r="102" spans="1:79">
      <c r="A102" s="186"/>
      <c r="B102" s="8">
        <v>15</v>
      </c>
      <c r="C102" s="1" t="s">
        <v>200</v>
      </c>
      <c r="D102" s="4" t="s">
        <v>201</v>
      </c>
      <c r="E102" s="4" t="s">
        <v>17</v>
      </c>
      <c r="F102" s="4"/>
      <c r="G102" s="4"/>
      <c r="H102" s="4">
        <f>155000+72000</f>
        <v>227000</v>
      </c>
      <c r="I102" s="4">
        <f>58000+42000</f>
        <v>100000</v>
      </c>
      <c r="J102" s="4"/>
      <c r="K102" s="4"/>
      <c r="L102" s="4"/>
      <c r="M102" s="4"/>
      <c r="N102" s="4"/>
      <c r="O102" s="9">
        <f t="shared" si="255"/>
        <v>327000</v>
      </c>
      <c r="P102" s="20"/>
      <c r="Q102" s="20"/>
      <c r="R102" s="25">
        <v>310500</v>
      </c>
      <c r="S102" s="24"/>
      <c r="T102" s="20"/>
      <c r="U102" s="20"/>
      <c r="V102" s="20"/>
      <c r="W102" s="20"/>
      <c r="X102" s="20"/>
      <c r="Y102" s="21">
        <f t="shared" si="256"/>
        <v>310500</v>
      </c>
      <c r="Z102" s="25">
        <v>720000</v>
      </c>
      <c r="AA102" s="20">
        <f>90000+360000+270000+180000</f>
        <v>900000</v>
      </c>
      <c r="AB102" s="20">
        <f>1008000+252000+126000</f>
        <v>1386000</v>
      </c>
      <c r="AC102" s="20">
        <v>1512000</v>
      </c>
      <c r="AD102" s="20">
        <v>1386000</v>
      </c>
      <c r="AE102" s="175">
        <v>1003800</v>
      </c>
      <c r="AF102" s="21">
        <f t="shared" si="257"/>
        <v>6907800</v>
      </c>
      <c r="AG102" s="20"/>
      <c r="AH102" s="20"/>
      <c r="AI102" s="20"/>
      <c r="AJ102" s="20"/>
      <c r="AK102" s="20"/>
      <c r="AL102" s="20"/>
      <c r="AM102" s="20"/>
      <c r="AN102" s="20"/>
      <c r="AO102" s="20"/>
      <c r="AP102" s="9">
        <f t="shared" si="258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9">
        <f t="shared" si="259"/>
        <v>0</v>
      </c>
      <c r="BA102" s="25"/>
      <c r="BB102" s="20"/>
      <c r="BC102" s="20"/>
      <c r="BD102" s="20"/>
      <c r="BE102" s="20"/>
      <c r="BF102" s="20"/>
      <c r="BG102" s="21">
        <f t="shared" si="260"/>
        <v>0</v>
      </c>
      <c r="BH102" s="25"/>
      <c r="BI102" s="25"/>
      <c r="BJ102" s="25"/>
      <c r="BK102" s="25"/>
      <c r="BL102" s="20"/>
      <c r="BM102" s="20"/>
      <c r="BN102" s="20"/>
      <c r="BO102" s="20"/>
      <c r="BP102" s="20"/>
      <c r="BQ102" s="21">
        <f t="shared" si="261"/>
        <v>0</v>
      </c>
      <c r="BR102" s="4">
        <f t="shared" si="262"/>
        <v>0</v>
      </c>
      <c r="BS102" s="4">
        <f t="shared" si="263"/>
        <v>0</v>
      </c>
      <c r="BT102" s="4">
        <f t="shared" si="264"/>
        <v>537500</v>
      </c>
      <c r="BU102" s="4">
        <f t="shared" si="265"/>
        <v>820000</v>
      </c>
      <c r="BV102" s="94">
        <f t="shared" si="266"/>
        <v>900000</v>
      </c>
      <c r="BW102" s="94">
        <f t="shared" si="267"/>
        <v>1386000</v>
      </c>
      <c r="BX102" s="94">
        <f t="shared" si="268"/>
        <v>1512000</v>
      </c>
      <c r="BY102" s="94">
        <f t="shared" si="269"/>
        <v>1386000</v>
      </c>
      <c r="BZ102" s="94">
        <f t="shared" si="270"/>
        <v>1003800</v>
      </c>
      <c r="CA102" s="9">
        <f t="shared" si="271"/>
        <v>7545300</v>
      </c>
    </row>
    <row r="103" spans="1:79">
      <c r="A103" s="186"/>
      <c r="B103" s="8">
        <v>16</v>
      </c>
      <c r="C103" s="1" t="s">
        <v>202</v>
      </c>
      <c r="D103" s="4" t="s">
        <v>203</v>
      </c>
      <c r="E103" s="4" t="s">
        <v>17</v>
      </c>
      <c r="F103" s="4">
        <v>155000</v>
      </c>
      <c r="G103" s="4">
        <v>699500</v>
      </c>
      <c r="H103" s="4">
        <f>198000+324500</f>
        <v>522500</v>
      </c>
      <c r="I103" s="4">
        <v>180000</v>
      </c>
      <c r="J103" s="4"/>
      <c r="K103" s="4"/>
      <c r="L103" s="4"/>
      <c r="M103" s="4"/>
      <c r="N103" s="4"/>
      <c r="O103" s="9">
        <f t="shared" si="255"/>
        <v>1557000</v>
      </c>
      <c r="P103" s="20"/>
      <c r="Q103" s="25">
        <v>1407050</v>
      </c>
      <c r="R103" s="25">
        <v>582000</v>
      </c>
      <c r="S103" s="24">
        <v>270000</v>
      </c>
      <c r="T103" s="20"/>
      <c r="U103" s="20"/>
      <c r="V103" s="20"/>
      <c r="W103" s="20"/>
      <c r="X103" s="20"/>
      <c r="Y103" s="21">
        <f t="shared" si="256"/>
        <v>2259050</v>
      </c>
      <c r="Z103" s="25">
        <v>945000</v>
      </c>
      <c r="AA103" s="20">
        <f>315000+315000+315000+315000+210000</f>
        <v>1470000</v>
      </c>
      <c r="AB103" s="20">
        <f>1388655+312000+156000</f>
        <v>1856655</v>
      </c>
      <c r="AC103" s="20">
        <v>1872000</v>
      </c>
      <c r="AD103" s="20">
        <v>1716000</v>
      </c>
      <c r="AE103" s="175">
        <v>1092000</v>
      </c>
      <c r="AF103" s="21">
        <f t="shared" si="257"/>
        <v>8951655</v>
      </c>
      <c r="AG103" s="20"/>
      <c r="AH103" s="20"/>
      <c r="AI103" s="20"/>
      <c r="AJ103" s="20"/>
      <c r="AK103" s="20"/>
      <c r="AL103" s="20"/>
      <c r="AM103" s="20"/>
      <c r="AN103" s="20"/>
      <c r="AO103" s="20"/>
      <c r="AP103" s="9">
        <f t="shared" si="258"/>
        <v>0</v>
      </c>
      <c r="AQ103" s="76"/>
      <c r="AR103" s="76"/>
      <c r="AS103" s="76">
        <v>290000</v>
      </c>
      <c r="AT103" s="76">
        <v>395000</v>
      </c>
      <c r="AU103" s="4"/>
      <c r="AV103" s="4"/>
      <c r="AW103" s="4"/>
      <c r="AX103" s="4"/>
      <c r="AY103" s="4"/>
      <c r="AZ103" s="9">
        <f t="shared" si="259"/>
        <v>685000</v>
      </c>
      <c r="BA103" s="25"/>
      <c r="BB103" s="20"/>
      <c r="BC103" s="20"/>
      <c r="BD103" s="20"/>
      <c r="BE103" s="20"/>
      <c r="BF103" s="20"/>
      <c r="BG103" s="21">
        <f t="shared" si="260"/>
        <v>0</v>
      </c>
      <c r="BH103" s="25"/>
      <c r="BI103" s="24">
        <v>100000</v>
      </c>
      <c r="BJ103" s="25"/>
      <c r="BK103" s="25">
        <v>208000</v>
      </c>
      <c r="BL103" s="20"/>
      <c r="BM103" s="20"/>
      <c r="BN103" s="20"/>
      <c r="BO103" s="20"/>
      <c r="BP103" s="20"/>
      <c r="BQ103" s="21">
        <f t="shared" si="261"/>
        <v>308000</v>
      </c>
      <c r="BR103" s="4">
        <f t="shared" si="262"/>
        <v>155000</v>
      </c>
      <c r="BS103" s="4">
        <f t="shared" si="263"/>
        <v>2206550</v>
      </c>
      <c r="BT103" s="4">
        <f t="shared" si="264"/>
        <v>1394500</v>
      </c>
      <c r="BU103" s="4">
        <f t="shared" si="265"/>
        <v>1998000</v>
      </c>
      <c r="BV103" s="94">
        <f t="shared" si="266"/>
        <v>1470000</v>
      </c>
      <c r="BW103" s="94">
        <f t="shared" si="267"/>
        <v>1856655</v>
      </c>
      <c r="BX103" s="94">
        <f t="shared" si="268"/>
        <v>1872000</v>
      </c>
      <c r="BY103" s="94">
        <f t="shared" si="269"/>
        <v>1716000</v>
      </c>
      <c r="BZ103" s="94">
        <f t="shared" si="270"/>
        <v>1092000</v>
      </c>
      <c r="CA103" s="9">
        <f t="shared" si="271"/>
        <v>13760705</v>
      </c>
    </row>
    <row r="104" spans="1:79">
      <c r="A104" s="186"/>
      <c r="B104" s="8">
        <v>17</v>
      </c>
      <c r="C104" s="1" t="s">
        <v>204</v>
      </c>
      <c r="D104" s="4" t="s">
        <v>205</v>
      </c>
      <c r="E104" s="4" t="s">
        <v>17</v>
      </c>
      <c r="F104" s="4"/>
      <c r="G104" s="4"/>
      <c r="H104" s="4">
        <v>155000</v>
      </c>
      <c r="I104" s="4"/>
      <c r="J104" s="4"/>
      <c r="K104" s="4"/>
      <c r="L104" s="4"/>
      <c r="M104" s="4"/>
      <c r="N104" s="4"/>
      <c r="O104" s="9">
        <f t="shared" si="255"/>
        <v>155000</v>
      </c>
      <c r="P104" s="20"/>
      <c r="Q104" s="20">
        <v>195000</v>
      </c>
      <c r="R104" s="25">
        <v>237650</v>
      </c>
      <c r="S104" s="24"/>
      <c r="T104" s="20"/>
      <c r="U104" s="20"/>
      <c r="V104" s="20"/>
      <c r="W104" s="20"/>
      <c r="X104" s="20"/>
      <c r="Y104" s="21">
        <f t="shared" si="256"/>
        <v>432650</v>
      </c>
      <c r="Z104" s="25">
        <v>0</v>
      </c>
      <c r="AA104" s="20"/>
      <c r="AB104" s="20"/>
      <c r="AC104" s="20"/>
      <c r="AD104" s="20">
        <v>454000</v>
      </c>
      <c r="AE104" s="175">
        <v>1045200</v>
      </c>
      <c r="AF104" s="21">
        <f t="shared" si="257"/>
        <v>1499200</v>
      </c>
      <c r="AG104" s="20"/>
      <c r="AH104" s="20"/>
      <c r="AI104" s="20"/>
      <c r="AJ104" s="20"/>
      <c r="AK104" s="20"/>
      <c r="AL104" s="20"/>
      <c r="AM104" s="20"/>
      <c r="AN104" s="20"/>
      <c r="AO104" s="20"/>
      <c r="AP104" s="9">
        <f t="shared" si="258"/>
        <v>0</v>
      </c>
      <c r="AQ104" s="76"/>
      <c r="AR104" s="76"/>
      <c r="AS104" s="76">
        <v>290000</v>
      </c>
      <c r="AT104" s="76"/>
      <c r="AU104" s="4"/>
      <c r="AV104" s="4"/>
      <c r="AW104" s="4"/>
      <c r="AX104" s="4"/>
      <c r="AY104" s="4"/>
      <c r="AZ104" s="9">
        <f t="shared" si="259"/>
        <v>290000</v>
      </c>
      <c r="BA104" s="25"/>
      <c r="BB104" s="20"/>
      <c r="BC104" s="20"/>
      <c r="BD104" s="20"/>
      <c r="BE104" s="20"/>
      <c r="BF104" s="20"/>
      <c r="BG104" s="21">
        <f t="shared" si="260"/>
        <v>0</v>
      </c>
      <c r="BH104" s="25"/>
      <c r="BI104" s="24"/>
      <c r="BJ104" s="25"/>
      <c r="BK104" s="25"/>
      <c r="BL104" s="20"/>
      <c r="BM104" s="20"/>
      <c r="BN104" s="20"/>
      <c r="BO104" s="20"/>
      <c r="BP104" s="20"/>
      <c r="BQ104" s="21">
        <f t="shared" si="261"/>
        <v>0</v>
      </c>
      <c r="BR104" s="4">
        <f t="shared" si="262"/>
        <v>0</v>
      </c>
      <c r="BS104" s="4">
        <f t="shared" si="263"/>
        <v>195000</v>
      </c>
      <c r="BT104" s="4">
        <f t="shared" si="264"/>
        <v>682650</v>
      </c>
      <c r="BU104" s="4">
        <f t="shared" si="265"/>
        <v>0</v>
      </c>
      <c r="BV104" s="94">
        <f t="shared" si="266"/>
        <v>0</v>
      </c>
      <c r="BW104" s="94">
        <f t="shared" si="267"/>
        <v>0</v>
      </c>
      <c r="BX104" s="94">
        <f t="shared" si="268"/>
        <v>0</v>
      </c>
      <c r="BY104" s="94">
        <f t="shared" si="269"/>
        <v>454000</v>
      </c>
      <c r="BZ104" s="94">
        <f t="shared" si="270"/>
        <v>1045200</v>
      </c>
      <c r="CA104" s="9">
        <f t="shared" si="271"/>
        <v>2376850</v>
      </c>
    </row>
    <row r="105" spans="1:79">
      <c r="A105" s="186"/>
      <c r="B105" s="8">
        <v>18</v>
      </c>
      <c r="C105" s="1" t="s">
        <v>5</v>
      </c>
      <c r="D105" s="4" t="s">
        <v>36</v>
      </c>
      <c r="E105" s="4" t="s">
        <v>17</v>
      </c>
      <c r="F105" s="4">
        <v>155000</v>
      </c>
      <c r="G105" s="4">
        <v>925328</v>
      </c>
      <c r="H105" s="4">
        <f>104500+104500+330000+220000+110000</f>
        <v>869000</v>
      </c>
      <c r="I105" s="4">
        <f>100000+20000</f>
        <v>120000</v>
      </c>
      <c r="J105" s="4"/>
      <c r="K105" s="4"/>
      <c r="L105" s="4"/>
      <c r="M105" s="4"/>
      <c r="N105" s="4"/>
      <c r="O105" s="9">
        <f t="shared" si="255"/>
        <v>2069328</v>
      </c>
      <c r="P105" s="20">
        <v>195000</v>
      </c>
      <c r="Q105" s="25">
        <v>1595650</v>
      </c>
      <c r="R105" s="25">
        <v>1129700</v>
      </c>
      <c r="S105" s="24">
        <v>30000</v>
      </c>
      <c r="T105" s="20"/>
      <c r="U105" s="20"/>
      <c r="V105" s="20"/>
      <c r="W105" s="20"/>
      <c r="X105" s="20"/>
      <c r="Y105" s="21">
        <f t="shared" si="256"/>
        <v>2950350</v>
      </c>
      <c r="Z105" s="25">
        <v>1155000</v>
      </c>
      <c r="AA105" s="20">
        <f>(105000+315000+262500)-140000+262500+175000</f>
        <v>980000</v>
      </c>
      <c r="AB105" s="20">
        <f>1282500+312000+156000</f>
        <v>1750500</v>
      </c>
      <c r="AC105" s="20">
        <v>1846000</v>
      </c>
      <c r="AD105" s="20">
        <v>1716000</v>
      </c>
      <c r="AE105" s="175">
        <v>1248000</v>
      </c>
      <c r="AF105" s="21">
        <f t="shared" si="257"/>
        <v>8695500</v>
      </c>
      <c r="AG105" s="20"/>
      <c r="AH105" s="20"/>
      <c r="AI105" s="20"/>
      <c r="AJ105" s="20"/>
      <c r="AK105" s="20"/>
      <c r="AL105" s="20"/>
      <c r="AM105" s="20"/>
      <c r="AN105" s="20"/>
      <c r="AO105" s="20"/>
      <c r="AP105" s="9">
        <f t="shared" si="258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9">
        <f t="shared" si="259"/>
        <v>0</v>
      </c>
      <c r="BA105" s="25"/>
      <c r="BB105" s="20"/>
      <c r="BC105" s="20"/>
      <c r="BD105" s="20"/>
      <c r="BE105" s="20"/>
      <c r="BF105" s="20"/>
      <c r="BG105" s="21">
        <f t="shared" si="260"/>
        <v>0</v>
      </c>
      <c r="BH105" s="25"/>
      <c r="BI105" s="24">
        <v>100000</v>
      </c>
      <c r="BJ105" s="25">
        <f>276000+540000</f>
        <v>816000</v>
      </c>
      <c r="BK105" s="25"/>
      <c r="BL105" s="20"/>
      <c r="BM105" s="20"/>
      <c r="BN105" s="20"/>
      <c r="BO105" s="20"/>
      <c r="BP105" s="20"/>
      <c r="BQ105" s="21">
        <f t="shared" si="261"/>
        <v>916000</v>
      </c>
      <c r="BR105" s="4">
        <f t="shared" si="262"/>
        <v>350000</v>
      </c>
      <c r="BS105" s="4">
        <f t="shared" si="263"/>
        <v>2620978</v>
      </c>
      <c r="BT105" s="4">
        <f t="shared" si="264"/>
        <v>2814700</v>
      </c>
      <c r="BU105" s="4">
        <f t="shared" si="265"/>
        <v>1305000</v>
      </c>
      <c r="BV105" s="94">
        <f t="shared" si="266"/>
        <v>980000</v>
      </c>
      <c r="BW105" s="94">
        <f t="shared" si="267"/>
        <v>1750500</v>
      </c>
      <c r="BX105" s="94">
        <f t="shared" si="268"/>
        <v>1846000</v>
      </c>
      <c r="BY105" s="94">
        <f t="shared" si="269"/>
        <v>1716000</v>
      </c>
      <c r="BZ105" s="94">
        <f t="shared" si="270"/>
        <v>1248000</v>
      </c>
      <c r="CA105" s="9">
        <f t="shared" si="271"/>
        <v>14631178</v>
      </c>
    </row>
    <row r="106" spans="1:79" ht="31.5">
      <c r="A106" s="186"/>
      <c r="B106" s="8">
        <v>19</v>
      </c>
      <c r="C106" s="1" t="s">
        <v>206</v>
      </c>
      <c r="D106" s="4" t="s">
        <v>193</v>
      </c>
      <c r="E106" s="4" t="s">
        <v>17</v>
      </c>
      <c r="F106" s="4"/>
      <c r="G106" s="4">
        <v>821267</v>
      </c>
      <c r="H106" s="4">
        <f>99000+99000+297000</f>
        <v>495000</v>
      </c>
      <c r="I106" s="4">
        <f>160000+20000</f>
        <v>180000</v>
      </c>
      <c r="J106" s="4"/>
      <c r="K106" s="4"/>
      <c r="L106" s="4"/>
      <c r="M106" s="4"/>
      <c r="N106" s="4"/>
      <c r="O106" s="9">
        <f t="shared" si="255"/>
        <v>1496267</v>
      </c>
      <c r="P106" s="20"/>
      <c r="Q106" s="25">
        <v>1203800</v>
      </c>
      <c r="R106" s="25">
        <v>446200</v>
      </c>
      <c r="S106" s="24">
        <v>270000</v>
      </c>
      <c r="T106" s="20"/>
      <c r="U106" s="20"/>
      <c r="V106" s="20"/>
      <c r="W106" s="20"/>
      <c r="X106" s="20"/>
      <c r="Y106" s="21">
        <f t="shared" si="256"/>
        <v>1920000</v>
      </c>
      <c r="Z106" s="25">
        <v>0</v>
      </c>
      <c r="AA106" s="20"/>
      <c r="AB106" s="20"/>
      <c r="AC106" s="20"/>
      <c r="AD106" s="20"/>
      <c r="AE106" s="20"/>
      <c r="AF106" s="21">
        <f t="shared" si="257"/>
        <v>0</v>
      </c>
      <c r="AG106" s="20"/>
      <c r="AH106" s="22">
        <v>920000</v>
      </c>
      <c r="AI106" s="4">
        <v>434000</v>
      </c>
      <c r="AJ106" s="22">
        <v>424000</v>
      </c>
      <c r="AK106" s="22"/>
      <c r="AL106" s="22"/>
      <c r="AM106" s="22"/>
      <c r="AN106" s="22"/>
      <c r="AO106" s="22"/>
      <c r="AP106" s="9">
        <f t="shared" si="258"/>
        <v>1778000</v>
      </c>
      <c r="AQ106" s="76"/>
      <c r="AR106" s="76">
        <v>1870000</v>
      </c>
      <c r="AS106" s="76">
        <v>1200000</v>
      </c>
      <c r="AT106" s="76">
        <v>350000</v>
      </c>
      <c r="AU106" s="4"/>
      <c r="AV106" s="4"/>
      <c r="AW106" s="4"/>
      <c r="AX106" s="4"/>
      <c r="AY106" s="4"/>
      <c r="AZ106" s="9">
        <f t="shared" si="259"/>
        <v>3420000</v>
      </c>
      <c r="BA106" s="24">
        <v>900000</v>
      </c>
      <c r="BB106" s="20">
        <f>300000+300000+300000+300000+200000</f>
        <v>1400000</v>
      </c>
      <c r="BC106" s="20">
        <f>1842500+731000</f>
        <v>2573500</v>
      </c>
      <c r="BD106" s="20">
        <f>246500+739500+493000+246500+246500+493000+246500</f>
        <v>2711500</v>
      </c>
      <c r="BE106" s="20">
        <f>739500+178500+246500+246500+246500+493000+493000+246500</f>
        <v>2890000</v>
      </c>
      <c r="BF106" s="22">
        <v>2014500</v>
      </c>
      <c r="BG106" s="21">
        <f t="shared" si="260"/>
        <v>12489500</v>
      </c>
      <c r="BH106" s="25"/>
      <c r="BI106" s="25"/>
      <c r="BJ106" s="25"/>
      <c r="BK106" s="25"/>
      <c r="BL106" s="20"/>
      <c r="BM106" s="20"/>
      <c r="BN106" s="20"/>
      <c r="BO106" s="20"/>
      <c r="BP106" s="20"/>
      <c r="BQ106" s="21">
        <f t="shared" si="261"/>
        <v>0</v>
      </c>
      <c r="BR106" s="4">
        <f t="shared" si="262"/>
        <v>0</v>
      </c>
      <c r="BS106" s="4">
        <f t="shared" si="263"/>
        <v>4815067</v>
      </c>
      <c r="BT106" s="4">
        <f t="shared" si="264"/>
        <v>2575200</v>
      </c>
      <c r="BU106" s="4">
        <f t="shared" si="265"/>
        <v>2124000</v>
      </c>
      <c r="BV106" s="94">
        <f t="shared" si="266"/>
        <v>1400000</v>
      </c>
      <c r="BW106" s="94">
        <f t="shared" si="267"/>
        <v>2573500</v>
      </c>
      <c r="BX106" s="94">
        <f t="shared" si="268"/>
        <v>2711500</v>
      </c>
      <c r="BY106" s="94">
        <f t="shared" si="269"/>
        <v>2890000</v>
      </c>
      <c r="BZ106" s="94">
        <f t="shared" si="270"/>
        <v>2014500</v>
      </c>
      <c r="CA106" s="9">
        <f t="shared" si="271"/>
        <v>21103767</v>
      </c>
    </row>
    <row r="107" spans="1:79" ht="31.5">
      <c r="A107" s="186"/>
      <c r="B107" s="8">
        <v>20</v>
      </c>
      <c r="C107" s="1" t="s">
        <v>207</v>
      </c>
      <c r="D107" s="5" t="s">
        <v>36</v>
      </c>
      <c r="E107" s="4" t="s">
        <v>17</v>
      </c>
      <c r="F107" s="4"/>
      <c r="G107" s="4"/>
      <c r="H107" s="4"/>
      <c r="I107" s="4"/>
      <c r="J107" s="4"/>
      <c r="K107" s="4"/>
      <c r="L107" s="4"/>
      <c r="M107" s="4"/>
      <c r="N107" s="4"/>
      <c r="O107" s="9">
        <f t="shared" si="255"/>
        <v>0</v>
      </c>
      <c r="P107" s="20"/>
      <c r="Q107" s="25">
        <v>279700</v>
      </c>
      <c r="R107" s="25">
        <v>140400</v>
      </c>
      <c r="S107" s="24">
        <v>470000</v>
      </c>
      <c r="T107" s="20">
        <f>72000+36000+111000+108000+72000</f>
        <v>399000</v>
      </c>
      <c r="U107" s="20">
        <v>36000</v>
      </c>
      <c r="V107" s="20"/>
      <c r="W107" s="20"/>
      <c r="X107" s="20"/>
      <c r="Y107" s="21">
        <f t="shared" si="256"/>
        <v>1325100</v>
      </c>
      <c r="Z107" s="25">
        <v>0</v>
      </c>
      <c r="AA107" s="20"/>
      <c r="AB107" s="20"/>
      <c r="AC107" s="20"/>
      <c r="AD107" s="20"/>
      <c r="AE107" s="20"/>
      <c r="AF107" s="21">
        <f t="shared" si="257"/>
        <v>0</v>
      </c>
      <c r="AG107" s="20"/>
      <c r="AH107" s="20"/>
      <c r="AI107" s="4"/>
      <c r="AJ107" s="20"/>
      <c r="AK107" s="20"/>
      <c r="AL107" s="20"/>
      <c r="AM107" s="20"/>
      <c r="AN107" s="20"/>
      <c r="AO107" s="20"/>
      <c r="AP107" s="9">
        <f t="shared" si="258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9">
        <f t="shared" si="259"/>
        <v>0</v>
      </c>
      <c r="BA107" s="25"/>
      <c r="BB107" s="20"/>
      <c r="BC107" s="20"/>
      <c r="BD107" s="20"/>
      <c r="BE107" s="20"/>
      <c r="BF107" s="20"/>
      <c r="BG107" s="21">
        <f t="shared" si="260"/>
        <v>0</v>
      </c>
      <c r="BH107" s="25"/>
      <c r="BI107" s="25"/>
      <c r="BJ107" s="25"/>
      <c r="BK107" s="25"/>
      <c r="BL107" s="20"/>
      <c r="BM107" s="20"/>
      <c r="BN107" s="20"/>
      <c r="BO107" s="20"/>
      <c r="BP107" s="20"/>
      <c r="BQ107" s="21">
        <f t="shared" si="261"/>
        <v>0</v>
      </c>
      <c r="BR107" s="4">
        <f t="shared" si="262"/>
        <v>0</v>
      </c>
      <c r="BS107" s="4">
        <f t="shared" si="263"/>
        <v>279700</v>
      </c>
      <c r="BT107" s="4">
        <f t="shared" si="264"/>
        <v>140400</v>
      </c>
      <c r="BU107" s="4">
        <f t="shared" si="265"/>
        <v>470000</v>
      </c>
      <c r="BV107" s="94">
        <f t="shared" si="266"/>
        <v>399000</v>
      </c>
      <c r="BW107" s="94">
        <f t="shared" si="267"/>
        <v>36000</v>
      </c>
      <c r="BX107" s="94">
        <f t="shared" si="268"/>
        <v>0</v>
      </c>
      <c r="BY107" s="94">
        <f t="shared" si="269"/>
        <v>0</v>
      </c>
      <c r="BZ107" s="94">
        <f t="shared" si="270"/>
        <v>0</v>
      </c>
      <c r="CA107" s="9">
        <f t="shared" si="271"/>
        <v>1325100</v>
      </c>
    </row>
    <row r="108" spans="1:79">
      <c r="A108" s="186"/>
      <c r="B108" s="8">
        <v>21</v>
      </c>
      <c r="C108" s="44" t="s">
        <v>208</v>
      </c>
      <c r="D108" s="45" t="s">
        <v>209</v>
      </c>
      <c r="E108" s="4" t="s">
        <v>17</v>
      </c>
      <c r="F108" s="4"/>
      <c r="G108" s="4"/>
      <c r="H108" s="4"/>
      <c r="I108" s="4"/>
      <c r="J108" s="4"/>
      <c r="K108" s="4"/>
      <c r="L108" s="4"/>
      <c r="M108" s="4"/>
      <c r="N108" s="4"/>
      <c r="O108" s="9">
        <f t="shared" si="255"/>
        <v>0</v>
      </c>
      <c r="P108" s="20"/>
      <c r="Q108" s="25"/>
      <c r="R108" s="25"/>
      <c r="S108" s="25"/>
      <c r="T108" s="20"/>
      <c r="U108" s="20"/>
      <c r="V108" s="20"/>
      <c r="W108" s="20"/>
      <c r="X108" s="20"/>
      <c r="Y108" s="21">
        <f t="shared" si="256"/>
        <v>0</v>
      </c>
      <c r="Z108" s="25">
        <v>0</v>
      </c>
      <c r="AA108" s="20"/>
      <c r="AB108" s="20"/>
      <c r="AC108" s="20"/>
      <c r="AD108" s="20"/>
      <c r="AE108" s="20"/>
      <c r="AF108" s="21">
        <f t="shared" si="257"/>
        <v>0</v>
      </c>
      <c r="AG108" s="20"/>
      <c r="AH108" s="20"/>
      <c r="AI108" s="4"/>
      <c r="AJ108" s="20"/>
      <c r="AK108" s="20"/>
      <c r="AL108" s="20"/>
      <c r="AM108" s="20"/>
      <c r="AN108" s="20"/>
      <c r="AO108" s="20"/>
      <c r="AP108" s="9">
        <f t="shared" si="258"/>
        <v>0</v>
      </c>
      <c r="AQ108" s="76"/>
      <c r="AR108" s="76"/>
      <c r="AS108" s="76">
        <v>530000</v>
      </c>
      <c r="AT108" s="76">
        <v>975000</v>
      </c>
      <c r="AU108" s="4">
        <f>225000+225000+225000+225000+150000</f>
        <v>1050000</v>
      </c>
      <c r="AV108" s="4">
        <f>1475000+480000</f>
        <v>1955000</v>
      </c>
      <c r="AW108" s="4">
        <f>790000+600000+200000+400000+400000</f>
        <v>2390000</v>
      </c>
      <c r="AX108" s="4">
        <f>400000+200000+200000+200000+200000+400000+590000</f>
        <v>2190000</v>
      </c>
      <c r="AY108" s="4">
        <v>1600000</v>
      </c>
      <c r="AZ108" s="9">
        <f t="shared" si="259"/>
        <v>10690000</v>
      </c>
      <c r="BA108" s="25"/>
      <c r="BB108" s="20"/>
      <c r="BC108" s="20"/>
      <c r="BD108" s="20"/>
      <c r="BE108" s="20"/>
      <c r="BF108" s="20"/>
      <c r="BG108" s="21">
        <f t="shared" si="260"/>
        <v>0</v>
      </c>
      <c r="BH108" s="25"/>
      <c r="BI108" s="25"/>
      <c r="BJ108" s="25"/>
      <c r="BK108" s="25"/>
      <c r="BL108" s="20"/>
      <c r="BM108" s="20"/>
      <c r="BN108" s="20"/>
      <c r="BO108" s="20"/>
      <c r="BP108" s="20"/>
      <c r="BQ108" s="21">
        <f t="shared" si="261"/>
        <v>0</v>
      </c>
      <c r="BR108" s="4">
        <f t="shared" si="262"/>
        <v>0</v>
      </c>
      <c r="BS108" s="4">
        <f t="shared" si="263"/>
        <v>0</v>
      </c>
      <c r="BT108" s="4">
        <f t="shared" si="264"/>
        <v>530000</v>
      </c>
      <c r="BU108" s="4">
        <f t="shared" si="265"/>
        <v>975000</v>
      </c>
      <c r="BV108" s="94">
        <f t="shared" si="266"/>
        <v>1050000</v>
      </c>
      <c r="BW108" s="94">
        <f t="shared" si="267"/>
        <v>1955000</v>
      </c>
      <c r="BX108" s="94">
        <f t="shared" si="268"/>
        <v>2390000</v>
      </c>
      <c r="BY108" s="94">
        <f t="shared" si="269"/>
        <v>2190000</v>
      </c>
      <c r="BZ108" s="94">
        <f t="shared" si="270"/>
        <v>1600000</v>
      </c>
      <c r="CA108" s="9">
        <f t="shared" si="271"/>
        <v>10690000</v>
      </c>
    </row>
    <row r="109" spans="1:79" ht="31.5">
      <c r="A109" s="186"/>
      <c r="B109" s="8">
        <v>22</v>
      </c>
      <c r="C109" s="1" t="s">
        <v>210</v>
      </c>
      <c r="D109" s="4" t="s">
        <v>211</v>
      </c>
      <c r="E109" s="4" t="s">
        <v>17</v>
      </c>
      <c r="F109" s="4">
        <v>155000</v>
      </c>
      <c r="G109" s="4">
        <v>501565</v>
      </c>
      <c r="H109" s="4">
        <f>544500+110000</f>
        <v>654500</v>
      </c>
      <c r="I109" s="4">
        <f>220000+20000</f>
        <v>240000</v>
      </c>
      <c r="J109" s="4"/>
      <c r="K109" s="4"/>
      <c r="L109" s="4"/>
      <c r="M109" s="4"/>
      <c r="N109" s="4"/>
      <c r="O109" s="9">
        <f t="shared" si="255"/>
        <v>1551065</v>
      </c>
      <c r="P109" s="20"/>
      <c r="Q109" s="25">
        <v>1475506</v>
      </c>
      <c r="R109" s="25">
        <v>557750</v>
      </c>
      <c r="S109" s="25">
        <v>270000</v>
      </c>
      <c r="T109" s="20"/>
      <c r="U109" s="20"/>
      <c r="V109" s="20"/>
      <c r="W109" s="20"/>
      <c r="X109" s="20"/>
      <c r="Y109" s="21">
        <f t="shared" si="256"/>
        <v>2303256</v>
      </c>
      <c r="Z109" s="25">
        <v>1155000</v>
      </c>
      <c r="AA109" s="20">
        <f>105000+304500+203000+399000+10500+210000</f>
        <v>1232000</v>
      </c>
      <c r="AB109" s="20">
        <f>1344000+282000+141000</f>
        <v>1767000</v>
      </c>
      <c r="AC109" s="20">
        <v>1765000</v>
      </c>
      <c r="AD109" s="20">
        <v>1716000</v>
      </c>
      <c r="AE109" s="175">
        <v>1232400</v>
      </c>
      <c r="AF109" s="21">
        <f t="shared" si="257"/>
        <v>8867400</v>
      </c>
      <c r="AG109" s="20"/>
      <c r="AH109" s="20"/>
      <c r="AI109" s="4"/>
      <c r="AJ109" s="20"/>
      <c r="AK109" s="20"/>
      <c r="AL109" s="20"/>
      <c r="AM109" s="20"/>
      <c r="AN109" s="20"/>
      <c r="AO109" s="20"/>
      <c r="AP109" s="9">
        <f t="shared" si="258"/>
        <v>0</v>
      </c>
      <c r="AQ109" s="76"/>
      <c r="AR109" s="76">
        <v>290000</v>
      </c>
      <c r="AS109" s="76">
        <v>870000</v>
      </c>
      <c r="AT109" s="76">
        <v>250000</v>
      </c>
      <c r="AU109" s="4"/>
      <c r="AV109" s="4"/>
      <c r="AW109" s="4"/>
      <c r="AX109" s="4"/>
      <c r="AY109" s="4"/>
      <c r="AZ109" s="9">
        <f t="shared" si="259"/>
        <v>1410000</v>
      </c>
      <c r="BA109" s="25"/>
      <c r="BB109" s="20"/>
      <c r="BC109" s="20"/>
      <c r="BD109" s="20"/>
      <c r="BE109" s="20"/>
      <c r="BF109" s="20"/>
      <c r="BG109" s="21">
        <f t="shared" si="260"/>
        <v>0</v>
      </c>
      <c r="BH109" s="25"/>
      <c r="BI109" s="25">
        <v>100000</v>
      </c>
      <c r="BJ109" s="25">
        <v>276000</v>
      </c>
      <c r="BK109" s="25"/>
      <c r="BL109" s="20"/>
      <c r="BM109" s="20"/>
      <c r="BN109" s="20"/>
      <c r="BO109" s="20"/>
      <c r="BP109" s="20"/>
      <c r="BQ109" s="21">
        <f t="shared" si="261"/>
        <v>376000</v>
      </c>
      <c r="BR109" s="4">
        <f t="shared" si="262"/>
        <v>155000</v>
      </c>
      <c r="BS109" s="4">
        <f t="shared" si="263"/>
        <v>2367071</v>
      </c>
      <c r="BT109" s="4">
        <f t="shared" si="264"/>
        <v>2358250</v>
      </c>
      <c r="BU109" s="4">
        <f t="shared" si="265"/>
        <v>1915000</v>
      </c>
      <c r="BV109" s="94">
        <f t="shared" si="266"/>
        <v>1232000</v>
      </c>
      <c r="BW109" s="94">
        <f t="shared" si="267"/>
        <v>1767000</v>
      </c>
      <c r="BX109" s="94">
        <f t="shared" si="268"/>
        <v>1765000</v>
      </c>
      <c r="BY109" s="94">
        <f t="shared" si="269"/>
        <v>1716000</v>
      </c>
      <c r="BZ109" s="94">
        <f t="shared" si="270"/>
        <v>1232400</v>
      </c>
      <c r="CA109" s="9">
        <f t="shared" si="271"/>
        <v>14507721</v>
      </c>
    </row>
    <row r="110" spans="1:79" ht="31.5">
      <c r="A110" s="186"/>
      <c r="B110" s="8">
        <v>23</v>
      </c>
      <c r="C110" s="1" t="s">
        <v>212</v>
      </c>
      <c r="D110" s="4" t="s">
        <v>213</v>
      </c>
      <c r="E110" s="4" t="s">
        <v>17</v>
      </c>
      <c r="F110" s="4"/>
      <c r="G110" s="4"/>
      <c r="H110" s="4">
        <v>155000</v>
      </c>
      <c r="I110" s="4"/>
      <c r="J110" s="4"/>
      <c r="K110" s="4"/>
      <c r="L110" s="4"/>
      <c r="M110" s="4"/>
      <c r="N110" s="4"/>
      <c r="O110" s="9">
        <f t="shared" si="255"/>
        <v>155000</v>
      </c>
      <c r="P110" s="20"/>
      <c r="Q110" s="25">
        <v>413250</v>
      </c>
      <c r="R110" s="25">
        <v>548050</v>
      </c>
      <c r="S110" s="25"/>
      <c r="T110" s="20"/>
      <c r="U110" s="20"/>
      <c r="V110" s="20"/>
      <c r="W110" s="20"/>
      <c r="X110" s="20"/>
      <c r="Y110" s="21">
        <f t="shared" si="256"/>
        <v>961300</v>
      </c>
      <c r="Z110" s="25">
        <v>0</v>
      </c>
      <c r="AA110" s="20"/>
      <c r="AB110" s="20"/>
      <c r="AC110" s="20"/>
      <c r="AD110" s="20">
        <v>499200</v>
      </c>
      <c r="AE110" s="175">
        <v>1008800</v>
      </c>
      <c r="AF110" s="21">
        <f t="shared" si="257"/>
        <v>1508000</v>
      </c>
      <c r="AG110" s="20"/>
      <c r="AH110" s="20"/>
      <c r="AI110" s="4"/>
      <c r="AJ110" s="20"/>
      <c r="AK110" s="20"/>
      <c r="AL110" s="20"/>
      <c r="AM110" s="20"/>
      <c r="AN110" s="20"/>
      <c r="AO110" s="20"/>
      <c r="AP110" s="9">
        <f t="shared" si="258"/>
        <v>0</v>
      </c>
      <c r="AQ110" s="76"/>
      <c r="AR110" s="76">
        <v>890000</v>
      </c>
      <c r="AS110" s="76">
        <v>580000</v>
      </c>
      <c r="AT110" s="76"/>
      <c r="AU110" s="4"/>
      <c r="AV110" s="4"/>
      <c r="AW110" s="4"/>
      <c r="AX110" s="4"/>
      <c r="AY110" s="4"/>
      <c r="AZ110" s="9">
        <f t="shared" si="259"/>
        <v>1470000</v>
      </c>
      <c r="BA110" s="25"/>
      <c r="BB110" s="20"/>
      <c r="BC110" s="20"/>
      <c r="BD110" s="20"/>
      <c r="BE110" s="20"/>
      <c r="BF110" s="20"/>
      <c r="BG110" s="21">
        <f t="shared" si="260"/>
        <v>0</v>
      </c>
      <c r="BH110" s="25"/>
      <c r="BI110" s="25"/>
      <c r="BJ110" s="25"/>
      <c r="BK110" s="25"/>
      <c r="BL110" s="20"/>
      <c r="BM110" s="20"/>
      <c r="BN110" s="20"/>
      <c r="BO110" s="20"/>
      <c r="BP110" s="20"/>
      <c r="BQ110" s="21">
        <f t="shared" si="261"/>
        <v>0</v>
      </c>
      <c r="BR110" s="4">
        <f t="shared" si="262"/>
        <v>0</v>
      </c>
      <c r="BS110" s="4">
        <f t="shared" si="263"/>
        <v>1303250</v>
      </c>
      <c r="BT110" s="4">
        <f t="shared" si="264"/>
        <v>1283050</v>
      </c>
      <c r="BU110" s="4">
        <f t="shared" si="265"/>
        <v>0</v>
      </c>
      <c r="BV110" s="94">
        <f t="shared" si="266"/>
        <v>0</v>
      </c>
      <c r="BW110" s="94">
        <f t="shared" si="267"/>
        <v>0</v>
      </c>
      <c r="BX110" s="94">
        <f t="shared" si="268"/>
        <v>0</v>
      </c>
      <c r="BY110" s="94">
        <f t="shared" si="269"/>
        <v>499200</v>
      </c>
      <c r="BZ110" s="94">
        <f t="shared" si="270"/>
        <v>1008800</v>
      </c>
      <c r="CA110" s="9">
        <f t="shared" si="271"/>
        <v>4094300</v>
      </c>
    </row>
    <row r="111" spans="1:79" ht="31.5">
      <c r="A111" s="186"/>
      <c r="B111" s="8">
        <v>24</v>
      </c>
      <c r="C111" s="1" t="s">
        <v>214</v>
      </c>
      <c r="D111" s="4" t="s">
        <v>187</v>
      </c>
      <c r="E111" s="4" t="s">
        <v>17</v>
      </c>
      <c r="F111" s="4"/>
      <c r="G111" s="4">
        <v>155000</v>
      </c>
      <c r="H111" s="4">
        <f>52983+660000</f>
        <v>712983</v>
      </c>
      <c r="I111" s="4"/>
      <c r="J111" s="4"/>
      <c r="K111" s="4"/>
      <c r="L111" s="4">
        <v>140000</v>
      </c>
      <c r="M111" s="4"/>
      <c r="N111" s="4"/>
      <c r="O111" s="9">
        <f t="shared" si="255"/>
        <v>1007983</v>
      </c>
      <c r="P111" s="20"/>
      <c r="Q111" s="25">
        <v>592700</v>
      </c>
      <c r="R111" s="25">
        <v>530500</v>
      </c>
      <c r="S111" s="25">
        <v>900000</v>
      </c>
      <c r="T111" s="20">
        <f>210000+210000+210000+350000</f>
        <v>980000</v>
      </c>
      <c r="U111" s="20">
        <f>883000+180150+92000</f>
        <v>1155150</v>
      </c>
      <c r="V111" s="20">
        <v>1117250</v>
      </c>
      <c r="W111" s="20">
        <v>1348300</v>
      </c>
      <c r="X111" s="174">
        <v>931200</v>
      </c>
      <c r="Y111" s="21">
        <f t="shared" si="256"/>
        <v>7555100</v>
      </c>
      <c r="Z111" s="25">
        <v>0</v>
      </c>
      <c r="AA111" s="20"/>
      <c r="AB111" s="20"/>
      <c r="AC111" s="20"/>
      <c r="AD111" s="20"/>
      <c r="AE111" s="20"/>
      <c r="AF111" s="21">
        <f t="shared" si="257"/>
        <v>0</v>
      </c>
      <c r="AG111" s="20"/>
      <c r="AH111" s="22">
        <v>1228000</v>
      </c>
      <c r="AI111" s="4">
        <v>182000</v>
      </c>
      <c r="AJ111" s="23">
        <v>720000</v>
      </c>
      <c r="AK111" s="23"/>
      <c r="AL111" s="23"/>
      <c r="AM111" s="23"/>
      <c r="AN111" s="23"/>
      <c r="AO111" s="23"/>
      <c r="AP111" s="9">
        <f t="shared" si="258"/>
        <v>2130000</v>
      </c>
      <c r="AQ111" s="76"/>
      <c r="AR111" s="76">
        <v>1420000</v>
      </c>
      <c r="AS111" s="76">
        <v>200000</v>
      </c>
      <c r="AT111" s="76"/>
      <c r="AU111" s="4"/>
      <c r="AV111" s="4"/>
      <c r="AW111" s="4">
        <v>350000</v>
      </c>
      <c r="AX111" s="4"/>
      <c r="AY111" s="4"/>
      <c r="AZ111" s="9">
        <f t="shared" si="259"/>
        <v>1970000</v>
      </c>
      <c r="BA111" s="25"/>
      <c r="BB111" s="20"/>
      <c r="BC111" s="20"/>
      <c r="BD111" s="20"/>
      <c r="BE111" s="20"/>
      <c r="BF111" s="23"/>
      <c r="BG111" s="21">
        <f t="shared" si="260"/>
        <v>0</v>
      </c>
      <c r="BH111" s="25"/>
      <c r="BI111" s="25">
        <v>100000</v>
      </c>
      <c r="BJ111" s="25">
        <v>276000</v>
      </c>
      <c r="BK111" s="25"/>
      <c r="BL111" s="20"/>
      <c r="BM111" s="20"/>
      <c r="BN111" s="20"/>
      <c r="BO111" s="20"/>
      <c r="BP111" s="20"/>
      <c r="BQ111" s="21">
        <f t="shared" si="261"/>
        <v>376000</v>
      </c>
      <c r="BR111" s="4">
        <f t="shared" si="262"/>
        <v>0</v>
      </c>
      <c r="BS111" s="4">
        <f t="shared" si="263"/>
        <v>3495700</v>
      </c>
      <c r="BT111" s="4">
        <f t="shared" si="264"/>
        <v>1901483</v>
      </c>
      <c r="BU111" s="4">
        <f t="shared" si="265"/>
        <v>1620000</v>
      </c>
      <c r="BV111" s="94">
        <f t="shared" si="266"/>
        <v>980000</v>
      </c>
      <c r="BW111" s="94">
        <f t="shared" si="267"/>
        <v>1155150</v>
      </c>
      <c r="BX111" s="94">
        <f t="shared" si="268"/>
        <v>1607250</v>
      </c>
      <c r="BY111" s="94">
        <f t="shared" si="269"/>
        <v>1348300</v>
      </c>
      <c r="BZ111" s="94">
        <f t="shared" si="270"/>
        <v>931200</v>
      </c>
      <c r="CA111" s="9">
        <f t="shared" si="271"/>
        <v>13039083</v>
      </c>
    </row>
    <row r="112" spans="1:79">
      <c r="A112" s="186"/>
      <c r="B112" s="8">
        <v>25</v>
      </c>
      <c r="C112" s="1" t="s">
        <v>215</v>
      </c>
      <c r="D112" s="4" t="s">
        <v>209</v>
      </c>
      <c r="E112" s="4" t="s">
        <v>17</v>
      </c>
      <c r="F112" s="4"/>
      <c r="G112" s="4"/>
      <c r="H112" s="4"/>
      <c r="I112" s="4"/>
      <c r="J112" s="4"/>
      <c r="K112" s="4"/>
      <c r="L112" s="4"/>
      <c r="M112" s="4"/>
      <c r="N112" s="4"/>
      <c r="O112" s="9">
        <f t="shared" si="255"/>
        <v>0</v>
      </c>
      <c r="P112" s="20"/>
      <c r="Q112" s="25"/>
      <c r="R112" s="25">
        <v>453700</v>
      </c>
      <c r="S112" s="25">
        <v>180000</v>
      </c>
      <c r="T112" s="20"/>
      <c r="U112" s="20"/>
      <c r="V112" s="20"/>
      <c r="W112" s="20"/>
      <c r="X112" s="20"/>
      <c r="Y112" s="21">
        <f t="shared" si="256"/>
        <v>633700</v>
      </c>
      <c r="Z112" s="25">
        <v>0</v>
      </c>
      <c r="AA112" s="20"/>
      <c r="AB112" s="20"/>
      <c r="AC112" s="20"/>
      <c r="AD112" s="20"/>
      <c r="AE112" s="20"/>
      <c r="AF112" s="21">
        <f t="shared" si="257"/>
        <v>0</v>
      </c>
      <c r="AG112" s="20"/>
      <c r="AH112" s="22">
        <v>864000</v>
      </c>
      <c r="AI112" s="4">
        <v>1078000</v>
      </c>
      <c r="AJ112" s="22">
        <v>1045000</v>
      </c>
      <c r="AK112" s="22">
        <f>150000+225000+225000+225000+150000</f>
        <v>975000</v>
      </c>
      <c r="AL112" s="22">
        <f>1020000+315000</f>
        <v>1335000</v>
      </c>
      <c r="AM112" s="22">
        <f>105000+315000+210000+105000+105000+105000</f>
        <v>945000</v>
      </c>
      <c r="AN112" s="4">
        <f>525000+105000+210000+315000+294000</f>
        <v>1449000</v>
      </c>
      <c r="AO112" s="4">
        <v>651000</v>
      </c>
      <c r="AP112" s="9">
        <f t="shared" si="258"/>
        <v>8342000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9">
        <f t="shared" si="259"/>
        <v>0</v>
      </c>
      <c r="BA112" s="25"/>
      <c r="BB112" s="20"/>
      <c r="BC112" s="20"/>
      <c r="BD112" s="20"/>
      <c r="BE112" s="20"/>
      <c r="BF112" s="4"/>
      <c r="BG112" s="21">
        <f t="shared" si="260"/>
        <v>0</v>
      </c>
      <c r="BH112" s="25"/>
      <c r="BI112" s="25"/>
      <c r="BJ112" s="25"/>
      <c r="BK112" s="25"/>
      <c r="BL112" s="20"/>
      <c r="BM112" s="20"/>
      <c r="BN112" s="20"/>
      <c r="BO112" s="20"/>
      <c r="BP112" s="20"/>
      <c r="BQ112" s="21">
        <f t="shared" si="261"/>
        <v>0</v>
      </c>
      <c r="BR112" s="4">
        <f t="shared" si="262"/>
        <v>0</v>
      </c>
      <c r="BS112" s="4">
        <f t="shared" si="263"/>
        <v>864000</v>
      </c>
      <c r="BT112" s="4">
        <f t="shared" si="264"/>
        <v>1531700</v>
      </c>
      <c r="BU112" s="4">
        <f t="shared" si="265"/>
        <v>1225000</v>
      </c>
      <c r="BV112" s="94">
        <f t="shared" si="266"/>
        <v>975000</v>
      </c>
      <c r="BW112" s="94">
        <f t="shared" si="267"/>
        <v>945000</v>
      </c>
      <c r="BX112" s="94">
        <f t="shared" si="268"/>
        <v>945000</v>
      </c>
      <c r="BY112" s="94">
        <f t="shared" si="269"/>
        <v>651000</v>
      </c>
      <c r="BZ112" s="94">
        <f t="shared" si="270"/>
        <v>651000</v>
      </c>
      <c r="CA112" s="9">
        <f t="shared" si="271"/>
        <v>7787700</v>
      </c>
    </row>
    <row r="113" spans="1:79" ht="47.25">
      <c r="A113" s="186"/>
      <c r="B113" s="8">
        <v>26</v>
      </c>
      <c r="C113" s="1" t="s">
        <v>217</v>
      </c>
      <c r="D113" s="4" t="s">
        <v>211</v>
      </c>
      <c r="E113" s="4" t="s">
        <v>17</v>
      </c>
      <c r="F113" s="4"/>
      <c r="G113" s="4"/>
      <c r="H113" s="4">
        <f>155000+52903</f>
        <v>207903</v>
      </c>
      <c r="I113" s="4">
        <v>270000</v>
      </c>
      <c r="J113" s="4">
        <f>101500+86500+151500+31000+62000</f>
        <v>432500</v>
      </c>
      <c r="K113" s="4">
        <f>412685+76200+38000</f>
        <v>526885</v>
      </c>
      <c r="L113" s="4">
        <v>584030</v>
      </c>
      <c r="M113" s="4">
        <v>737000</v>
      </c>
      <c r="N113" s="94">
        <v>500500</v>
      </c>
      <c r="O113" s="9">
        <f t="shared" si="255"/>
        <v>3258818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1">
        <f t="shared" si="256"/>
        <v>0</v>
      </c>
      <c r="Z113" s="25">
        <v>0</v>
      </c>
      <c r="AA113" s="20"/>
      <c r="AB113" s="20"/>
      <c r="AC113" s="20"/>
      <c r="AD113" s="20"/>
      <c r="AE113" s="20"/>
      <c r="AF113" s="21">
        <f t="shared" si="257"/>
        <v>0</v>
      </c>
      <c r="AG113" s="20"/>
      <c r="AH113" s="20"/>
      <c r="AI113" s="20"/>
      <c r="AJ113" s="20"/>
      <c r="AK113" s="20"/>
      <c r="AL113" s="20"/>
      <c r="AM113" s="20"/>
      <c r="AN113" s="20"/>
      <c r="AO113" s="20"/>
      <c r="AP113" s="9">
        <f t="shared" si="258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9">
        <f t="shared" si="259"/>
        <v>0</v>
      </c>
      <c r="BA113" s="25"/>
      <c r="BB113" s="20"/>
      <c r="BC113" s="20"/>
      <c r="BD113" s="20"/>
      <c r="BE113" s="20"/>
      <c r="BF113" s="20"/>
      <c r="BG113" s="21">
        <f t="shared" si="260"/>
        <v>0</v>
      </c>
      <c r="BH113" s="25"/>
      <c r="BI113" s="25"/>
      <c r="BJ113" s="25"/>
      <c r="BK113" s="25"/>
      <c r="BL113" s="20"/>
      <c r="BM113" s="20"/>
      <c r="BN113" s="20"/>
      <c r="BO113" s="20"/>
      <c r="BP113" s="20"/>
      <c r="BQ113" s="21">
        <f t="shared" si="261"/>
        <v>0</v>
      </c>
      <c r="BR113" s="4">
        <f t="shared" si="262"/>
        <v>0</v>
      </c>
      <c r="BS113" s="4">
        <f t="shared" si="263"/>
        <v>0</v>
      </c>
      <c r="BT113" s="4">
        <f t="shared" si="264"/>
        <v>207903</v>
      </c>
      <c r="BU113" s="4">
        <f t="shared" si="265"/>
        <v>270000</v>
      </c>
      <c r="BV113" s="94">
        <f t="shared" si="266"/>
        <v>432500</v>
      </c>
      <c r="BW113" s="94">
        <f t="shared" si="267"/>
        <v>526885</v>
      </c>
      <c r="BX113" s="94">
        <f t="shared" si="268"/>
        <v>584030</v>
      </c>
      <c r="BY113" s="94">
        <f t="shared" si="269"/>
        <v>737000</v>
      </c>
      <c r="BZ113" s="94">
        <f t="shared" si="270"/>
        <v>500500</v>
      </c>
      <c r="CA113" s="9">
        <f t="shared" si="271"/>
        <v>3258818</v>
      </c>
    </row>
    <row r="114" spans="1:79">
      <c r="A114" s="186"/>
      <c r="B114" s="8">
        <v>27</v>
      </c>
      <c r="C114" s="1" t="s">
        <v>218</v>
      </c>
      <c r="D114" s="4" t="s">
        <v>193</v>
      </c>
      <c r="E114" s="4" t="s">
        <v>17</v>
      </c>
      <c r="F114" s="4"/>
      <c r="G114" s="4"/>
      <c r="H114" s="4"/>
      <c r="I114" s="4"/>
      <c r="J114" s="4"/>
      <c r="K114" s="4"/>
      <c r="L114" s="4"/>
      <c r="M114" s="4"/>
      <c r="N114" s="4"/>
      <c r="O114" s="9">
        <f t="shared" si="255"/>
        <v>0</v>
      </c>
      <c r="P114" s="20"/>
      <c r="Q114" s="25">
        <v>340500</v>
      </c>
      <c r="R114" s="25">
        <v>455900</v>
      </c>
      <c r="S114" s="25">
        <v>-230000</v>
      </c>
      <c r="T114" s="20"/>
      <c r="U114" s="20"/>
      <c r="V114" s="20"/>
      <c r="W114" s="20"/>
      <c r="X114" s="20"/>
      <c r="Y114" s="21">
        <f t="shared" si="256"/>
        <v>566400</v>
      </c>
      <c r="Z114" s="25">
        <v>0</v>
      </c>
      <c r="AA114" s="20"/>
      <c r="AB114" s="20"/>
      <c r="AC114" s="20"/>
      <c r="AD114" s="20"/>
      <c r="AE114" s="20"/>
      <c r="AF114" s="21">
        <f t="shared" si="257"/>
        <v>0</v>
      </c>
      <c r="AG114" s="20"/>
      <c r="AH114" s="20"/>
      <c r="AI114" s="20"/>
      <c r="AJ114" s="20"/>
      <c r="AK114" s="20"/>
      <c r="AL114" s="20"/>
      <c r="AM114" s="20"/>
      <c r="AN114" s="20"/>
      <c r="AO114" s="20"/>
      <c r="AP114" s="9">
        <f t="shared" si="258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9">
        <f t="shared" si="259"/>
        <v>0</v>
      </c>
      <c r="BA114" s="25"/>
      <c r="BB114" s="20"/>
      <c r="BC114" s="20"/>
      <c r="BD114" s="20"/>
      <c r="BE114" s="20"/>
      <c r="BF114" s="20"/>
      <c r="BG114" s="21">
        <f t="shared" si="260"/>
        <v>0</v>
      </c>
      <c r="BH114" s="25"/>
      <c r="BI114" s="25"/>
      <c r="BJ114" s="25"/>
      <c r="BK114" s="25"/>
      <c r="BL114" s="20"/>
      <c r="BM114" s="20"/>
      <c r="BN114" s="20"/>
      <c r="BO114" s="20"/>
      <c r="BP114" s="20"/>
      <c r="BQ114" s="21">
        <f t="shared" si="261"/>
        <v>0</v>
      </c>
      <c r="BR114" s="4">
        <f t="shared" si="262"/>
        <v>0</v>
      </c>
      <c r="BS114" s="4">
        <f t="shared" si="263"/>
        <v>340500</v>
      </c>
      <c r="BT114" s="4">
        <f t="shared" si="264"/>
        <v>455900</v>
      </c>
      <c r="BU114" s="4">
        <f t="shared" si="265"/>
        <v>-230000</v>
      </c>
      <c r="BV114" s="94">
        <f t="shared" si="266"/>
        <v>0</v>
      </c>
      <c r="BW114" s="94">
        <f t="shared" si="267"/>
        <v>0</v>
      </c>
      <c r="BX114" s="94">
        <f t="shared" si="268"/>
        <v>0</v>
      </c>
      <c r="BY114" s="94">
        <f t="shared" si="269"/>
        <v>0</v>
      </c>
      <c r="BZ114" s="94">
        <f t="shared" si="270"/>
        <v>0</v>
      </c>
      <c r="CA114" s="9">
        <f t="shared" si="271"/>
        <v>566400</v>
      </c>
    </row>
    <row r="115" spans="1:79">
      <c r="A115" s="186"/>
      <c r="B115" s="8">
        <v>28</v>
      </c>
      <c r="C115" s="1" t="s">
        <v>219</v>
      </c>
      <c r="D115" s="4" t="s">
        <v>185</v>
      </c>
      <c r="E115" s="4" t="s">
        <v>17</v>
      </c>
      <c r="F115" s="4"/>
      <c r="G115" s="4">
        <v>155000</v>
      </c>
      <c r="H115" s="4">
        <v>108928</v>
      </c>
      <c r="I115" s="4"/>
      <c r="J115" s="4"/>
      <c r="K115" s="4"/>
      <c r="L115" s="4">
        <v>412500</v>
      </c>
      <c r="M115" s="4"/>
      <c r="N115" s="4"/>
      <c r="O115" s="9">
        <f t="shared" si="255"/>
        <v>676428</v>
      </c>
      <c r="P115" s="20"/>
      <c r="Q115" s="25">
        <v>519950</v>
      </c>
      <c r="R115" s="25">
        <v>349200</v>
      </c>
      <c r="S115" s="25"/>
      <c r="T115" s="20"/>
      <c r="U115" s="20"/>
      <c r="V115" s="20">
        <v>116400</v>
      </c>
      <c r="W115" s="20"/>
      <c r="X115" s="20"/>
      <c r="Y115" s="21">
        <f t="shared" si="256"/>
        <v>985550</v>
      </c>
      <c r="Z115" s="25">
        <v>0</v>
      </c>
      <c r="AA115" s="20"/>
      <c r="AB115" s="20"/>
      <c r="AC115" s="20"/>
      <c r="AD115" s="20"/>
      <c r="AE115" s="20"/>
      <c r="AF115" s="21">
        <f t="shared" si="257"/>
        <v>0</v>
      </c>
      <c r="AG115" s="20"/>
      <c r="AH115" s="20"/>
      <c r="AI115" s="20"/>
      <c r="AJ115" s="20"/>
      <c r="AK115" s="20"/>
      <c r="AL115" s="20"/>
      <c r="AM115" s="20"/>
      <c r="AN115" s="20"/>
      <c r="AO115" s="20"/>
      <c r="AP115" s="9">
        <f t="shared" si="258"/>
        <v>0</v>
      </c>
      <c r="AQ115" s="76"/>
      <c r="AR115" s="76">
        <v>450000</v>
      </c>
      <c r="AS115" s="76">
        <v>720000</v>
      </c>
      <c r="AT115" s="76"/>
      <c r="AU115" s="4"/>
      <c r="AV115" s="4"/>
      <c r="AW115" s="4">
        <v>200000</v>
      </c>
      <c r="AX115" s="4"/>
      <c r="AY115" s="4"/>
      <c r="AZ115" s="9">
        <f t="shared" si="259"/>
        <v>1370000</v>
      </c>
      <c r="BA115" s="25"/>
      <c r="BB115" s="20"/>
      <c r="BC115" s="20"/>
      <c r="BD115" s="20"/>
      <c r="BE115" s="20"/>
      <c r="BF115" s="20"/>
      <c r="BG115" s="21">
        <f t="shared" si="260"/>
        <v>0</v>
      </c>
      <c r="BH115" s="25"/>
      <c r="BI115" s="25"/>
      <c r="BJ115" s="25"/>
      <c r="BK115" s="25"/>
      <c r="BL115" s="20"/>
      <c r="BM115" s="20"/>
      <c r="BN115" s="20"/>
      <c r="BO115" s="20"/>
      <c r="BP115" s="20"/>
      <c r="BQ115" s="21">
        <f t="shared" si="261"/>
        <v>0</v>
      </c>
      <c r="BR115" s="4">
        <f t="shared" si="262"/>
        <v>0</v>
      </c>
      <c r="BS115" s="4">
        <f t="shared" si="263"/>
        <v>1124950</v>
      </c>
      <c r="BT115" s="4">
        <f t="shared" si="264"/>
        <v>1178128</v>
      </c>
      <c r="BU115" s="4">
        <f t="shared" si="265"/>
        <v>0</v>
      </c>
      <c r="BV115" s="94">
        <f t="shared" si="266"/>
        <v>0</v>
      </c>
      <c r="BW115" s="94">
        <f t="shared" si="267"/>
        <v>0</v>
      </c>
      <c r="BX115" s="94">
        <f t="shared" si="268"/>
        <v>728900</v>
      </c>
      <c r="BY115" s="94">
        <f t="shared" si="269"/>
        <v>0</v>
      </c>
      <c r="BZ115" s="94">
        <f t="shared" si="270"/>
        <v>0</v>
      </c>
      <c r="CA115" s="9">
        <f t="shared" si="271"/>
        <v>3031978</v>
      </c>
    </row>
    <row r="116" spans="1:79">
      <c r="A116" s="186"/>
      <c r="B116" s="8">
        <v>29</v>
      </c>
      <c r="C116" s="1" t="s">
        <v>428</v>
      </c>
      <c r="D116" s="4" t="s">
        <v>187</v>
      </c>
      <c r="E116" s="4" t="s">
        <v>17</v>
      </c>
      <c r="F116" s="4"/>
      <c r="G116" s="4"/>
      <c r="H116" s="4">
        <v>155000</v>
      </c>
      <c r="I116" s="4">
        <f>60000+120000</f>
        <v>180000</v>
      </c>
      <c r="J116" s="4"/>
      <c r="K116" s="4"/>
      <c r="L116" s="4"/>
      <c r="M116" s="4"/>
      <c r="N116" s="4"/>
      <c r="O116" s="9">
        <f t="shared" si="255"/>
        <v>335000</v>
      </c>
      <c r="P116" s="20"/>
      <c r="Q116" s="20">
        <v>195000</v>
      </c>
      <c r="R116" s="25">
        <v>446200</v>
      </c>
      <c r="S116" s="25">
        <v>240000</v>
      </c>
      <c r="T116" s="20"/>
      <c r="U116" s="20"/>
      <c r="V116" s="20"/>
      <c r="W116" s="20"/>
      <c r="X116" s="20"/>
      <c r="Y116" s="21">
        <f t="shared" si="256"/>
        <v>881200</v>
      </c>
      <c r="Z116" s="25">
        <v>945000</v>
      </c>
      <c r="AA116" s="20">
        <f>630000+315000+525000</f>
        <v>1470000</v>
      </c>
      <c r="AB116" s="20">
        <f>1359000+282000+141000</f>
        <v>1782000</v>
      </c>
      <c r="AC116" s="20">
        <v>1269000</v>
      </c>
      <c r="AD116" s="20"/>
      <c r="AE116" s="175">
        <v>873600</v>
      </c>
      <c r="AF116" s="21">
        <f t="shared" si="257"/>
        <v>6339600</v>
      </c>
      <c r="AG116" s="20"/>
      <c r="AH116" s="20"/>
      <c r="AI116" s="20"/>
      <c r="AJ116" s="20"/>
      <c r="AK116" s="20"/>
      <c r="AL116" s="20"/>
      <c r="AM116" s="20"/>
      <c r="AN116" s="20"/>
      <c r="AO116" s="20"/>
      <c r="AP116" s="9">
        <f t="shared" si="258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9">
        <f t="shared" si="259"/>
        <v>0</v>
      </c>
      <c r="BA116" s="25"/>
      <c r="BB116" s="20"/>
      <c r="BC116" s="20"/>
      <c r="BD116" s="20"/>
      <c r="BE116" s="20"/>
      <c r="BF116" s="20"/>
      <c r="BG116" s="21">
        <f t="shared" si="260"/>
        <v>0</v>
      </c>
      <c r="BH116" s="25"/>
      <c r="BI116" s="25"/>
      <c r="BJ116" s="25"/>
      <c r="BK116" s="25"/>
      <c r="BL116" s="20"/>
      <c r="BM116" s="20"/>
      <c r="BN116" s="20"/>
      <c r="BO116" s="20"/>
      <c r="BP116" s="20"/>
      <c r="BQ116" s="21">
        <f t="shared" si="261"/>
        <v>0</v>
      </c>
      <c r="BR116" s="4">
        <f t="shared" si="262"/>
        <v>0</v>
      </c>
      <c r="BS116" s="4">
        <f t="shared" si="263"/>
        <v>195000</v>
      </c>
      <c r="BT116" s="4">
        <f t="shared" si="264"/>
        <v>601200</v>
      </c>
      <c r="BU116" s="4">
        <f t="shared" si="265"/>
        <v>1365000</v>
      </c>
      <c r="BV116" s="94">
        <f t="shared" si="266"/>
        <v>1470000</v>
      </c>
      <c r="BW116" s="94">
        <f t="shared" si="267"/>
        <v>1782000</v>
      </c>
      <c r="BX116" s="94">
        <f t="shared" si="268"/>
        <v>1269000</v>
      </c>
      <c r="BY116" s="94">
        <f t="shared" si="269"/>
        <v>0</v>
      </c>
      <c r="BZ116" s="94">
        <f t="shared" si="270"/>
        <v>873600</v>
      </c>
      <c r="CA116" s="9">
        <f t="shared" si="271"/>
        <v>7555800</v>
      </c>
    </row>
    <row r="117" spans="1:79">
      <c r="A117" s="186"/>
      <c r="B117" s="8">
        <v>30</v>
      </c>
      <c r="C117" s="1" t="s">
        <v>221</v>
      </c>
      <c r="D117" s="4" t="s">
        <v>222</v>
      </c>
      <c r="E117" s="4" t="s">
        <v>17</v>
      </c>
      <c r="F117" s="4"/>
      <c r="G117" s="4"/>
      <c r="H117" s="4">
        <v>155000</v>
      </c>
      <c r="I117" s="4">
        <f>40000+96000</f>
        <v>136000</v>
      </c>
      <c r="J117" s="4"/>
      <c r="K117" s="4"/>
      <c r="L117" s="4"/>
      <c r="M117" s="4"/>
      <c r="N117" s="4"/>
      <c r="O117" s="9">
        <f t="shared" si="255"/>
        <v>291000</v>
      </c>
      <c r="P117" s="20"/>
      <c r="Q117" s="20"/>
      <c r="R117" s="25">
        <v>195000</v>
      </c>
      <c r="S117" s="25">
        <v>182000</v>
      </c>
      <c r="T117" s="20"/>
      <c r="U117" s="20"/>
      <c r="V117" s="20"/>
      <c r="W117" s="20"/>
      <c r="X117" s="20"/>
      <c r="Y117" s="21">
        <f t="shared" si="256"/>
        <v>377000</v>
      </c>
      <c r="Z117" s="25">
        <v>945000</v>
      </c>
      <c r="AA117" s="20">
        <f>315000+234500+280000+283500+196000</f>
        <v>1309000</v>
      </c>
      <c r="AB117" s="20">
        <f>1294400+312000+156000</f>
        <v>1762400</v>
      </c>
      <c r="AC117" s="20">
        <v>1862000</v>
      </c>
      <c r="AD117" s="20">
        <v>1560000</v>
      </c>
      <c r="AE117" s="175">
        <v>1248000</v>
      </c>
      <c r="AF117" s="21">
        <f t="shared" si="257"/>
        <v>8686400</v>
      </c>
      <c r="AG117" s="20"/>
      <c r="AH117" s="20"/>
      <c r="AI117" s="20"/>
      <c r="AJ117" s="20"/>
      <c r="AK117" s="20"/>
      <c r="AL117" s="20"/>
      <c r="AM117" s="20"/>
      <c r="AN117" s="20"/>
      <c r="AO117" s="20"/>
      <c r="AP117" s="9">
        <f t="shared" si="258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9">
        <f t="shared" si="259"/>
        <v>0</v>
      </c>
      <c r="BA117" s="25"/>
      <c r="BB117" s="20"/>
      <c r="BC117" s="20"/>
      <c r="BD117" s="20"/>
      <c r="BE117" s="20"/>
      <c r="BF117" s="20"/>
      <c r="BG117" s="21">
        <f t="shared" si="260"/>
        <v>0</v>
      </c>
      <c r="BH117" s="25"/>
      <c r="BI117" s="25"/>
      <c r="BJ117" s="25"/>
      <c r="BK117" s="25"/>
      <c r="BL117" s="20"/>
      <c r="BM117" s="20"/>
      <c r="BN117" s="20"/>
      <c r="BO117" s="20"/>
      <c r="BP117" s="20"/>
      <c r="BQ117" s="21">
        <f t="shared" si="261"/>
        <v>0</v>
      </c>
      <c r="BR117" s="4">
        <f t="shared" si="262"/>
        <v>0</v>
      </c>
      <c r="BS117" s="4">
        <f t="shared" si="263"/>
        <v>0</v>
      </c>
      <c r="BT117" s="4">
        <f t="shared" si="264"/>
        <v>350000</v>
      </c>
      <c r="BU117" s="4">
        <f t="shared" si="265"/>
        <v>1263000</v>
      </c>
      <c r="BV117" s="94">
        <f t="shared" si="266"/>
        <v>1309000</v>
      </c>
      <c r="BW117" s="94">
        <f t="shared" si="267"/>
        <v>1762400</v>
      </c>
      <c r="BX117" s="94">
        <f t="shared" si="268"/>
        <v>1862000</v>
      </c>
      <c r="BY117" s="94">
        <f t="shared" si="269"/>
        <v>1560000</v>
      </c>
      <c r="BZ117" s="94">
        <f t="shared" si="270"/>
        <v>1248000</v>
      </c>
      <c r="CA117" s="9">
        <f t="shared" si="271"/>
        <v>9354400</v>
      </c>
    </row>
    <row r="118" spans="1:79" ht="31.5">
      <c r="A118" s="187"/>
      <c r="B118" s="8">
        <v>31</v>
      </c>
      <c r="C118" s="1" t="s">
        <v>223</v>
      </c>
      <c r="D118" s="4" t="s">
        <v>224</v>
      </c>
      <c r="E118" s="4" t="s">
        <v>17</v>
      </c>
      <c r="F118" s="4"/>
      <c r="G118" s="4"/>
      <c r="H118" s="4">
        <v>155000</v>
      </c>
      <c r="I118" s="4"/>
      <c r="J118" s="4"/>
      <c r="K118" s="4"/>
      <c r="L118" s="4"/>
      <c r="M118" s="4"/>
      <c r="N118" s="4"/>
      <c r="O118" s="9">
        <f t="shared" si="255"/>
        <v>155000</v>
      </c>
      <c r="P118" s="20"/>
      <c r="Q118" s="20"/>
      <c r="R118" s="25">
        <v>195000</v>
      </c>
      <c r="S118" s="25"/>
      <c r="T118" s="20"/>
      <c r="U118" s="20"/>
      <c r="V118" s="20"/>
      <c r="W118" s="20"/>
      <c r="X118" s="20"/>
      <c r="Y118" s="21">
        <f t="shared" si="256"/>
        <v>195000</v>
      </c>
      <c r="Z118" s="25">
        <v>0</v>
      </c>
      <c r="AA118" s="20"/>
      <c r="AB118" s="20"/>
      <c r="AC118" s="20"/>
      <c r="AD118" s="20"/>
      <c r="AE118" s="20"/>
      <c r="AF118" s="21">
        <f t="shared" si="257"/>
        <v>0</v>
      </c>
      <c r="AG118" s="20"/>
      <c r="AH118" s="20"/>
      <c r="AI118" s="4">
        <v>290000</v>
      </c>
      <c r="AJ118" s="20"/>
      <c r="AK118" s="20"/>
      <c r="AL118" s="20"/>
      <c r="AM118" s="20"/>
      <c r="AN118" s="20"/>
      <c r="AO118" s="20"/>
      <c r="AP118" s="9">
        <f t="shared" si="258"/>
        <v>290000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9">
        <f t="shared" si="259"/>
        <v>0</v>
      </c>
      <c r="BA118" s="25"/>
      <c r="BB118" s="20"/>
      <c r="BC118" s="20"/>
      <c r="BD118" s="20"/>
      <c r="BE118" s="20"/>
      <c r="BF118" s="20"/>
      <c r="BG118" s="21">
        <f t="shared" si="260"/>
        <v>0</v>
      </c>
      <c r="BH118" s="25"/>
      <c r="BI118" s="25"/>
      <c r="BJ118" s="25"/>
      <c r="BK118" s="25"/>
      <c r="BL118" s="20"/>
      <c r="BM118" s="20"/>
      <c r="BN118" s="20"/>
      <c r="BO118" s="20"/>
      <c r="BP118" s="20"/>
      <c r="BQ118" s="21">
        <f t="shared" si="261"/>
        <v>0</v>
      </c>
      <c r="BR118" s="4">
        <f t="shared" si="262"/>
        <v>0</v>
      </c>
      <c r="BS118" s="4">
        <f t="shared" si="263"/>
        <v>0</v>
      </c>
      <c r="BT118" s="4">
        <f t="shared" si="264"/>
        <v>640000</v>
      </c>
      <c r="BU118" s="4">
        <f t="shared" si="265"/>
        <v>0</v>
      </c>
      <c r="BV118" s="94">
        <f t="shared" si="266"/>
        <v>0</v>
      </c>
      <c r="BW118" s="94">
        <f t="shared" si="267"/>
        <v>0</v>
      </c>
      <c r="BX118" s="94">
        <f t="shared" si="268"/>
        <v>0</v>
      </c>
      <c r="BY118" s="94">
        <f t="shared" si="269"/>
        <v>0</v>
      </c>
      <c r="BZ118" s="94">
        <f t="shared" si="270"/>
        <v>0</v>
      </c>
      <c r="CA118" s="9">
        <f t="shared" si="271"/>
        <v>640000</v>
      </c>
    </row>
    <row r="119" spans="1:79" s="38" customFormat="1">
      <c r="A119" s="34"/>
      <c r="B119" s="34"/>
      <c r="C119" s="35" t="s">
        <v>225</v>
      </c>
      <c r="D119" s="37"/>
      <c r="E119" s="37"/>
      <c r="F119" s="37">
        <f>SUM(F88:F118)</f>
        <v>775000</v>
      </c>
      <c r="G119" s="37">
        <f t="shared" ref="G119:CA119" si="272">SUM(G88:G118)</f>
        <v>7149160</v>
      </c>
      <c r="H119" s="37">
        <f t="shared" si="272"/>
        <v>8450814</v>
      </c>
      <c r="I119" s="37">
        <f t="shared" si="272"/>
        <v>2787000</v>
      </c>
      <c r="J119" s="37">
        <f t="shared" si="272"/>
        <v>950500</v>
      </c>
      <c r="K119" s="37">
        <f t="shared" si="272"/>
        <v>1577885</v>
      </c>
      <c r="L119" s="37">
        <f t="shared" si="272"/>
        <v>1974530</v>
      </c>
      <c r="M119" s="37">
        <f t="shared" si="272"/>
        <v>1421500</v>
      </c>
      <c r="N119" s="37">
        <f t="shared" si="272"/>
        <v>872500</v>
      </c>
      <c r="O119" s="37">
        <f t="shared" si="272"/>
        <v>25958889</v>
      </c>
      <c r="P119" s="37">
        <f t="shared" ref="P119:AP119" si="273">SUM(P88:P118)</f>
        <v>585000</v>
      </c>
      <c r="Q119" s="37">
        <f t="shared" si="273"/>
        <v>14900906</v>
      </c>
      <c r="R119" s="37">
        <f t="shared" si="273"/>
        <v>12709450</v>
      </c>
      <c r="S119" s="37">
        <f t="shared" si="273"/>
        <v>6797000</v>
      </c>
      <c r="T119" s="37">
        <f t="shared" si="273"/>
        <v>3969000</v>
      </c>
      <c r="U119" s="37">
        <f t="shared" si="273"/>
        <v>5052550</v>
      </c>
      <c r="V119" s="37">
        <f t="shared" si="273"/>
        <v>5114900</v>
      </c>
      <c r="W119" s="37">
        <f t="shared" si="273"/>
        <v>6979150</v>
      </c>
      <c r="X119" s="37">
        <f t="shared" si="273"/>
        <v>3870300</v>
      </c>
      <c r="Y119" s="37">
        <f t="shared" si="273"/>
        <v>59978256</v>
      </c>
      <c r="Z119" s="37">
        <f t="shared" si="273"/>
        <v>7591000</v>
      </c>
      <c r="AA119" s="37">
        <f t="shared" si="273"/>
        <v>9078500</v>
      </c>
      <c r="AB119" s="37">
        <f t="shared" si="273"/>
        <v>11490455</v>
      </c>
      <c r="AC119" s="37">
        <f t="shared" si="273"/>
        <v>11118120</v>
      </c>
      <c r="AD119" s="37">
        <f t="shared" si="273"/>
        <v>10360000</v>
      </c>
      <c r="AE119" s="37">
        <f t="shared" si="273"/>
        <v>9592600</v>
      </c>
      <c r="AF119" s="37">
        <f t="shared" si="273"/>
        <v>59230675</v>
      </c>
      <c r="AG119" s="37">
        <f t="shared" si="273"/>
        <v>0</v>
      </c>
      <c r="AH119" s="37">
        <f t="shared" si="273"/>
        <v>3302000</v>
      </c>
      <c r="AI119" s="37">
        <f t="shared" si="273"/>
        <v>2864000</v>
      </c>
      <c r="AJ119" s="37">
        <f t="shared" si="273"/>
        <v>3261000</v>
      </c>
      <c r="AK119" s="37">
        <f t="shared" si="273"/>
        <v>975000</v>
      </c>
      <c r="AL119" s="37">
        <f t="shared" si="273"/>
        <v>1335000</v>
      </c>
      <c r="AM119" s="37">
        <f t="shared" si="273"/>
        <v>1177000</v>
      </c>
      <c r="AN119" s="37">
        <f t="shared" si="273"/>
        <v>1449000</v>
      </c>
      <c r="AO119" s="37">
        <f t="shared" si="273"/>
        <v>651000</v>
      </c>
      <c r="AP119" s="37">
        <f t="shared" si="273"/>
        <v>15014000</v>
      </c>
      <c r="AQ119" s="37">
        <f t="shared" si="272"/>
        <v>290000</v>
      </c>
      <c r="AR119" s="37">
        <f t="shared" si="272"/>
        <v>12120000</v>
      </c>
      <c r="AS119" s="37">
        <f t="shared" si="272"/>
        <v>14070000</v>
      </c>
      <c r="AT119" s="37">
        <f t="shared" si="272"/>
        <v>5605000</v>
      </c>
      <c r="AU119" s="37">
        <f t="shared" si="272"/>
        <v>4040000</v>
      </c>
      <c r="AV119" s="37">
        <f t="shared" si="272"/>
        <v>8600000</v>
      </c>
      <c r="AW119" s="37">
        <f t="shared" si="272"/>
        <v>9760000</v>
      </c>
      <c r="AX119" s="37">
        <f t="shared" si="272"/>
        <v>8490000</v>
      </c>
      <c r="AY119" s="37">
        <f t="shared" si="272"/>
        <v>5690000</v>
      </c>
      <c r="AZ119" s="37">
        <f t="shared" si="272"/>
        <v>68665000</v>
      </c>
      <c r="BA119" s="37">
        <f t="shared" si="272"/>
        <v>2700000</v>
      </c>
      <c r="BB119" s="37">
        <f t="shared" si="272"/>
        <v>4200000</v>
      </c>
      <c r="BC119" s="37">
        <f t="shared" si="272"/>
        <v>8077500</v>
      </c>
      <c r="BD119" s="37">
        <f t="shared" si="272"/>
        <v>8304500</v>
      </c>
      <c r="BE119" s="37">
        <f t="shared" si="272"/>
        <v>8993000</v>
      </c>
      <c r="BF119" s="37">
        <f t="shared" si="272"/>
        <v>6094500</v>
      </c>
      <c r="BG119" s="37">
        <f t="shared" si="272"/>
        <v>38369500</v>
      </c>
      <c r="BH119" s="37">
        <f t="shared" si="272"/>
        <v>0</v>
      </c>
      <c r="BI119" s="37">
        <f t="shared" si="272"/>
        <v>848400</v>
      </c>
      <c r="BJ119" s="37">
        <f t="shared" si="272"/>
        <v>2010800</v>
      </c>
      <c r="BK119" s="37">
        <f t="shared" si="272"/>
        <v>208000</v>
      </c>
      <c r="BL119" s="37">
        <f t="shared" si="272"/>
        <v>0</v>
      </c>
      <c r="BM119" s="37">
        <f t="shared" si="272"/>
        <v>0</v>
      </c>
      <c r="BN119" s="37">
        <f t="shared" si="272"/>
        <v>0</v>
      </c>
      <c r="BO119" s="37">
        <f t="shared" si="272"/>
        <v>0</v>
      </c>
      <c r="BP119" s="37">
        <f t="shared" si="272"/>
        <v>0</v>
      </c>
      <c r="BQ119" s="37">
        <f t="shared" si="272"/>
        <v>3067200</v>
      </c>
      <c r="BR119" s="37">
        <f t="shared" si="272"/>
        <v>1650000</v>
      </c>
      <c r="BS119" s="37">
        <f t="shared" si="272"/>
        <v>38320466</v>
      </c>
      <c r="BT119" s="37">
        <f t="shared" si="272"/>
        <v>40105064</v>
      </c>
      <c r="BU119" s="37">
        <f t="shared" si="272"/>
        <v>28949000</v>
      </c>
      <c r="BV119" s="37">
        <f t="shared" si="272"/>
        <v>23213000</v>
      </c>
      <c r="BW119" s="144">
        <f>SUM(BW88:BW118)</f>
        <v>35975390</v>
      </c>
      <c r="BX119" s="37">
        <f t="shared" ref="BX119:BY119" si="274">SUM(BX88:BX118)</f>
        <v>37449050</v>
      </c>
      <c r="BY119" s="37">
        <f t="shared" si="274"/>
        <v>36894650</v>
      </c>
      <c r="BZ119" s="144">
        <f>SUM(BZ88:BZ118)</f>
        <v>26770900</v>
      </c>
      <c r="CA119" s="37">
        <f t="shared" si="272"/>
        <v>269327520</v>
      </c>
    </row>
    <row r="120" spans="1:79" ht="31.5">
      <c r="A120" s="185" t="s">
        <v>226</v>
      </c>
      <c r="B120" s="8">
        <v>1</v>
      </c>
      <c r="C120" s="1" t="s">
        <v>227</v>
      </c>
      <c r="D120" s="5" t="s">
        <v>228</v>
      </c>
      <c r="E120" s="4" t="s">
        <v>226</v>
      </c>
      <c r="F120" s="4"/>
      <c r="G120" s="4"/>
      <c r="H120" s="5"/>
      <c r="I120" s="4"/>
      <c r="J120" s="4"/>
      <c r="K120" s="4"/>
      <c r="L120" s="4"/>
      <c r="M120" s="4"/>
      <c r="N120" s="4"/>
      <c r="O120" s="9">
        <f t="shared" ref="O120:O123" si="275">SUM(F120:N120)</f>
        <v>0</v>
      </c>
      <c r="P120" s="20"/>
      <c r="Q120" s="20"/>
      <c r="R120" s="25"/>
      <c r="S120" s="25"/>
      <c r="T120" s="20"/>
      <c r="U120" s="20"/>
      <c r="V120" s="20"/>
      <c r="W120" s="20"/>
      <c r="X120" s="20"/>
      <c r="Y120" s="21">
        <f t="shared" ref="Y120:Y123" si="276">SUM(P120:X120)</f>
        <v>0</v>
      </c>
      <c r="Z120" s="25"/>
      <c r="AA120" s="20"/>
      <c r="AB120" s="20"/>
      <c r="AC120" s="20"/>
      <c r="AD120" s="20"/>
      <c r="AE120" s="20"/>
      <c r="AF120" s="21">
        <f t="shared" ref="AF120:AF123" si="277">SUM(Z120:AE120)</f>
        <v>0</v>
      </c>
      <c r="AG120" s="20">
        <v>290000</v>
      </c>
      <c r="AH120" s="20"/>
      <c r="AI120" s="4">
        <v>273000</v>
      </c>
      <c r="AJ120" s="22">
        <v>252000</v>
      </c>
      <c r="AK120" s="22"/>
      <c r="AL120" s="22"/>
      <c r="AM120" s="22"/>
      <c r="AN120" s="22"/>
      <c r="AO120" s="22"/>
      <c r="AP120" s="9">
        <f t="shared" ref="AP120:AP123" si="278">SUM(AG120:AO120)</f>
        <v>815000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9">
        <f t="shared" ref="AZ120:AZ123" si="279">SUM(AQ120:AY120)</f>
        <v>0</v>
      </c>
      <c r="BA120" s="25"/>
      <c r="BB120" s="20"/>
      <c r="BC120" s="20"/>
      <c r="BD120" s="20"/>
      <c r="BE120" s="20"/>
      <c r="BF120" s="22"/>
      <c r="BG120" s="21">
        <f t="shared" ref="BG120:BG123" si="280">SUM(BA120:BF120)</f>
        <v>0</v>
      </c>
      <c r="BH120" s="25"/>
      <c r="BI120" s="25"/>
      <c r="BJ120" s="25"/>
      <c r="BK120" s="25"/>
      <c r="BL120" s="20"/>
      <c r="BM120" s="20"/>
      <c r="BN120" s="20"/>
      <c r="BO120" s="20"/>
      <c r="BP120" s="20"/>
      <c r="BQ120" s="21">
        <f t="shared" ref="BQ120:BQ123" si="281">SUM(BH120:BP120)</f>
        <v>0</v>
      </c>
      <c r="BR120" s="4">
        <f t="shared" ref="BR120:BR123" si="282">F120+P120+AG120+AQ120+BH120</f>
        <v>290000</v>
      </c>
      <c r="BS120" s="4">
        <f t="shared" ref="BS120:BS123" si="283">G120+Q120+AH120+AR120+BI120</f>
        <v>0</v>
      </c>
      <c r="BT120" s="4">
        <f t="shared" ref="BT120:BT123" si="284">H120+R120+AI120+AS120+BJ120</f>
        <v>273000</v>
      </c>
      <c r="BU120" s="4">
        <f t="shared" ref="BU120:BU123" si="285">I120+S120+Z120+AJ120+AT120+BA120+BK120</f>
        <v>252000</v>
      </c>
      <c r="BV120" s="94">
        <f t="shared" ref="BV120:BV123" si="286">J120+T120+AA120+AK120+AU120+BB120+BL120</f>
        <v>0</v>
      </c>
      <c r="BW120" s="94">
        <f t="shared" ref="BW120:BW123" si="287">K120+U120+AB120+AM120+AV120+BC120+BM120</f>
        <v>0</v>
      </c>
      <c r="BX120" s="94">
        <f t="shared" ref="BX120:BX123" si="288">L120+V120+AC120+AM120+AW120+BD120+BN120</f>
        <v>0</v>
      </c>
      <c r="BY120" s="94">
        <f t="shared" ref="BY120:BY123" si="289">M120+W120+AD120+AO120+AX120+BE120+BO120</f>
        <v>0</v>
      </c>
      <c r="BZ120" s="94">
        <f t="shared" ref="BZ120:BZ123" si="290">N120+X120+AE120+AO120+AY120+BF120+BP120</f>
        <v>0</v>
      </c>
      <c r="CA120" s="9">
        <f t="shared" ref="CA120:CA123" si="291">SUM(BR120:BZ120)</f>
        <v>815000</v>
      </c>
    </row>
    <row r="121" spans="1:79" ht="47.25">
      <c r="A121" s="186"/>
      <c r="B121" s="8">
        <v>2</v>
      </c>
      <c r="C121" s="1" t="s">
        <v>229</v>
      </c>
      <c r="D121" s="4" t="s">
        <v>230</v>
      </c>
      <c r="E121" s="4" t="s">
        <v>226</v>
      </c>
      <c r="F121" s="4"/>
      <c r="G121" s="4"/>
      <c r="H121" s="5"/>
      <c r="I121" s="4"/>
      <c r="J121" s="4"/>
      <c r="K121" s="4"/>
      <c r="L121" s="4"/>
      <c r="M121" s="4"/>
      <c r="N121" s="4"/>
      <c r="O121" s="9">
        <f t="shared" si="275"/>
        <v>0</v>
      </c>
      <c r="P121" s="20"/>
      <c r="Q121" s="20"/>
      <c r="R121" s="25"/>
      <c r="S121" s="25"/>
      <c r="T121" s="20"/>
      <c r="U121" s="20"/>
      <c r="V121" s="20"/>
      <c r="W121" s="20"/>
      <c r="X121" s="20"/>
      <c r="Y121" s="21">
        <f t="shared" si="276"/>
        <v>0</v>
      </c>
      <c r="Z121" s="25"/>
      <c r="AA121" s="20"/>
      <c r="AB121" s="20"/>
      <c r="AC121" s="20"/>
      <c r="AD121" s="20"/>
      <c r="AE121" s="20"/>
      <c r="AF121" s="21">
        <f t="shared" si="277"/>
        <v>0</v>
      </c>
      <c r="AG121" s="20"/>
      <c r="AH121" s="20"/>
      <c r="AI121" s="4"/>
      <c r="AJ121" s="20"/>
      <c r="AK121" s="20"/>
      <c r="AL121" s="20"/>
      <c r="AM121" s="20"/>
      <c r="AN121" s="20"/>
      <c r="AO121" s="20"/>
      <c r="AP121" s="9">
        <f t="shared" si="278"/>
        <v>0</v>
      </c>
      <c r="AQ121" s="76"/>
      <c r="AR121" s="76">
        <v>310000</v>
      </c>
      <c r="AS121" s="76">
        <v>480000</v>
      </c>
      <c r="AT121" s="76">
        <v>330000</v>
      </c>
      <c r="AU121" s="4">
        <f>340000+60000+60000</f>
        <v>460000</v>
      </c>
      <c r="AV121" s="4">
        <v>1450000</v>
      </c>
      <c r="AW121" s="4">
        <f>200000+300000+200000+100000+330000</f>
        <v>1130000</v>
      </c>
      <c r="AX121" s="4">
        <f>180000+90000+90000+270000</f>
        <v>630000</v>
      </c>
      <c r="AY121" s="4">
        <v>910000</v>
      </c>
      <c r="AZ121" s="9">
        <f t="shared" si="279"/>
        <v>5700000</v>
      </c>
      <c r="BA121" s="25"/>
      <c r="BB121" s="20"/>
      <c r="BC121" s="20"/>
      <c r="BD121" s="20"/>
      <c r="BE121" s="20"/>
      <c r="BF121" s="20"/>
      <c r="BG121" s="21">
        <f t="shared" si="280"/>
        <v>0</v>
      </c>
      <c r="BH121" s="25"/>
      <c r="BI121" s="25"/>
      <c r="BJ121" s="25"/>
      <c r="BK121" s="25"/>
      <c r="BL121" s="20"/>
      <c r="BM121" s="20"/>
      <c r="BN121" s="20"/>
      <c r="BO121" s="20"/>
      <c r="BP121" s="20"/>
      <c r="BQ121" s="21">
        <f t="shared" si="281"/>
        <v>0</v>
      </c>
      <c r="BR121" s="4">
        <f t="shared" si="282"/>
        <v>0</v>
      </c>
      <c r="BS121" s="4">
        <f t="shared" si="283"/>
        <v>310000</v>
      </c>
      <c r="BT121" s="4">
        <f t="shared" si="284"/>
        <v>480000</v>
      </c>
      <c r="BU121" s="4">
        <f t="shared" si="285"/>
        <v>330000</v>
      </c>
      <c r="BV121" s="94">
        <f t="shared" si="286"/>
        <v>460000</v>
      </c>
      <c r="BW121" s="94">
        <f t="shared" si="287"/>
        <v>1450000</v>
      </c>
      <c r="BX121" s="94">
        <f t="shared" si="288"/>
        <v>1130000</v>
      </c>
      <c r="BY121" s="94">
        <f t="shared" si="289"/>
        <v>630000</v>
      </c>
      <c r="BZ121" s="94">
        <f t="shared" si="290"/>
        <v>910000</v>
      </c>
      <c r="CA121" s="9">
        <f t="shared" si="291"/>
        <v>5700000</v>
      </c>
    </row>
    <row r="122" spans="1:79" ht="31.5">
      <c r="A122" s="186"/>
      <c r="B122" s="8">
        <v>3</v>
      </c>
      <c r="C122" s="1" t="s">
        <v>231</v>
      </c>
      <c r="D122" s="5" t="s">
        <v>414</v>
      </c>
      <c r="E122" s="4" t="s">
        <v>226</v>
      </c>
      <c r="F122" s="4"/>
      <c r="G122" s="4"/>
      <c r="H122" s="5"/>
      <c r="I122" s="4"/>
      <c r="J122" s="4"/>
      <c r="K122" s="4"/>
      <c r="L122" s="4"/>
      <c r="M122" s="4"/>
      <c r="N122" s="4"/>
      <c r="O122" s="9">
        <f t="shared" si="275"/>
        <v>0</v>
      </c>
      <c r="P122" s="20"/>
      <c r="Q122" s="25">
        <v>330800</v>
      </c>
      <c r="R122" s="25">
        <f>106700+198000</f>
        <v>304700</v>
      </c>
      <c r="S122" s="25">
        <v>446500</v>
      </c>
      <c r="T122" s="20">
        <f>91000+234500+262500</f>
        <v>588000</v>
      </c>
      <c r="U122" s="20">
        <v>341250</v>
      </c>
      <c r="V122" s="20">
        <v>788100</v>
      </c>
      <c r="W122" s="20">
        <v>727500</v>
      </c>
      <c r="X122" s="174">
        <v>436500</v>
      </c>
      <c r="Y122" s="21">
        <f t="shared" si="276"/>
        <v>3963350</v>
      </c>
      <c r="Z122" s="25"/>
      <c r="AA122" s="20"/>
      <c r="AB122" s="20"/>
      <c r="AC122" s="20"/>
      <c r="AD122" s="20"/>
      <c r="AE122" s="20"/>
      <c r="AF122" s="21">
        <f t="shared" si="277"/>
        <v>0</v>
      </c>
      <c r="AG122" s="20"/>
      <c r="AH122" s="20"/>
      <c r="AI122" s="4"/>
      <c r="AJ122" s="20"/>
      <c r="AK122" s="20"/>
      <c r="AL122" s="20"/>
      <c r="AM122" s="20"/>
      <c r="AN122" s="20"/>
      <c r="AO122" s="20"/>
      <c r="AP122" s="9">
        <f t="shared" si="278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9">
        <f t="shared" si="279"/>
        <v>0</v>
      </c>
      <c r="BA122" s="25"/>
      <c r="BB122" s="20"/>
      <c r="BC122" s="20"/>
      <c r="BD122" s="20"/>
      <c r="BE122" s="20"/>
      <c r="BF122" s="20"/>
      <c r="BG122" s="21">
        <f t="shared" si="280"/>
        <v>0</v>
      </c>
      <c r="BH122" s="25"/>
      <c r="BI122" s="25"/>
      <c r="BJ122" s="25"/>
      <c r="BK122" s="25"/>
      <c r="BL122" s="20"/>
      <c r="BM122" s="20"/>
      <c r="BN122" s="20"/>
      <c r="BO122" s="20"/>
      <c r="BP122" s="20"/>
      <c r="BQ122" s="21">
        <f t="shared" si="281"/>
        <v>0</v>
      </c>
      <c r="BR122" s="4">
        <f t="shared" si="282"/>
        <v>0</v>
      </c>
      <c r="BS122" s="4">
        <f t="shared" si="283"/>
        <v>330800</v>
      </c>
      <c r="BT122" s="4">
        <f t="shared" si="284"/>
        <v>304700</v>
      </c>
      <c r="BU122" s="4">
        <f t="shared" si="285"/>
        <v>446500</v>
      </c>
      <c r="BV122" s="94">
        <f t="shared" si="286"/>
        <v>588000</v>
      </c>
      <c r="BW122" s="94">
        <f t="shared" si="287"/>
        <v>341250</v>
      </c>
      <c r="BX122" s="94">
        <f t="shared" si="288"/>
        <v>788100</v>
      </c>
      <c r="BY122" s="94">
        <f t="shared" si="289"/>
        <v>727500</v>
      </c>
      <c r="BZ122" s="94">
        <f t="shared" si="290"/>
        <v>436500</v>
      </c>
      <c r="CA122" s="9">
        <f t="shared" si="291"/>
        <v>3963350</v>
      </c>
    </row>
    <row r="123" spans="1:79" ht="31.5">
      <c r="A123" s="187"/>
      <c r="B123" s="8">
        <v>4</v>
      </c>
      <c r="C123" s="1" t="s">
        <v>232</v>
      </c>
      <c r="D123" s="4" t="s">
        <v>233</v>
      </c>
      <c r="E123" s="4" t="s">
        <v>226</v>
      </c>
      <c r="F123" s="4">
        <v>155000</v>
      </c>
      <c r="G123" s="4"/>
      <c r="H123" s="5"/>
      <c r="I123" s="4"/>
      <c r="J123" s="4"/>
      <c r="K123" s="4"/>
      <c r="L123" s="4"/>
      <c r="M123" s="4"/>
      <c r="N123" s="4"/>
      <c r="O123" s="9">
        <f t="shared" si="275"/>
        <v>155000</v>
      </c>
      <c r="P123" s="20">
        <v>195000</v>
      </c>
      <c r="Q123" s="20"/>
      <c r="R123" s="20"/>
      <c r="S123" s="20"/>
      <c r="T123" s="20"/>
      <c r="U123" s="20"/>
      <c r="V123" s="20"/>
      <c r="W123" s="20"/>
      <c r="X123" s="20"/>
      <c r="Y123" s="21">
        <f t="shared" si="276"/>
        <v>195000</v>
      </c>
      <c r="Z123" s="25"/>
      <c r="AA123" s="20"/>
      <c r="AB123" s="20"/>
      <c r="AC123" s="20"/>
      <c r="AD123" s="20"/>
      <c r="AE123" s="20"/>
      <c r="AF123" s="21">
        <f t="shared" si="277"/>
        <v>0</v>
      </c>
      <c r="AG123" s="20"/>
      <c r="AH123" s="20"/>
      <c r="AI123" s="20"/>
      <c r="AJ123" s="20"/>
      <c r="AK123" s="20"/>
      <c r="AL123" s="20"/>
      <c r="AM123" s="20"/>
      <c r="AN123" s="20"/>
      <c r="AO123" s="20"/>
      <c r="AP123" s="9">
        <f t="shared" si="278"/>
        <v>0</v>
      </c>
      <c r="AQ123" s="4"/>
      <c r="AR123" s="4"/>
      <c r="AS123" s="4"/>
      <c r="AT123" s="4"/>
      <c r="AU123" s="4"/>
      <c r="AV123" s="4"/>
      <c r="AW123" s="4"/>
      <c r="AX123" s="4"/>
      <c r="AY123" s="4"/>
      <c r="AZ123" s="9">
        <f t="shared" si="279"/>
        <v>0</v>
      </c>
      <c r="BA123" s="25"/>
      <c r="BB123" s="20"/>
      <c r="BC123" s="20"/>
      <c r="BD123" s="20"/>
      <c r="BE123" s="20"/>
      <c r="BF123" s="20"/>
      <c r="BG123" s="21">
        <f t="shared" si="280"/>
        <v>0</v>
      </c>
      <c r="BH123" s="25"/>
      <c r="BI123" s="25"/>
      <c r="BJ123" s="25"/>
      <c r="BK123" s="25"/>
      <c r="BL123" s="20"/>
      <c r="BM123" s="20"/>
      <c r="BN123" s="20"/>
      <c r="BO123" s="20"/>
      <c r="BP123" s="20"/>
      <c r="BQ123" s="21">
        <f t="shared" si="281"/>
        <v>0</v>
      </c>
      <c r="BR123" s="4">
        <f t="shared" si="282"/>
        <v>350000</v>
      </c>
      <c r="BS123" s="4">
        <f t="shared" si="283"/>
        <v>0</v>
      </c>
      <c r="BT123" s="4">
        <f t="shared" si="284"/>
        <v>0</v>
      </c>
      <c r="BU123" s="4">
        <f t="shared" si="285"/>
        <v>0</v>
      </c>
      <c r="BV123" s="94">
        <f t="shared" si="286"/>
        <v>0</v>
      </c>
      <c r="BW123" s="94">
        <f t="shared" si="287"/>
        <v>0</v>
      </c>
      <c r="BX123" s="94">
        <f t="shared" si="288"/>
        <v>0</v>
      </c>
      <c r="BY123" s="94">
        <f t="shared" si="289"/>
        <v>0</v>
      </c>
      <c r="BZ123" s="94">
        <f t="shared" si="290"/>
        <v>0</v>
      </c>
      <c r="CA123" s="9">
        <f t="shared" si="291"/>
        <v>350000</v>
      </c>
    </row>
    <row r="124" spans="1:79" s="38" customFormat="1">
      <c r="A124" s="34"/>
      <c r="B124" s="34"/>
      <c r="C124" s="35" t="s">
        <v>234</v>
      </c>
      <c r="D124" s="37"/>
      <c r="E124" s="37"/>
      <c r="F124" s="37">
        <f>SUM(F120:F123)</f>
        <v>155000</v>
      </c>
      <c r="G124" s="37">
        <f t="shared" ref="G124:CA124" si="292">SUM(G120:G123)</f>
        <v>0</v>
      </c>
      <c r="H124" s="37">
        <f t="shared" si="292"/>
        <v>0</v>
      </c>
      <c r="I124" s="37">
        <f t="shared" si="292"/>
        <v>0</v>
      </c>
      <c r="J124" s="37">
        <f t="shared" si="292"/>
        <v>0</v>
      </c>
      <c r="K124" s="37">
        <f t="shared" si="292"/>
        <v>0</v>
      </c>
      <c r="L124" s="37">
        <f t="shared" si="292"/>
        <v>0</v>
      </c>
      <c r="M124" s="37">
        <f t="shared" si="292"/>
        <v>0</v>
      </c>
      <c r="N124" s="37">
        <f t="shared" si="292"/>
        <v>0</v>
      </c>
      <c r="O124" s="37">
        <f t="shared" si="292"/>
        <v>155000</v>
      </c>
      <c r="P124" s="37">
        <f t="shared" ref="P124:AP124" si="293">SUM(P120:P123)</f>
        <v>195000</v>
      </c>
      <c r="Q124" s="37">
        <f t="shared" si="293"/>
        <v>330800</v>
      </c>
      <c r="R124" s="37">
        <f t="shared" si="293"/>
        <v>304700</v>
      </c>
      <c r="S124" s="37">
        <f t="shared" si="293"/>
        <v>446500</v>
      </c>
      <c r="T124" s="37">
        <f t="shared" si="293"/>
        <v>588000</v>
      </c>
      <c r="U124" s="37">
        <f t="shared" si="293"/>
        <v>341250</v>
      </c>
      <c r="V124" s="37">
        <f t="shared" si="293"/>
        <v>788100</v>
      </c>
      <c r="W124" s="37">
        <f t="shared" si="293"/>
        <v>727500</v>
      </c>
      <c r="X124" s="37">
        <f t="shared" si="293"/>
        <v>436500</v>
      </c>
      <c r="Y124" s="37">
        <f t="shared" si="293"/>
        <v>4158350</v>
      </c>
      <c r="Z124" s="37">
        <f t="shared" si="293"/>
        <v>0</v>
      </c>
      <c r="AA124" s="37">
        <f t="shared" si="293"/>
        <v>0</v>
      </c>
      <c r="AB124" s="37">
        <f t="shared" si="293"/>
        <v>0</v>
      </c>
      <c r="AC124" s="37">
        <f t="shared" si="293"/>
        <v>0</v>
      </c>
      <c r="AD124" s="37">
        <f t="shared" si="293"/>
        <v>0</v>
      </c>
      <c r="AE124" s="37">
        <f t="shared" si="293"/>
        <v>0</v>
      </c>
      <c r="AF124" s="37">
        <f t="shared" si="293"/>
        <v>0</v>
      </c>
      <c r="AG124" s="37">
        <f t="shared" si="293"/>
        <v>290000</v>
      </c>
      <c r="AH124" s="37">
        <f t="shared" si="293"/>
        <v>0</v>
      </c>
      <c r="AI124" s="37">
        <f t="shared" si="293"/>
        <v>273000</v>
      </c>
      <c r="AJ124" s="37">
        <f t="shared" si="293"/>
        <v>252000</v>
      </c>
      <c r="AK124" s="37">
        <f t="shared" si="293"/>
        <v>0</v>
      </c>
      <c r="AL124" s="37">
        <f t="shared" si="293"/>
        <v>0</v>
      </c>
      <c r="AM124" s="37">
        <f t="shared" si="293"/>
        <v>0</v>
      </c>
      <c r="AN124" s="37">
        <f t="shared" si="293"/>
        <v>0</v>
      </c>
      <c r="AO124" s="37">
        <f t="shared" si="293"/>
        <v>0</v>
      </c>
      <c r="AP124" s="37">
        <f t="shared" si="293"/>
        <v>815000</v>
      </c>
      <c r="AQ124" s="37">
        <f t="shared" si="292"/>
        <v>0</v>
      </c>
      <c r="AR124" s="37">
        <f t="shared" si="292"/>
        <v>310000</v>
      </c>
      <c r="AS124" s="37">
        <f t="shared" si="292"/>
        <v>480000</v>
      </c>
      <c r="AT124" s="37">
        <f t="shared" si="292"/>
        <v>330000</v>
      </c>
      <c r="AU124" s="37">
        <f t="shared" si="292"/>
        <v>460000</v>
      </c>
      <c r="AV124" s="37">
        <f t="shared" si="292"/>
        <v>1450000</v>
      </c>
      <c r="AW124" s="37">
        <f t="shared" si="292"/>
        <v>1130000</v>
      </c>
      <c r="AX124" s="37">
        <f t="shared" si="292"/>
        <v>630000</v>
      </c>
      <c r="AY124" s="37">
        <f t="shared" si="292"/>
        <v>910000</v>
      </c>
      <c r="AZ124" s="37">
        <f t="shared" si="292"/>
        <v>5700000</v>
      </c>
      <c r="BA124" s="37">
        <f t="shared" si="292"/>
        <v>0</v>
      </c>
      <c r="BB124" s="37">
        <f t="shared" si="292"/>
        <v>0</v>
      </c>
      <c r="BC124" s="37">
        <f t="shared" si="292"/>
        <v>0</v>
      </c>
      <c r="BD124" s="37">
        <f t="shared" si="292"/>
        <v>0</v>
      </c>
      <c r="BE124" s="37">
        <f t="shared" si="292"/>
        <v>0</v>
      </c>
      <c r="BF124" s="37">
        <f t="shared" si="292"/>
        <v>0</v>
      </c>
      <c r="BG124" s="37">
        <f t="shared" si="292"/>
        <v>0</v>
      </c>
      <c r="BH124" s="37">
        <f t="shared" si="292"/>
        <v>0</v>
      </c>
      <c r="BI124" s="37">
        <f t="shared" si="292"/>
        <v>0</v>
      </c>
      <c r="BJ124" s="37">
        <f t="shared" si="292"/>
        <v>0</v>
      </c>
      <c r="BK124" s="37">
        <f t="shared" si="292"/>
        <v>0</v>
      </c>
      <c r="BL124" s="37">
        <f t="shared" si="292"/>
        <v>0</v>
      </c>
      <c r="BM124" s="37">
        <f t="shared" si="292"/>
        <v>0</v>
      </c>
      <c r="BN124" s="37">
        <f t="shared" si="292"/>
        <v>0</v>
      </c>
      <c r="BO124" s="37">
        <f t="shared" si="292"/>
        <v>0</v>
      </c>
      <c r="BP124" s="37">
        <f t="shared" si="292"/>
        <v>0</v>
      </c>
      <c r="BQ124" s="37">
        <f t="shared" si="292"/>
        <v>0</v>
      </c>
      <c r="BR124" s="37">
        <f t="shared" si="292"/>
        <v>640000</v>
      </c>
      <c r="BS124" s="37">
        <f t="shared" si="292"/>
        <v>640800</v>
      </c>
      <c r="BT124" s="37">
        <f t="shared" si="292"/>
        <v>1057700</v>
      </c>
      <c r="BU124" s="37">
        <f t="shared" si="292"/>
        <v>1028500</v>
      </c>
      <c r="BV124" s="37">
        <f t="shared" si="292"/>
        <v>1048000</v>
      </c>
      <c r="BW124" s="144">
        <f>SUM(BW120:BW123)</f>
        <v>1791250</v>
      </c>
      <c r="BX124" s="37">
        <f t="shared" ref="BX124:BY124" si="294">SUM(BX120:BX123)</f>
        <v>1918100</v>
      </c>
      <c r="BY124" s="37">
        <f t="shared" si="294"/>
        <v>1357500</v>
      </c>
      <c r="BZ124" s="144">
        <f>SUM(BZ120:BZ123)</f>
        <v>1346500</v>
      </c>
      <c r="CA124" s="37">
        <f t="shared" si="292"/>
        <v>10828350</v>
      </c>
    </row>
    <row r="125" spans="1:79">
      <c r="A125" s="185" t="s">
        <v>235</v>
      </c>
      <c r="B125" s="8">
        <v>1</v>
      </c>
      <c r="C125" s="1" t="s">
        <v>236</v>
      </c>
      <c r="D125" s="4" t="s">
        <v>237</v>
      </c>
      <c r="E125" s="4" t="s">
        <v>235</v>
      </c>
      <c r="F125" s="4"/>
      <c r="G125" s="4">
        <v>155000</v>
      </c>
      <c r="H125" s="4"/>
      <c r="I125" s="4"/>
      <c r="J125" s="4"/>
      <c r="K125" s="4"/>
      <c r="L125" s="4"/>
      <c r="M125" s="4"/>
      <c r="N125" s="4"/>
      <c r="O125" s="9">
        <f t="shared" ref="O125:O127" si="295">SUM(F125:N125)</f>
        <v>155000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1">
        <f t="shared" ref="Y125:Y127" si="296">SUM(P125:X125)</f>
        <v>0</v>
      </c>
      <c r="Z125" s="25"/>
      <c r="AA125" s="20"/>
      <c r="AB125" s="20"/>
      <c r="AC125" s="20"/>
      <c r="AD125" s="20"/>
      <c r="AE125" s="20"/>
      <c r="AF125" s="21">
        <f t="shared" ref="AF125:AF127" si="297">SUM(Z125:AE125)</f>
        <v>0</v>
      </c>
      <c r="AG125" s="20"/>
      <c r="AH125" s="20">
        <v>290000</v>
      </c>
      <c r="AI125" s="4">
        <v>175000</v>
      </c>
      <c r="AJ125" s="20"/>
      <c r="AK125" s="20"/>
      <c r="AL125" s="20"/>
      <c r="AM125" s="20"/>
      <c r="AN125" s="20"/>
      <c r="AO125" s="20"/>
      <c r="AP125" s="9">
        <f t="shared" ref="AP125:AP127" si="298">SUM(AG125:AO125)</f>
        <v>465000</v>
      </c>
      <c r="AQ125" s="76"/>
      <c r="AR125" s="76">
        <v>290000</v>
      </c>
      <c r="AS125" s="76"/>
      <c r="AT125" s="76"/>
      <c r="AU125" s="4"/>
      <c r="AV125" s="4"/>
      <c r="AW125" s="4"/>
      <c r="AX125" s="4"/>
      <c r="AY125" s="4"/>
      <c r="AZ125" s="9">
        <f t="shared" ref="AZ125:AZ127" si="299">SUM(AQ125:AY125)</f>
        <v>290000</v>
      </c>
      <c r="BA125" s="25"/>
      <c r="BB125" s="20"/>
      <c r="BC125" s="20"/>
      <c r="BD125" s="20"/>
      <c r="BE125" s="20"/>
      <c r="BF125" s="20"/>
      <c r="BG125" s="21">
        <f t="shared" ref="BG125:BG127" si="300">SUM(BA125:BF125)</f>
        <v>0</v>
      </c>
      <c r="BH125" s="25"/>
      <c r="BI125" s="25"/>
      <c r="BJ125" s="25"/>
      <c r="BK125" s="25"/>
      <c r="BL125" s="20"/>
      <c r="BM125" s="20"/>
      <c r="BN125" s="20"/>
      <c r="BO125" s="20"/>
      <c r="BP125" s="20"/>
      <c r="BQ125" s="21">
        <f t="shared" ref="BQ125:BQ127" si="301">SUM(BH125:BP125)</f>
        <v>0</v>
      </c>
      <c r="BR125" s="4">
        <f t="shared" ref="BR125:BR127" si="302">F125+P125+AG125+AQ125+BH125</f>
        <v>0</v>
      </c>
      <c r="BS125" s="4">
        <f t="shared" ref="BS125:BS127" si="303">G125+Q125+AH125+AR125+BI125</f>
        <v>735000</v>
      </c>
      <c r="BT125" s="4">
        <f t="shared" ref="BT125:BT127" si="304">H125+R125+AI125+AS125+BJ125</f>
        <v>175000</v>
      </c>
      <c r="BU125" s="4">
        <f t="shared" ref="BU125:BU127" si="305">I125+S125+Z125+AJ125+AT125+BA125+BK125</f>
        <v>0</v>
      </c>
      <c r="BV125" s="94">
        <f t="shared" ref="BV125:BV127" si="306">J125+T125+AA125+AK125+AU125+BB125+BL125</f>
        <v>0</v>
      </c>
      <c r="BW125" s="94">
        <f t="shared" ref="BW125:BW127" si="307">K125+U125+AB125+AM125+AV125+BC125+BM125</f>
        <v>0</v>
      </c>
      <c r="BX125" s="94">
        <f t="shared" ref="BX125:BX127" si="308">L125+V125+AC125+AM125+AW125+BD125+BN125</f>
        <v>0</v>
      </c>
      <c r="BY125" s="94">
        <f t="shared" ref="BY125:BY127" si="309">M125+W125+AD125+AO125+AX125+BE125+BO125</f>
        <v>0</v>
      </c>
      <c r="BZ125" s="94">
        <f t="shared" ref="BZ125:BZ127" si="310">N125+X125+AE125+AO125+AY125+BF125+BP125</f>
        <v>0</v>
      </c>
      <c r="CA125" s="9">
        <f t="shared" ref="CA125:CA127" si="311">SUM(BR125:BZ125)</f>
        <v>910000</v>
      </c>
    </row>
    <row r="126" spans="1:79">
      <c r="A126" s="186"/>
      <c r="B126" s="8">
        <v>2</v>
      </c>
      <c r="C126" s="1" t="s">
        <v>470</v>
      </c>
      <c r="D126" s="4" t="s">
        <v>239</v>
      </c>
      <c r="E126" s="4" t="s">
        <v>235</v>
      </c>
      <c r="F126" s="4"/>
      <c r="G126" s="4"/>
      <c r="H126" s="4">
        <f>155000+31667+20000</f>
        <v>206667</v>
      </c>
      <c r="I126" s="4">
        <v>777500</v>
      </c>
      <c r="J126" s="4">
        <v>52500</v>
      </c>
      <c r="K126" s="4">
        <f>135000+135000+67500</f>
        <v>337500</v>
      </c>
      <c r="L126" s="4">
        <v>769500</v>
      </c>
      <c r="M126" s="4">
        <v>915500</v>
      </c>
      <c r="N126" s="94">
        <v>566500</v>
      </c>
      <c r="O126" s="9">
        <f t="shared" si="295"/>
        <v>3625667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1">
        <f t="shared" si="296"/>
        <v>0</v>
      </c>
      <c r="Z126" s="25"/>
      <c r="AA126" s="20"/>
      <c r="AB126" s="20"/>
      <c r="AC126" s="20"/>
      <c r="AD126" s="20"/>
      <c r="AE126" s="20"/>
      <c r="AF126" s="21">
        <f t="shared" si="297"/>
        <v>0</v>
      </c>
      <c r="AG126" s="20"/>
      <c r="AH126" s="20"/>
      <c r="AI126" s="20"/>
      <c r="AJ126" s="20"/>
      <c r="AK126" s="20"/>
      <c r="AL126" s="20"/>
      <c r="AM126" s="20"/>
      <c r="AN126" s="20"/>
      <c r="AO126" s="20"/>
      <c r="AP126" s="9">
        <f t="shared" si="298"/>
        <v>0</v>
      </c>
      <c r="AQ126" s="4"/>
      <c r="AR126" s="4"/>
      <c r="AS126" s="4"/>
      <c r="AT126" s="4"/>
      <c r="AU126" s="4"/>
      <c r="AV126" s="4"/>
      <c r="AW126" s="4"/>
      <c r="AX126" s="4"/>
      <c r="AY126" s="4"/>
      <c r="AZ126" s="9">
        <f t="shared" si="299"/>
        <v>0</v>
      </c>
      <c r="BA126" s="25"/>
      <c r="BB126" s="20"/>
      <c r="BC126" s="20"/>
      <c r="BD126" s="20"/>
      <c r="BE126" s="20"/>
      <c r="BF126" s="20"/>
      <c r="BG126" s="21">
        <f t="shared" si="300"/>
        <v>0</v>
      </c>
      <c r="BH126" s="25"/>
      <c r="BI126" s="25"/>
      <c r="BJ126" s="25"/>
      <c r="BK126" s="25"/>
      <c r="BL126" s="20"/>
      <c r="BM126" s="20"/>
      <c r="BN126" s="20"/>
      <c r="BO126" s="20"/>
      <c r="BP126" s="20"/>
      <c r="BQ126" s="21">
        <f t="shared" si="301"/>
        <v>0</v>
      </c>
      <c r="BR126" s="4">
        <f t="shared" si="302"/>
        <v>0</v>
      </c>
      <c r="BS126" s="4">
        <f t="shared" si="303"/>
        <v>0</v>
      </c>
      <c r="BT126" s="4">
        <f t="shared" si="304"/>
        <v>206667</v>
      </c>
      <c r="BU126" s="4">
        <f t="shared" si="305"/>
        <v>777500</v>
      </c>
      <c r="BV126" s="94">
        <f t="shared" si="306"/>
        <v>52500</v>
      </c>
      <c r="BW126" s="94">
        <f t="shared" si="307"/>
        <v>337500</v>
      </c>
      <c r="BX126" s="94">
        <f t="shared" si="308"/>
        <v>769500</v>
      </c>
      <c r="BY126" s="94">
        <f t="shared" si="309"/>
        <v>915500</v>
      </c>
      <c r="BZ126" s="94">
        <f t="shared" si="310"/>
        <v>566500</v>
      </c>
      <c r="CA126" s="9">
        <f t="shared" si="311"/>
        <v>3625667</v>
      </c>
    </row>
    <row r="127" spans="1:79" ht="31.5">
      <c r="A127" s="187"/>
      <c r="B127" s="8">
        <v>2</v>
      </c>
      <c r="C127" s="40" t="s">
        <v>459</v>
      </c>
      <c r="D127" s="40" t="s">
        <v>460</v>
      </c>
      <c r="E127" s="118" t="s">
        <v>235</v>
      </c>
      <c r="F127" s="4"/>
      <c r="G127" s="4"/>
      <c r="H127" s="4"/>
      <c r="I127" s="4"/>
      <c r="J127" s="4"/>
      <c r="K127" s="4">
        <v>442000</v>
      </c>
      <c r="L127" s="4">
        <v>1024000</v>
      </c>
      <c r="M127" s="4">
        <v>1193500</v>
      </c>
      <c r="N127" s="94">
        <v>792000</v>
      </c>
      <c r="O127" s="9">
        <f t="shared" si="295"/>
        <v>3451500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1">
        <f t="shared" si="296"/>
        <v>0</v>
      </c>
      <c r="Z127" s="25"/>
      <c r="AA127" s="20"/>
      <c r="AB127" s="20"/>
      <c r="AC127" s="20"/>
      <c r="AD127" s="20"/>
      <c r="AE127" s="20"/>
      <c r="AF127" s="21">
        <f t="shared" si="297"/>
        <v>0</v>
      </c>
      <c r="AG127" s="20"/>
      <c r="AH127" s="20"/>
      <c r="AI127" s="20"/>
      <c r="AJ127" s="20"/>
      <c r="AK127" s="20"/>
      <c r="AL127" s="20"/>
      <c r="AM127" s="20"/>
      <c r="AN127" s="20"/>
      <c r="AO127" s="20"/>
      <c r="AP127" s="9">
        <f t="shared" si="298"/>
        <v>0</v>
      </c>
      <c r="AQ127" s="4"/>
      <c r="AR127" s="4"/>
      <c r="AS127" s="4"/>
      <c r="AT127" s="4"/>
      <c r="AU127" s="4"/>
      <c r="AV127" s="4"/>
      <c r="AW127" s="4"/>
      <c r="AX127" s="4"/>
      <c r="AY127" s="4"/>
      <c r="AZ127" s="9">
        <f t="shared" si="299"/>
        <v>0</v>
      </c>
      <c r="BA127" s="25"/>
      <c r="BB127" s="20"/>
      <c r="BC127" s="20"/>
      <c r="BD127" s="20"/>
      <c r="BE127" s="20"/>
      <c r="BF127" s="20"/>
      <c r="BG127" s="21">
        <f t="shared" si="300"/>
        <v>0</v>
      </c>
      <c r="BH127" s="25"/>
      <c r="BI127" s="25"/>
      <c r="BJ127" s="25"/>
      <c r="BK127" s="25"/>
      <c r="BL127" s="20"/>
      <c r="BM127" s="20"/>
      <c r="BN127" s="20"/>
      <c r="BO127" s="20"/>
      <c r="BP127" s="20"/>
      <c r="BQ127" s="21">
        <f t="shared" si="301"/>
        <v>0</v>
      </c>
      <c r="BR127" s="4">
        <f t="shared" si="302"/>
        <v>0</v>
      </c>
      <c r="BS127" s="4">
        <f t="shared" si="303"/>
        <v>0</v>
      </c>
      <c r="BT127" s="4">
        <f t="shared" si="304"/>
        <v>0</v>
      </c>
      <c r="BU127" s="4">
        <f t="shared" si="305"/>
        <v>0</v>
      </c>
      <c r="BV127" s="94">
        <f t="shared" si="306"/>
        <v>0</v>
      </c>
      <c r="BW127" s="94">
        <f t="shared" si="307"/>
        <v>442000</v>
      </c>
      <c r="BX127" s="94">
        <f t="shared" si="308"/>
        <v>1024000</v>
      </c>
      <c r="BY127" s="94">
        <f t="shared" si="309"/>
        <v>1193500</v>
      </c>
      <c r="BZ127" s="94">
        <f t="shared" si="310"/>
        <v>792000</v>
      </c>
      <c r="CA127" s="9">
        <f t="shared" si="311"/>
        <v>3451500</v>
      </c>
    </row>
    <row r="128" spans="1:79" s="38" customFormat="1">
      <c r="A128" s="34"/>
      <c r="B128" s="34"/>
      <c r="C128" s="35" t="s">
        <v>240</v>
      </c>
      <c r="D128" s="37"/>
      <c r="E128" s="37"/>
      <c r="F128" s="37">
        <f>SUM(F125:F127)</f>
        <v>0</v>
      </c>
      <c r="G128" s="37">
        <f t="shared" ref="G128:CA128" si="312">SUM(G125:G127)</f>
        <v>155000</v>
      </c>
      <c r="H128" s="37">
        <f t="shared" si="312"/>
        <v>206667</v>
      </c>
      <c r="I128" s="37">
        <f t="shared" si="312"/>
        <v>777500</v>
      </c>
      <c r="J128" s="37">
        <f t="shared" si="312"/>
        <v>52500</v>
      </c>
      <c r="K128" s="37">
        <f t="shared" si="312"/>
        <v>779500</v>
      </c>
      <c r="L128" s="37">
        <f t="shared" si="312"/>
        <v>1793500</v>
      </c>
      <c r="M128" s="37">
        <f t="shared" si="312"/>
        <v>2109000</v>
      </c>
      <c r="N128" s="37">
        <f t="shared" si="312"/>
        <v>1358500</v>
      </c>
      <c r="O128" s="37">
        <f t="shared" si="312"/>
        <v>7232167</v>
      </c>
      <c r="P128" s="37">
        <f t="shared" ref="P128:AP128" si="313">SUM(P125:P127)</f>
        <v>0</v>
      </c>
      <c r="Q128" s="37">
        <f t="shared" si="313"/>
        <v>0</v>
      </c>
      <c r="R128" s="37">
        <f t="shared" si="313"/>
        <v>0</v>
      </c>
      <c r="S128" s="37">
        <f t="shared" si="313"/>
        <v>0</v>
      </c>
      <c r="T128" s="37">
        <f t="shared" si="313"/>
        <v>0</v>
      </c>
      <c r="U128" s="37">
        <f t="shared" si="313"/>
        <v>0</v>
      </c>
      <c r="V128" s="37">
        <f t="shared" si="313"/>
        <v>0</v>
      </c>
      <c r="W128" s="37">
        <f t="shared" si="313"/>
        <v>0</v>
      </c>
      <c r="X128" s="37">
        <f t="shared" si="313"/>
        <v>0</v>
      </c>
      <c r="Y128" s="37">
        <f t="shared" si="313"/>
        <v>0</v>
      </c>
      <c r="Z128" s="37">
        <f t="shared" si="313"/>
        <v>0</v>
      </c>
      <c r="AA128" s="37">
        <f t="shared" si="313"/>
        <v>0</v>
      </c>
      <c r="AB128" s="37">
        <f t="shared" si="313"/>
        <v>0</v>
      </c>
      <c r="AC128" s="37">
        <f t="shared" si="313"/>
        <v>0</v>
      </c>
      <c r="AD128" s="37">
        <f t="shared" si="313"/>
        <v>0</v>
      </c>
      <c r="AE128" s="37">
        <f t="shared" si="313"/>
        <v>0</v>
      </c>
      <c r="AF128" s="37">
        <f t="shared" si="313"/>
        <v>0</v>
      </c>
      <c r="AG128" s="37">
        <f t="shared" si="313"/>
        <v>0</v>
      </c>
      <c r="AH128" s="37">
        <f t="shared" si="313"/>
        <v>290000</v>
      </c>
      <c r="AI128" s="37">
        <f t="shared" si="313"/>
        <v>175000</v>
      </c>
      <c r="AJ128" s="37">
        <f t="shared" si="313"/>
        <v>0</v>
      </c>
      <c r="AK128" s="37">
        <f t="shared" si="313"/>
        <v>0</v>
      </c>
      <c r="AL128" s="37">
        <f t="shared" si="313"/>
        <v>0</v>
      </c>
      <c r="AM128" s="37">
        <f t="shared" si="313"/>
        <v>0</v>
      </c>
      <c r="AN128" s="37">
        <f t="shared" si="313"/>
        <v>0</v>
      </c>
      <c r="AO128" s="37">
        <f t="shared" si="313"/>
        <v>0</v>
      </c>
      <c r="AP128" s="37">
        <f t="shared" si="313"/>
        <v>465000</v>
      </c>
      <c r="AQ128" s="37">
        <f t="shared" si="312"/>
        <v>0</v>
      </c>
      <c r="AR128" s="37">
        <f t="shared" si="312"/>
        <v>290000</v>
      </c>
      <c r="AS128" s="37">
        <f t="shared" si="312"/>
        <v>0</v>
      </c>
      <c r="AT128" s="37">
        <f t="shared" si="312"/>
        <v>0</v>
      </c>
      <c r="AU128" s="37">
        <f t="shared" si="312"/>
        <v>0</v>
      </c>
      <c r="AV128" s="37">
        <f t="shared" si="312"/>
        <v>0</v>
      </c>
      <c r="AW128" s="37">
        <f t="shared" si="312"/>
        <v>0</v>
      </c>
      <c r="AX128" s="37">
        <f t="shared" si="312"/>
        <v>0</v>
      </c>
      <c r="AY128" s="37">
        <f t="shared" si="312"/>
        <v>0</v>
      </c>
      <c r="AZ128" s="37">
        <f t="shared" si="312"/>
        <v>290000</v>
      </c>
      <c r="BA128" s="37">
        <f t="shared" si="312"/>
        <v>0</v>
      </c>
      <c r="BB128" s="37">
        <f t="shared" si="312"/>
        <v>0</v>
      </c>
      <c r="BC128" s="37">
        <f t="shared" si="312"/>
        <v>0</v>
      </c>
      <c r="BD128" s="37">
        <f t="shared" si="312"/>
        <v>0</v>
      </c>
      <c r="BE128" s="37">
        <f t="shared" si="312"/>
        <v>0</v>
      </c>
      <c r="BF128" s="37">
        <f t="shared" si="312"/>
        <v>0</v>
      </c>
      <c r="BG128" s="37">
        <f t="shared" si="312"/>
        <v>0</v>
      </c>
      <c r="BH128" s="37">
        <f t="shared" si="312"/>
        <v>0</v>
      </c>
      <c r="BI128" s="37">
        <f t="shared" si="312"/>
        <v>0</v>
      </c>
      <c r="BJ128" s="37">
        <f t="shared" si="312"/>
        <v>0</v>
      </c>
      <c r="BK128" s="37">
        <f t="shared" si="312"/>
        <v>0</v>
      </c>
      <c r="BL128" s="37">
        <f t="shared" si="312"/>
        <v>0</v>
      </c>
      <c r="BM128" s="37">
        <f t="shared" si="312"/>
        <v>0</v>
      </c>
      <c r="BN128" s="37">
        <f t="shared" si="312"/>
        <v>0</v>
      </c>
      <c r="BO128" s="37">
        <f t="shared" si="312"/>
        <v>0</v>
      </c>
      <c r="BP128" s="37">
        <f t="shared" si="312"/>
        <v>0</v>
      </c>
      <c r="BQ128" s="37">
        <f t="shared" si="312"/>
        <v>0</v>
      </c>
      <c r="BR128" s="37">
        <f t="shared" si="312"/>
        <v>0</v>
      </c>
      <c r="BS128" s="37">
        <f t="shared" si="312"/>
        <v>735000</v>
      </c>
      <c r="BT128" s="37">
        <f t="shared" si="312"/>
        <v>381667</v>
      </c>
      <c r="BU128" s="37">
        <f t="shared" si="312"/>
        <v>777500</v>
      </c>
      <c r="BV128" s="37">
        <f t="shared" si="312"/>
        <v>52500</v>
      </c>
      <c r="BW128" s="144">
        <f>SUM(BW125:BW127)</f>
        <v>779500</v>
      </c>
      <c r="BX128" s="37">
        <f t="shared" ref="BX128:BY128" si="314">SUM(BX125:BX127)</f>
        <v>1793500</v>
      </c>
      <c r="BY128" s="37">
        <f t="shared" si="314"/>
        <v>2109000</v>
      </c>
      <c r="BZ128" s="144">
        <f>SUM(BZ125:BZ127)</f>
        <v>1358500</v>
      </c>
      <c r="CA128" s="37">
        <f t="shared" si="312"/>
        <v>7987167</v>
      </c>
    </row>
    <row r="129" spans="1:79">
      <c r="A129" s="168" t="s">
        <v>442</v>
      </c>
      <c r="B129" s="8">
        <v>1</v>
      </c>
      <c r="C129" s="100" t="s">
        <v>444</v>
      </c>
      <c r="D129" s="101" t="s">
        <v>445</v>
      </c>
      <c r="E129" s="101" t="s">
        <v>442</v>
      </c>
      <c r="F129" s="4"/>
      <c r="G129" s="4"/>
      <c r="H129" s="5"/>
      <c r="I129" s="4"/>
      <c r="J129" s="4">
        <f>155000+129000+56000</f>
        <v>340000</v>
      </c>
      <c r="K129" s="4">
        <f>720000+176000+88000</f>
        <v>984000</v>
      </c>
      <c r="L129" s="4">
        <v>457000</v>
      </c>
      <c r="M129" s="4">
        <v>1574000</v>
      </c>
      <c r="N129" s="94">
        <v>578000</v>
      </c>
      <c r="O129" s="9">
        <f>SUM(F129:N129)</f>
        <v>3933000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1">
        <f>SUM(P129:X129)</f>
        <v>0</v>
      </c>
      <c r="Z129" s="25"/>
      <c r="AA129" s="20"/>
      <c r="AB129" s="20"/>
      <c r="AC129" s="20"/>
      <c r="AD129" s="20"/>
      <c r="AE129" s="20"/>
      <c r="AF129" s="21">
        <f>SUM(Z129:AE129)</f>
        <v>0</v>
      </c>
      <c r="AG129" s="20"/>
      <c r="AH129" s="20"/>
      <c r="AI129" s="20"/>
      <c r="AJ129" s="20"/>
      <c r="AK129" s="20"/>
      <c r="AL129" s="20"/>
      <c r="AM129" s="20"/>
      <c r="AN129" s="20"/>
      <c r="AO129" s="20"/>
      <c r="AP129" s="9">
        <f>SUM(AG129:AO129)</f>
        <v>0</v>
      </c>
      <c r="AQ129" s="4"/>
      <c r="AR129" s="4"/>
      <c r="AS129" s="4"/>
      <c r="AT129" s="4"/>
      <c r="AU129" s="4"/>
      <c r="AV129" s="4"/>
      <c r="AW129" s="4"/>
      <c r="AX129" s="4"/>
      <c r="AY129" s="4"/>
      <c r="AZ129" s="9">
        <f>SUM(AQ129:AY129)</f>
        <v>0</v>
      </c>
      <c r="BA129" s="25"/>
      <c r="BB129" s="21"/>
      <c r="BC129" s="21"/>
      <c r="BD129" s="21"/>
      <c r="BE129" s="21"/>
      <c r="BF129" s="20"/>
      <c r="BG129" s="21">
        <f>SUM(BA129:BF129)</f>
        <v>0</v>
      </c>
      <c r="BH129" s="25"/>
      <c r="BI129" s="25"/>
      <c r="BJ129" s="25"/>
      <c r="BK129" s="25"/>
      <c r="BL129" s="20"/>
      <c r="BM129" s="20"/>
      <c r="BN129" s="20"/>
      <c r="BO129" s="20"/>
      <c r="BP129" s="20"/>
      <c r="BQ129" s="21">
        <f>SUM(BH129:BP129)</f>
        <v>0</v>
      </c>
      <c r="BR129" s="4">
        <f>F129+P129+AG129+AQ129+BH129</f>
        <v>0</v>
      </c>
      <c r="BS129" s="4">
        <f>G129+Q129+AH129+AR129+BI129</f>
        <v>0</v>
      </c>
      <c r="BT129" s="4">
        <f>H129+R129+AI129+AS129+BJ129</f>
        <v>0</v>
      </c>
      <c r="BU129" s="4">
        <f>I129+S129+Z129+AJ129+AT129+BA129+BK129</f>
        <v>0</v>
      </c>
      <c r="BV129" s="94">
        <f>J129+T129+AA129+AK129+AU129+BB129+BL129</f>
        <v>340000</v>
      </c>
      <c r="BW129" s="94">
        <f>K129+U129+AB129+AM129+AV129+BC129+BM129</f>
        <v>984000</v>
      </c>
      <c r="BX129" s="94">
        <f>L129+V129+AC129+AM129+AW129+BD129+BN129</f>
        <v>457000</v>
      </c>
      <c r="BY129" s="94">
        <f>M129+W129+AD129+AO129+AX129+BE129+BO129</f>
        <v>1574000</v>
      </c>
      <c r="BZ129" s="94">
        <f>N129+X129+AE129+AO129+AY129+BF129+BP129</f>
        <v>578000</v>
      </c>
      <c r="CA129" s="9">
        <f>SUM(BR129:BZ129)</f>
        <v>3933000</v>
      </c>
    </row>
    <row r="130" spans="1:79" s="38" customFormat="1">
      <c r="A130" s="34"/>
      <c r="B130" s="34"/>
      <c r="C130" s="35" t="s">
        <v>443</v>
      </c>
      <c r="D130" s="37"/>
      <c r="E130" s="37"/>
      <c r="F130" s="37">
        <f>F129</f>
        <v>0</v>
      </c>
      <c r="G130" s="37">
        <f t="shared" ref="G130:H130" si="315">G129</f>
        <v>0</v>
      </c>
      <c r="H130" s="37">
        <f t="shared" si="315"/>
        <v>0</v>
      </c>
      <c r="I130" s="37">
        <f t="shared" ref="I130:I132" si="316">SUM(I129)</f>
        <v>0</v>
      </c>
      <c r="J130" s="37">
        <f t="shared" ref="J130:AS130" si="317">J129</f>
        <v>340000</v>
      </c>
      <c r="K130" s="37">
        <f t="shared" si="317"/>
        <v>984000</v>
      </c>
      <c r="L130" s="37">
        <f>L129</f>
        <v>457000</v>
      </c>
      <c r="M130" s="37">
        <f>M129</f>
        <v>1574000</v>
      </c>
      <c r="N130" s="37">
        <f>N129</f>
        <v>578000</v>
      </c>
      <c r="O130" s="37">
        <f t="shared" si="317"/>
        <v>3933000</v>
      </c>
      <c r="P130" s="37">
        <f t="shared" si="317"/>
        <v>0</v>
      </c>
      <c r="Q130" s="37">
        <f t="shared" si="317"/>
        <v>0</v>
      </c>
      <c r="R130" s="37">
        <f t="shared" si="317"/>
        <v>0</v>
      </c>
      <c r="S130" s="37">
        <f t="shared" ref="S130:S132" si="318">SUM(S129)</f>
        <v>0</v>
      </c>
      <c r="T130" s="37">
        <f t="shared" ref="T130:Y130" si="319">T129</f>
        <v>0</v>
      </c>
      <c r="U130" s="37">
        <f t="shared" si="319"/>
        <v>0</v>
      </c>
      <c r="V130" s="37">
        <f t="shared" si="319"/>
        <v>0</v>
      </c>
      <c r="W130" s="37">
        <f t="shared" si="319"/>
        <v>0</v>
      </c>
      <c r="X130" s="37">
        <f t="shared" si="319"/>
        <v>0</v>
      </c>
      <c r="Y130" s="37">
        <f t="shared" si="319"/>
        <v>0</v>
      </c>
      <c r="Z130" s="37">
        <f t="shared" ref="Z130:Z132" si="320">SUM(Z129)</f>
        <v>0</v>
      </c>
      <c r="AA130" s="37">
        <f t="shared" ref="AA130:AI130" si="321">AA129</f>
        <v>0</v>
      </c>
      <c r="AB130" s="37">
        <f t="shared" si="321"/>
        <v>0</v>
      </c>
      <c r="AC130" s="37">
        <f t="shared" si="321"/>
        <v>0</v>
      </c>
      <c r="AD130" s="37">
        <f t="shared" si="321"/>
        <v>0</v>
      </c>
      <c r="AE130" s="37">
        <f t="shared" si="321"/>
        <v>0</v>
      </c>
      <c r="AF130" s="37">
        <f t="shared" si="321"/>
        <v>0</v>
      </c>
      <c r="AG130" s="37">
        <f t="shared" si="321"/>
        <v>0</v>
      </c>
      <c r="AH130" s="37">
        <f t="shared" si="321"/>
        <v>0</v>
      </c>
      <c r="AI130" s="37">
        <f t="shared" si="321"/>
        <v>0</v>
      </c>
      <c r="AJ130" s="37">
        <f t="shared" ref="AJ130:AO130" si="322">SUM(AJ129)</f>
        <v>0</v>
      </c>
      <c r="AK130" s="37">
        <f t="shared" si="322"/>
        <v>0</v>
      </c>
      <c r="AL130" s="37">
        <f t="shared" si="322"/>
        <v>0</v>
      </c>
      <c r="AM130" s="37">
        <f t="shared" si="322"/>
        <v>0</v>
      </c>
      <c r="AN130" s="37">
        <f t="shared" si="322"/>
        <v>0</v>
      </c>
      <c r="AO130" s="37">
        <f t="shared" si="322"/>
        <v>0</v>
      </c>
      <c r="AP130" s="37">
        <f t="shared" ref="AP130" si="323">AP129</f>
        <v>0</v>
      </c>
      <c r="AQ130" s="37">
        <f t="shared" si="317"/>
        <v>0</v>
      </c>
      <c r="AR130" s="37">
        <f t="shared" si="317"/>
        <v>0</v>
      </c>
      <c r="AS130" s="37">
        <f t="shared" si="317"/>
        <v>0</v>
      </c>
      <c r="AT130" s="37">
        <f t="shared" ref="AT130:AT132" si="324">SUM(AT129)</f>
        <v>0</v>
      </c>
      <c r="AU130" s="37">
        <f t="shared" ref="AU130:AZ130" si="325">AU129</f>
        <v>0</v>
      </c>
      <c r="AV130" s="37">
        <f t="shared" si="325"/>
        <v>0</v>
      </c>
      <c r="AW130" s="37">
        <f t="shared" si="325"/>
        <v>0</v>
      </c>
      <c r="AX130" s="37">
        <f t="shared" si="325"/>
        <v>0</v>
      </c>
      <c r="AY130" s="37">
        <f t="shared" si="325"/>
        <v>0</v>
      </c>
      <c r="AZ130" s="37">
        <f t="shared" si="325"/>
        <v>0</v>
      </c>
      <c r="BA130" s="37">
        <f t="shared" ref="BA130:BA132" si="326">SUM(BA129)</f>
        <v>0</v>
      </c>
      <c r="BB130" s="37">
        <f t="shared" ref="BB130:BJ130" si="327">BB129</f>
        <v>0</v>
      </c>
      <c r="BC130" s="37">
        <f t="shared" si="327"/>
        <v>0</v>
      </c>
      <c r="BD130" s="37">
        <f t="shared" si="327"/>
        <v>0</v>
      </c>
      <c r="BE130" s="37">
        <f t="shared" si="327"/>
        <v>0</v>
      </c>
      <c r="BF130" s="37">
        <f t="shared" ref="BF130" si="328">SUM(BF129)</f>
        <v>0</v>
      </c>
      <c r="BG130" s="37">
        <f t="shared" si="327"/>
        <v>0</v>
      </c>
      <c r="BH130" s="37">
        <f t="shared" si="327"/>
        <v>0</v>
      </c>
      <c r="BI130" s="37">
        <f t="shared" si="327"/>
        <v>0</v>
      </c>
      <c r="BJ130" s="37">
        <f t="shared" si="327"/>
        <v>0</v>
      </c>
      <c r="BK130" s="37">
        <f t="shared" ref="BK130:BK132" si="329">SUM(BK129)</f>
        <v>0</v>
      </c>
      <c r="BL130" s="37">
        <f t="shared" ref="BL130:CA130" si="330">BL129</f>
        <v>0</v>
      </c>
      <c r="BM130" s="37">
        <f t="shared" si="330"/>
        <v>0</v>
      </c>
      <c r="BN130" s="37">
        <f t="shared" si="330"/>
        <v>0</v>
      </c>
      <c r="BO130" s="37">
        <f t="shared" si="330"/>
        <v>0</v>
      </c>
      <c r="BP130" s="37">
        <f t="shared" si="330"/>
        <v>0</v>
      </c>
      <c r="BQ130" s="37">
        <f t="shared" si="330"/>
        <v>0</v>
      </c>
      <c r="BR130" s="37">
        <f t="shared" si="330"/>
        <v>0</v>
      </c>
      <c r="BS130" s="37">
        <f t="shared" si="330"/>
        <v>0</v>
      </c>
      <c r="BT130" s="37">
        <f t="shared" si="330"/>
        <v>0</v>
      </c>
      <c r="BU130" s="37">
        <f t="shared" si="330"/>
        <v>0</v>
      </c>
      <c r="BV130" s="37">
        <f t="shared" si="330"/>
        <v>340000</v>
      </c>
      <c r="BW130" s="144">
        <f>BW129</f>
        <v>984000</v>
      </c>
      <c r="BX130" s="37">
        <f t="shared" ref="BX130:BY130" si="331">BX129</f>
        <v>457000</v>
      </c>
      <c r="BY130" s="37">
        <f t="shared" si="331"/>
        <v>1574000</v>
      </c>
      <c r="BZ130" s="144">
        <f>SUM(BZ129)</f>
        <v>578000</v>
      </c>
      <c r="CA130" s="37">
        <f t="shared" si="330"/>
        <v>3933000</v>
      </c>
    </row>
    <row r="131" spans="1:79">
      <c r="A131" s="168" t="s">
        <v>44</v>
      </c>
      <c r="B131" s="8">
        <v>1</v>
      </c>
      <c r="C131" s="1" t="s">
        <v>10</v>
      </c>
      <c r="D131" s="4" t="s">
        <v>43</v>
      </c>
      <c r="E131" s="4" t="s">
        <v>44</v>
      </c>
      <c r="F131" s="4"/>
      <c r="G131" s="4">
        <v>155000</v>
      </c>
      <c r="H131" s="5"/>
      <c r="I131" s="4">
        <f>72000+18000</f>
        <v>90000</v>
      </c>
      <c r="J131" s="4"/>
      <c r="K131" s="4"/>
      <c r="L131" s="4"/>
      <c r="M131" s="4"/>
      <c r="N131" s="4"/>
      <c r="O131" s="9">
        <f>SUM(F131:N131)</f>
        <v>245000</v>
      </c>
      <c r="P131" s="20"/>
      <c r="Q131" s="20">
        <v>195000</v>
      </c>
      <c r="R131" s="20">
        <v>96000</v>
      </c>
      <c r="S131" s="20">
        <v>20000</v>
      </c>
      <c r="T131" s="20"/>
      <c r="U131" s="20"/>
      <c r="V131" s="20"/>
      <c r="W131" s="20"/>
      <c r="X131" s="20"/>
      <c r="Y131" s="21">
        <f>SUM(P131:X131)</f>
        <v>311000</v>
      </c>
      <c r="Z131" s="25"/>
      <c r="AA131" s="20"/>
      <c r="AB131" s="20"/>
      <c r="AC131" s="20"/>
      <c r="AD131" s="20"/>
      <c r="AE131" s="20"/>
      <c r="AF131" s="21">
        <f>SUM(Z131:AE131)</f>
        <v>0</v>
      </c>
      <c r="AG131" s="20"/>
      <c r="AH131" s="20">
        <v>290000</v>
      </c>
      <c r="AI131" s="20"/>
      <c r="AJ131" s="20">
        <v>116000</v>
      </c>
      <c r="AK131" s="20"/>
      <c r="AL131" s="20"/>
      <c r="AM131" s="20"/>
      <c r="AN131" s="20"/>
      <c r="AO131" s="20"/>
      <c r="AP131" s="9">
        <f>SUM(AG131:AO131)</f>
        <v>406000</v>
      </c>
      <c r="AQ131" s="4"/>
      <c r="AR131" s="4"/>
      <c r="AS131" s="4"/>
      <c r="AT131" s="4"/>
      <c r="AU131" s="4"/>
      <c r="AV131" s="4"/>
      <c r="AW131" s="4"/>
      <c r="AX131" s="4"/>
      <c r="AY131" s="4"/>
      <c r="AZ131" s="9">
        <f>SUM(AQ131:AY131)</f>
        <v>0</v>
      </c>
      <c r="BA131" s="25"/>
      <c r="BB131" s="21"/>
      <c r="BC131" s="21"/>
      <c r="BD131" s="21"/>
      <c r="BE131" s="21"/>
      <c r="BF131" s="20"/>
      <c r="BG131" s="21">
        <f>SUM(BA131:BF131)</f>
        <v>0</v>
      </c>
      <c r="BH131" s="25"/>
      <c r="BI131" s="25"/>
      <c r="BJ131" s="25"/>
      <c r="BK131" s="25"/>
      <c r="BL131" s="20"/>
      <c r="BM131" s="20"/>
      <c r="BN131" s="20"/>
      <c r="BO131" s="20"/>
      <c r="BP131" s="20"/>
      <c r="BQ131" s="21">
        <f>SUM(BH131:BP131)</f>
        <v>0</v>
      </c>
      <c r="BR131" s="4">
        <f>F131+P131+AG131+AQ131+BH131</f>
        <v>0</v>
      </c>
      <c r="BS131" s="4">
        <f>G131+Q131+AH131+AR131+BI131</f>
        <v>640000</v>
      </c>
      <c r="BT131" s="4">
        <f>H131+R131+AI131+AS131+BJ131</f>
        <v>96000</v>
      </c>
      <c r="BU131" s="4">
        <f>I131+S131+Z131+AJ131+AT131+BA131+BK131</f>
        <v>226000</v>
      </c>
      <c r="BV131" s="94">
        <f>J131+T131+AA131+AK131+AU131+BB131+BL131</f>
        <v>0</v>
      </c>
      <c r="BW131" s="94">
        <f>K131+U131+AB131+AM131+AV131+BC131+BM131</f>
        <v>0</v>
      </c>
      <c r="BX131" s="94">
        <f>L131+V131+AC131+AM131+AW131+BD131+BN131</f>
        <v>0</v>
      </c>
      <c r="BY131" s="94">
        <f>M131+W131+AD131+AO131+AX131+BE131+BO131</f>
        <v>0</v>
      </c>
      <c r="BZ131" s="94">
        <f>N131+X131+AE131+AO131+AY131+BF131+BP131</f>
        <v>0</v>
      </c>
      <c r="CA131" s="9">
        <f>SUM(BR131:BZ131)</f>
        <v>962000</v>
      </c>
    </row>
    <row r="132" spans="1:79" s="38" customFormat="1">
      <c r="A132" s="34"/>
      <c r="B132" s="34"/>
      <c r="C132" s="35" t="s">
        <v>241</v>
      </c>
      <c r="D132" s="37"/>
      <c r="E132" s="37"/>
      <c r="F132" s="37">
        <f>F131</f>
        <v>0</v>
      </c>
      <c r="G132" s="37">
        <f t="shared" ref="G132:CA132" si="332">G131</f>
        <v>155000</v>
      </c>
      <c r="H132" s="37">
        <f t="shared" si="332"/>
        <v>0</v>
      </c>
      <c r="I132" s="37">
        <f t="shared" si="316"/>
        <v>90000</v>
      </c>
      <c r="J132" s="37">
        <f t="shared" si="332"/>
        <v>0</v>
      </c>
      <c r="K132" s="37">
        <f t="shared" si="332"/>
        <v>0</v>
      </c>
      <c r="L132" s="37">
        <f t="shared" si="332"/>
        <v>0</v>
      </c>
      <c r="M132" s="37">
        <f t="shared" si="332"/>
        <v>0</v>
      </c>
      <c r="N132" s="37">
        <f t="shared" si="332"/>
        <v>0</v>
      </c>
      <c r="O132" s="37">
        <f t="shared" si="332"/>
        <v>245000</v>
      </c>
      <c r="P132" s="37">
        <f t="shared" ref="P132:R132" si="333">P131</f>
        <v>0</v>
      </c>
      <c r="Q132" s="37">
        <f t="shared" si="333"/>
        <v>195000</v>
      </c>
      <c r="R132" s="37">
        <f t="shared" si="333"/>
        <v>96000</v>
      </c>
      <c r="S132" s="37">
        <f t="shared" si="318"/>
        <v>20000</v>
      </c>
      <c r="T132" s="37">
        <f t="shared" ref="T132:Y132" si="334">T131</f>
        <v>0</v>
      </c>
      <c r="U132" s="37">
        <f t="shared" si="334"/>
        <v>0</v>
      </c>
      <c r="V132" s="37">
        <f t="shared" si="334"/>
        <v>0</v>
      </c>
      <c r="W132" s="37">
        <f t="shared" si="334"/>
        <v>0</v>
      </c>
      <c r="X132" s="37">
        <f t="shared" si="334"/>
        <v>0</v>
      </c>
      <c r="Y132" s="37">
        <f t="shared" si="334"/>
        <v>311000</v>
      </c>
      <c r="Z132" s="37">
        <f t="shared" si="320"/>
        <v>0</v>
      </c>
      <c r="AA132" s="37">
        <f t="shared" ref="AA132:AI132" si="335">AA131</f>
        <v>0</v>
      </c>
      <c r="AB132" s="37">
        <f t="shared" si="335"/>
        <v>0</v>
      </c>
      <c r="AC132" s="37">
        <f t="shared" si="335"/>
        <v>0</v>
      </c>
      <c r="AD132" s="37">
        <f t="shared" si="335"/>
        <v>0</v>
      </c>
      <c r="AE132" s="37">
        <f t="shared" si="335"/>
        <v>0</v>
      </c>
      <c r="AF132" s="37">
        <f t="shared" si="335"/>
        <v>0</v>
      </c>
      <c r="AG132" s="37">
        <f t="shared" si="335"/>
        <v>0</v>
      </c>
      <c r="AH132" s="37">
        <f t="shared" si="335"/>
        <v>290000</v>
      </c>
      <c r="AI132" s="37">
        <f t="shared" si="335"/>
        <v>0</v>
      </c>
      <c r="AJ132" s="37">
        <f t="shared" ref="AJ132:AL132" si="336">SUM(AJ131)</f>
        <v>116000</v>
      </c>
      <c r="AK132" s="37">
        <f t="shared" si="336"/>
        <v>0</v>
      </c>
      <c r="AL132" s="37">
        <f t="shared" si="336"/>
        <v>0</v>
      </c>
      <c r="AM132" s="37">
        <f t="shared" ref="AM132:AO132" si="337">SUM(AM131)</f>
        <v>0</v>
      </c>
      <c r="AN132" s="37">
        <f t="shared" si="337"/>
        <v>0</v>
      </c>
      <c r="AO132" s="37">
        <f t="shared" si="337"/>
        <v>0</v>
      </c>
      <c r="AP132" s="37">
        <f t="shared" ref="AP132" si="338">AP131</f>
        <v>406000</v>
      </c>
      <c r="AQ132" s="37">
        <f t="shared" si="332"/>
        <v>0</v>
      </c>
      <c r="AR132" s="37">
        <f t="shared" si="332"/>
        <v>0</v>
      </c>
      <c r="AS132" s="37">
        <f t="shared" si="332"/>
        <v>0</v>
      </c>
      <c r="AT132" s="37">
        <f t="shared" si="324"/>
        <v>0</v>
      </c>
      <c r="AU132" s="37">
        <f t="shared" si="332"/>
        <v>0</v>
      </c>
      <c r="AV132" s="37">
        <f t="shared" si="332"/>
        <v>0</v>
      </c>
      <c r="AW132" s="37">
        <f t="shared" si="332"/>
        <v>0</v>
      </c>
      <c r="AX132" s="37">
        <f t="shared" si="332"/>
        <v>0</v>
      </c>
      <c r="AY132" s="37">
        <f t="shared" si="332"/>
        <v>0</v>
      </c>
      <c r="AZ132" s="37">
        <f t="shared" si="332"/>
        <v>0</v>
      </c>
      <c r="BA132" s="37">
        <f t="shared" si="326"/>
        <v>0</v>
      </c>
      <c r="BB132" s="37">
        <f t="shared" si="332"/>
        <v>0</v>
      </c>
      <c r="BC132" s="37">
        <f t="shared" si="332"/>
        <v>0</v>
      </c>
      <c r="BD132" s="37">
        <f t="shared" si="332"/>
        <v>0</v>
      </c>
      <c r="BE132" s="37">
        <f t="shared" si="332"/>
        <v>0</v>
      </c>
      <c r="BF132" s="37">
        <f t="shared" ref="BF132" si="339">SUM(BF131)</f>
        <v>0</v>
      </c>
      <c r="BG132" s="37">
        <f t="shared" si="332"/>
        <v>0</v>
      </c>
      <c r="BH132" s="37">
        <f t="shared" si="332"/>
        <v>0</v>
      </c>
      <c r="BI132" s="37">
        <f t="shared" si="332"/>
        <v>0</v>
      </c>
      <c r="BJ132" s="37">
        <f t="shared" si="332"/>
        <v>0</v>
      </c>
      <c r="BK132" s="37">
        <f t="shared" si="329"/>
        <v>0</v>
      </c>
      <c r="BL132" s="37">
        <f t="shared" si="332"/>
        <v>0</v>
      </c>
      <c r="BM132" s="37">
        <f t="shared" si="332"/>
        <v>0</v>
      </c>
      <c r="BN132" s="37">
        <f t="shared" si="332"/>
        <v>0</v>
      </c>
      <c r="BO132" s="37">
        <f t="shared" si="332"/>
        <v>0</v>
      </c>
      <c r="BP132" s="37">
        <f t="shared" si="332"/>
        <v>0</v>
      </c>
      <c r="BQ132" s="37">
        <f t="shared" si="332"/>
        <v>0</v>
      </c>
      <c r="BR132" s="37">
        <f t="shared" si="332"/>
        <v>0</v>
      </c>
      <c r="BS132" s="37">
        <f t="shared" si="332"/>
        <v>640000</v>
      </c>
      <c r="BT132" s="37">
        <f t="shared" si="332"/>
        <v>96000</v>
      </c>
      <c r="BU132" s="37">
        <f t="shared" si="332"/>
        <v>226000</v>
      </c>
      <c r="BV132" s="37">
        <f t="shared" si="332"/>
        <v>0</v>
      </c>
      <c r="BW132" s="37">
        <f t="shared" si="332"/>
        <v>0</v>
      </c>
      <c r="BX132" s="37">
        <f t="shared" si="332"/>
        <v>0</v>
      </c>
      <c r="BY132" s="37">
        <f t="shared" si="332"/>
        <v>0</v>
      </c>
      <c r="BZ132" s="144">
        <f>SUM(BZ131)</f>
        <v>0</v>
      </c>
      <c r="CA132" s="37">
        <f t="shared" si="332"/>
        <v>962000</v>
      </c>
    </row>
    <row r="133" spans="1:79" ht="47.25">
      <c r="A133" s="185" t="s">
        <v>61</v>
      </c>
      <c r="B133" s="8">
        <v>1</v>
      </c>
      <c r="C133" s="1" t="s">
        <v>242</v>
      </c>
      <c r="D133" s="4" t="s">
        <v>243</v>
      </c>
      <c r="E133" s="4" t="s">
        <v>61</v>
      </c>
      <c r="F133" s="4"/>
      <c r="G133" s="4"/>
      <c r="H133" s="4">
        <v>155000</v>
      </c>
      <c r="I133" s="4"/>
      <c r="J133" s="4"/>
      <c r="K133" s="4"/>
      <c r="L133" s="4"/>
      <c r="M133" s="4"/>
      <c r="N133" s="4"/>
      <c r="O133" s="9">
        <f t="shared" ref="O133:O148" si="340">SUM(F133:N133)</f>
        <v>155000</v>
      </c>
      <c r="P133" s="20"/>
      <c r="Q133" s="25">
        <v>195000</v>
      </c>
      <c r="R133" s="20"/>
      <c r="S133" s="20"/>
      <c r="T133" s="20"/>
      <c r="U133" s="20"/>
      <c r="V133" s="20"/>
      <c r="W133" s="20"/>
      <c r="X133" s="20"/>
      <c r="Y133" s="21">
        <f t="shared" ref="Y133:Y148" si="341">SUM(P133:X133)</f>
        <v>195000</v>
      </c>
      <c r="Z133" s="25"/>
      <c r="AA133" s="20"/>
      <c r="AB133" s="20"/>
      <c r="AC133" s="20"/>
      <c r="AD133" s="20"/>
      <c r="AE133" s="20"/>
      <c r="AF133" s="21">
        <f t="shared" ref="AF133:AF148" si="342">SUM(Z133:AE133)</f>
        <v>0</v>
      </c>
      <c r="AG133" s="20"/>
      <c r="AH133" s="20"/>
      <c r="AI133" s="4">
        <v>290000</v>
      </c>
      <c r="AJ133" s="20"/>
      <c r="AK133" s="20"/>
      <c r="AL133" s="20"/>
      <c r="AM133" s="20"/>
      <c r="AN133" s="20"/>
      <c r="AO133" s="20"/>
      <c r="AP133" s="9">
        <f t="shared" ref="AP133:AP148" si="343">SUM(AG133:AO133)</f>
        <v>290000</v>
      </c>
      <c r="AQ133" s="4"/>
      <c r="AR133" s="4"/>
      <c r="AS133" s="4"/>
      <c r="AT133" s="4"/>
      <c r="AU133" s="4"/>
      <c r="AV133" s="4"/>
      <c r="AW133" s="4"/>
      <c r="AX133" s="4"/>
      <c r="AY133" s="4"/>
      <c r="AZ133" s="9">
        <f t="shared" ref="AZ133:AZ148" si="344">SUM(AQ133:AY133)</f>
        <v>0</v>
      </c>
      <c r="BA133" s="25"/>
      <c r="BB133" s="20"/>
      <c r="BC133" s="20"/>
      <c r="BD133" s="20"/>
      <c r="BE133" s="20"/>
      <c r="BF133" s="20"/>
      <c r="BG133" s="21">
        <f t="shared" ref="BG133:BG148" si="345">SUM(BA133:BF133)</f>
        <v>0</v>
      </c>
      <c r="BH133" s="25"/>
      <c r="BI133" s="24">
        <f>100000+257600</f>
        <v>357600</v>
      </c>
      <c r="BJ133" s="25"/>
      <c r="BK133" s="25"/>
      <c r="BL133" s="20"/>
      <c r="BM133" s="20"/>
      <c r="BN133" s="20"/>
      <c r="BO133" s="20"/>
      <c r="BP133" s="20"/>
      <c r="BQ133" s="21">
        <f t="shared" ref="BQ133:BQ148" si="346">SUM(BH133:BP133)</f>
        <v>357600</v>
      </c>
      <c r="BR133" s="4">
        <f t="shared" ref="BR133:BR148" si="347">F133+P133+AG133+AQ133+BH133</f>
        <v>0</v>
      </c>
      <c r="BS133" s="4">
        <f t="shared" ref="BS133:BS148" si="348">G133+Q133+AH133+AR133+BI133</f>
        <v>552600</v>
      </c>
      <c r="BT133" s="4">
        <f t="shared" ref="BT133:BT148" si="349">H133+R133+AI133+AS133+BJ133</f>
        <v>445000</v>
      </c>
      <c r="BU133" s="4">
        <f t="shared" ref="BU133:BU148" si="350">I133+S133+Z133+AJ133+AT133+BA133+BK133</f>
        <v>0</v>
      </c>
      <c r="BV133" s="94">
        <f t="shared" ref="BV133:BV148" si="351">J133+T133+AA133+AK133+AU133+BB133+BL133</f>
        <v>0</v>
      </c>
      <c r="BW133" s="94">
        <f t="shared" ref="BW133:BW148" si="352">K133+U133+AB133+AM133+AV133+BC133+BM133</f>
        <v>0</v>
      </c>
      <c r="BX133" s="94">
        <f t="shared" ref="BX133:BX148" si="353">L133+V133+AC133+AM133+AW133+BD133+BN133</f>
        <v>0</v>
      </c>
      <c r="BY133" s="94">
        <f t="shared" ref="BY133:BY148" si="354">M133+W133+AD133+AO133+AX133+BE133+BO133</f>
        <v>0</v>
      </c>
      <c r="BZ133" s="94">
        <f t="shared" ref="BZ133:BZ148" si="355">N133+X133+AE133+AO133+AY133+BF133+BP133</f>
        <v>0</v>
      </c>
      <c r="CA133" s="9">
        <f t="shared" ref="CA133:CA148" si="356">SUM(BR133:BZ133)</f>
        <v>997600</v>
      </c>
    </row>
    <row r="134" spans="1:79">
      <c r="A134" s="186"/>
      <c r="B134" s="8">
        <v>2</v>
      </c>
      <c r="C134" s="1" t="s">
        <v>245</v>
      </c>
      <c r="D134" s="4" t="s">
        <v>246</v>
      </c>
      <c r="E134" s="4" t="s">
        <v>61</v>
      </c>
      <c r="F134" s="4"/>
      <c r="G134" s="4"/>
      <c r="H134" s="5"/>
      <c r="I134" s="4"/>
      <c r="J134" s="4"/>
      <c r="K134" s="4"/>
      <c r="L134" s="4"/>
      <c r="M134" s="4"/>
      <c r="N134" s="4"/>
      <c r="O134" s="9">
        <f t="shared" si="340"/>
        <v>0</v>
      </c>
      <c r="P134" s="20"/>
      <c r="Q134" s="25"/>
      <c r="R134" s="20"/>
      <c r="S134" s="20"/>
      <c r="T134" s="20"/>
      <c r="U134" s="20"/>
      <c r="V134" s="20"/>
      <c r="W134" s="20"/>
      <c r="X134" s="20"/>
      <c r="Y134" s="21">
        <f t="shared" si="341"/>
        <v>0</v>
      </c>
      <c r="Z134" s="25"/>
      <c r="AA134" s="20"/>
      <c r="AB134" s="20"/>
      <c r="AC134" s="20"/>
      <c r="AD134" s="20"/>
      <c r="AE134" s="20"/>
      <c r="AF134" s="21">
        <f t="shared" si="342"/>
        <v>0</v>
      </c>
      <c r="AG134" s="20"/>
      <c r="AH134" s="26">
        <v>1389000</v>
      </c>
      <c r="AI134" s="4">
        <v>1080000</v>
      </c>
      <c r="AJ134" s="22">
        <v>420000</v>
      </c>
      <c r="AK134" s="22"/>
      <c r="AL134" s="22"/>
      <c r="AM134" s="22"/>
      <c r="AN134" s="22"/>
      <c r="AO134" s="22"/>
      <c r="AP134" s="9">
        <f t="shared" si="343"/>
        <v>2889000</v>
      </c>
      <c r="AQ134" s="76"/>
      <c r="AR134" s="76">
        <v>1690000</v>
      </c>
      <c r="AS134" s="76">
        <v>1290000</v>
      </c>
      <c r="AT134" s="76">
        <v>150000</v>
      </c>
      <c r="AU134" s="4"/>
      <c r="AV134" s="4"/>
      <c r="AW134" s="4"/>
      <c r="AX134" s="4"/>
      <c r="AY134" s="4"/>
      <c r="AZ134" s="9">
        <f t="shared" si="344"/>
        <v>3130000</v>
      </c>
      <c r="BA134" s="24">
        <v>900000</v>
      </c>
      <c r="BB134" s="20">
        <f>300000+300000+300000+300000+200000</f>
        <v>1400000</v>
      </c>
      <c r="BC134" s="20">
        <f>2225000+765000</f>
        <v>2990000</v>
      </c>
      <c r="BD134" s="20">
        <f>1275000+510000+255000+255000+510000+255000</f>
        <v>3060000</v>
      </c>
      <c r="BE134" s="20">
        <f>765000+510000+255000+255000+510000+510000+255000</f>
        <v>3060000</v>
      </c>
      <c r="BF134" s="22">
        <v>2040000</v>
      </c>
      <c r="BG134" s="21">
        <f t="shared" si="345"/>
        <v>13450000</v>
      </c>
      <c r="BH134" s="25"/>
      <c r="BI134" s="25">
        <v>100000</v>
      </c>
      <c r="BJ134" s="25">
        <v>540000</v>
      </c>
      <c r="BK134" s="25"/>
      <c r="BL134" s="20"/>
      <c r="BM134" s="20"/>
      <c r="BN134" s="20"/>
      <c r="BO134" s="20"/>
      <c r="BP134" s="20"/>
      <c r="BQ134" s="21">
        <f t="shared" si="346"/>
        <v>640000</v>
      </c>
      <c r="BR134" s="4">
        <f t="shared" si="347"/>
        <v>0</v>
      </c>
      <c r="BS134" s="4">
        <f t="shared" si="348"/>
        <v>3179000</v>
      </c>
      <c r="BT134" s="4">
        <f t="shared" si="349"/>
        <v>2910000</v>
      </c>
      <c r="BU134" s="4">
        <f t="shared" si="350"/>
        <v>1470000</v>
      </c>
      <c r="BV134" s="94">
        <f t="shared" si="351"/>
        <v>1400000</v>
      </c>
      <c r="BW134" s="94">
        <f t="shared" si="352"/>
        <v>2990000</v>
      </c>
      <c r="BX134" s="94">
        <f t="shared" si="353"/>
        <v>3060000</v>
      </c>
      <c r="BY134" s="94">
        <f t="shared" si="354"/>
        <v>3060000</v>
      </c>
      <c r="BZ134" s="94">
        <f t="shared" si="355"/>
        <v>2040000</v>
      </c>
      <c r="CA134" s="9">
        <f t="shared" si="356"/>
        <v>20109000</v>
      </c>
    </row>
    <row r="135" spans="1:79">
      <c r="A135" s="186"/>
      <c r="B135" s="8">
        <v>3</v>
      </c>
      <c r="C135" s="1" t="s">
        <v>247</v>
      </c>
      <c r="D135" s="5" t="s">
        <v>262</v>
      </c>
      <c r="E135" s="4" t="s">
        <v>61</v>
      </c>
      <c r="F135" s="4"/>
      <c r="G135" s="4"/>
      <c r="H135" s="5"/>
      <c r="I135" s="4"/>
      <c r="J135" s="4"/>
      <c r="K135" s="4"/>
      <c r="L135" s="4"/>
      <c r="M135" s="4"/>
      <c r="N135" s="4"/>
      <c r="O135" s="9">
        <f t="shared" si="340"/>
        <v>0</v>
      </c>
      <c r="P135" s="20"/>
      <c r="Q135" s="25">
        <v>438200</v>
      </c>
      <c r="R135" s="25">
        <v>274300</v>
      </c>
      <c r="S135" s="24">
        <v>959000</v>
      </c>
      <c r="T135" s="20">
        <f>70000+210000+210000</f>
        <v>490000</v>
      </c>
      <c r="U135" s="20">
        <f>1504775+271600+135800</f>
        <v>1912175</v>
      </c>
      <c r="V135" s="20">
        <v>1629600</v>
      </c>
      <c r="W135" s="20">
        <v>1746000</v>
      </c>
      <c r="X135" s="174">
        <v>1144600</v>
      </c>
      <c r="Y135" s="21">
        <f t="shared" si="341"/>
        <v>8593875</v>
      </c>
      <c r="Z135" s="25"/>
      <c r="AA135" s="20"/>
      <c r="AB135" s="20"/>
      <c r="AC135" s="20"/>
      <c r="AD135" s="20"/>
      <c r="AE135" s="20"/>
      <c r="AF135" s="21">
        <f t="shared" si="342"/>
        <v>0</v>
      </c>
      <c r="AG135" s="20"/>
      <c r="AH135" s="20"/>
      <c r="AI135" s="4"/>
      <c r="AJ135" s="20"/>
      <c r="AK135" s="20"/>
      <c r="AL135" s="20"/>
      <c r="AM135" s="20"/>
      <c r="AN135" s="20"/>
      <c r="AO135" s="20"/>
      <c r="AP135" s="9">
        <f t="shared" si="343"/>
        <v>0</v>
      </c>
      <c r="AQ135" s="4"/>
      <c r="AR135" s="72"/>
      <c r="AS135" s="4"/>
      <c r="AT135" s="4"/>
      <c r="AU135" s="4"/>
      <c r="AV135" s="4"/>
      <c r="AW135" s="4"/>
      <c r="AX135" s="4"/>
      <c r="AY135" s="4"/>
      <c r="AZ135" s="9">
        <f t="shared" si="344"/>
        <v>0</v>
      </c>
      <c r="BA135" s="25"/>
      <c r="BB135" s="20"/>
      <c r="BC135" s="20"/>
      <c r="BD135" s="20"/>
      <c r="BE135" s="20"/>
      <c r="BF135" s="20"/>
      <c r="BG135" s="21">
        <f t="shared" si="345"/>
        <v>0</v>
      </c>
      <c r="BH135" s="25"/>
      <c r="BI135" s="25">
        <v>100000</v>
      </c>
      <c r="BJ135" s="25"/>
      <c r="BK135" s="25">
        <v>120000</v>
      </c>
      <c r="BL135" s="20"/>
      <c r="BM135" s="20"/>
      <c r="BN135" s="20"/>
      <c r="BO135" s="20"/>
      <c r="BP135" s="20"/>
      <c r="BQ135" s="21">
        <f t="shared" si="346"/>
        <v>220000</v>
      </c>
      <c r="BR135" s="4">
        <f t="shared" si="347"/>
        <v>0</v>
      </c>
      <c r="BS135" s="4">
        <f t="shared" si="348"/>
        <v>538200</v>
      </c>
      <c r="BT135" s="4">
        <f t="shared" si="349"/>
        <v>274300</v>
      </c>
      <c r="BU135" s="4">
        <f t="shared" si="350"/>
        <v>1079000</v>
      </c>
      <c r="BV135" s="94">
        <f t="shared" si="351"/>
        <v>490000</v>
      </c>
      <c r="BW135" s="94">
        <f t="shared" si="352"/>
        <v>1912175</v>
      </c>
      <c r="BX135" s="94">
        <f t="shared" si="353"/>
        <v>1629600</v>
      </c>
      <c r="BY135" s="94">
        <f t="shared" si="354"/>
        <v>1746000</v>
      </c>
      <c r="BZ135" s="94">
        <f t="shared" si="355"/>
        <v>1144600</v>
      </c>
      <c r="CA135" s="9">
        <f t="shared" si="356"/>
        <v>8813875</v>
      </c>
    </row>
    <row r="136" spans="1:79" ht="31.5">
      <c r="A136" s="186"/>
      <c r="B136" s="8">
        <v>4</v>
      </c>
      <c r="C136" s="1" t="s">
        <v>248</v>
      </c>
      <c r="D136" s="46" t="s">
        <v>249</v>
      </c>
      <c r="E136" s="4" t="s">
        <v>61</v>
      </c>
      <c r="F136" s="4"/>
      <c r="G136" s="4"/>
      <c r="H136" s="5"/>
      <c r="I136" s="4"/>
      <c r="J136" s="4"/>
      <c r="K136" s="4"/>
      <c r="L136" s="4"/>
      <c r="M136" s="4"/>
      <c r="N136" s="4"/>
      <c r="O136" s="9">
        <f t="shared" si="340"/>
        <v>0</v>
      </c>
      <c r="P136" s="20">
        <v>195000</v>
      </c>
      <c r="Q136" s="25">
        <v>1226050</v>
      </c>
      <c r="R136" s="25">
        <v>607150</v>
      </c>
      <c r="S136" s="24">
        <v>240000</v>
      </c>
      <c r="T136" s="20"/>
      <c r="U136" s="20"/>
      <c r="V136" s="20"/>
      <c r="W136" s="20"/>
      <c r="X136" s="20"/>
      <c r="Y136" s="21">
        <f t="shared" si="341"/>
        <v>2268200</v>
      </c>
      <c r="Z136" s="25"/>
      <c r="AA136" s="20"/>
      <c r="AB136" s="20"/>
      <c r="AC136" s="20"/>
      <c r="AD136" s="20"/>
      <c r="AE136" s="20"/>
      <c r="AF136" s="21">
        <f t="shared" si="342"/>
        <v>0</v>
      </c>
      <c r="AG136" s="20">
        <v>290000</v>
      </c>
      <c r="AH136" s="26">
        <v>2142000</v>
      </c>
      <c r="AI136" s="4">
        <v>840000</v>
      </c>
      <c r="AJ136" s="22">
        <v>540000</v>
      </c>
      <c r="AK136" s="22"/>
      <c r="AL136" s="22"/>
      <c r="AM136" s="22"/>
      <c r="AN136" s="22"/>
      <c r="AO136" s="22"/>
      <c r="AP136" s="9">
        <f t="shared" si="343"/>
        <v>3812000</v>
      </c>
      <c r="AQ136" s="76">
        <v>290000</v>
      </c>
      <c r="AR136" s="76">
        <v>1830000</v>
      </c>
      <c r="AS136" s="76">
        <v>1500000</v>
      </c>
      <c r="AT136" s="76">
        <v>250000</v>
      </c>
      <c r="AU136" s="4"/>
      <c r="AV136" s="4"/>
      <c r="AW136" s="4"/>
      <c r="AX136" s="4"/>
      <c r="AY136" s="4"/>
      <c r="AZ136" s="9">
        <f t="shared" si="344"/>
        <v>3870000</v>
      </c>
      <c r="BA136" s="25"/>
      <c r="BB136" s="20"/>
      <c r="BC136" s="20">
        <v>1266500</v>
      </c>
      <c r="BD136" s="20">
        <f>255000+765000+510000+255000+255000+510000+255000</f>
        <v>2805000</v>
      </c>
      <c r="BE136" s="20">
        <f>765000+255000+255000+510000+510000+510000+255000</f>
        <v>3060000</v>
      </c>
      <c r="BF136" s="22">
        <v>2040000</v>
      </c>
      <c r="BG136" s="21">
        <f t="shared" si="345"/>
        <v>9171500</v>
      </c>
      <c r="BH136" s="25"/>
      <c r="BI136" s="25">
        <v>100000</v>
      </c>
      <c r="BJ136" s="25">
        <v>522000</v>
      </c>
      <c r="BK136" s="25"/>
      <c r="BL136" s="20"/>
      <c r="BM136" s="20"/>
      <c r="BN136" s="20"/>
      <c r="BO136" s="20"/>
      <c r="BP136" s="20"/>
      <c r="BQ136" s="21">
        <f t="shared" si="346"/>
        <v>622000</v>
      </c>
      <c r="BR136" s="4">
        <f t="shared" si="347"/>
        <v>775000</v>
      </c>
      <c r="BS136" s="4">
        <f t="shared" si="348"/>
        <v>5298050</v>
      </c>
      <c r="BT136" s="4">
        <f t="shared" si="349"/>
        <v>3469150</v>
      </c>
      <c r="BU136" s="4">
        <f t="shared" si="350"/>
        <v>1030000</v>
      </c>
      <c r="BV136" s="94">
        <f t="shared" si="351"/>
        <v>0</v>
      </c>
      <c r="BW136" s="94">
        <f t="shared" si="352"/>
        <v>1266500</v>
      </c>
      <c r="BX136" s="94">
        <f t="shared" si="353"/>
        <v>2805000</v>
      </c>
      <c r="BY136" s="94">
        <f t="shared" si="354"/>
        <v>3060000</v>
      </c>
      <c r="BZ136" s="94">
        <f t="shared" si="355"/>
        <v>2040000</v>
      </c>
      <c r="CA136" s="9">
        <f t="shared" si="356"/>
        <v>19743700</v>
      </c>
    </row>
    <row r="137" spans="1:79" ht="31.5">
      <c r="A137" s="186"/>
      <c r="B137" s="8">
        <v>5</v>
      </c>
      <c r="C137" s="1" t="s">
        <v>250</v>
      </c>
      <c r="D137" s="4" t="s">
        <v>251</v>
      </c>
      <c r="E137" s="4" t="s">
        <v>61</v>
      </c>
      <c r="F137" s="4"/>
      <c r="G137" s="4"/>
      <c r="H137" s="5"/>
      <c r="I137" s="4"/>
      <c r="J137" s="4"/>
      <c r="K137" s="4"/>
      <c r="L137" s="4"/>
      <c r="M137" s="4"/>
      <c r="N137" s="4"/>
      <c r="O137" s="9">
        <f t="shared" si="340"/>
        <v>0</v>
      </c>
      <c r="P137" s="20"/>
      <c r="Q137" s="25"/>
      <c r="R137" s="25"/>
      <c r="S137" s="24"/>
      <c r="T137" s="20"/>
      <c r="U137" s="20"/>
      <c r="V137" s="20"/>
      <c r="W137" s="20"/>
      <c r="X137" s="20"/>
      <c r="Y137" s="21">
        <f t="shared" si="341"/>
        <v>0</v>
      </c>
      <c r="Z137" s="25"/>
      <c r="AA137" s="20"/>
      <c r="AB137" s="20"/>
      <c r="AC137" s="20"/>
      <c r="AD137" s="20"/>
      <c r="AE137" s="20"/>
      <c r="AF137" s="21">
        <f t="shared" si="342"/>
        <v>0</v>
      </c>
      <c r="AG137" s="20"/>
      <c r="AH137" s="20"/>
      <c r="AI137" s="4"/>
      <c r="AJ137" s="20"/>
      <c r="AK137" s="20"/>
      <c r="AL137" s="20"/>
      <c r="AM137" s="20"/>
      <c r="AN137" s="20"/>
      <c r="AO137" s="20"/>
      <c r="AP137" s="9">
        <f t="shared" si="343"/>
        <v>0</v>
      </c>
      <c r="AQ137" s="76"/>
      <c r="AR137" s="76">
        <v>290000</v>
      </c>
      <c r="AS137" s="76"/>
      <c r="AT137" s="76"/>
      <c r="AU137" s="4"/>
      <c r="AV137" s="4"/>
      <c r="AW137" s="4"/>
      <c r="AX137" s="4">
        <f>360000+110000+110000+130000+130000+310000+380000</f>
        <v>1530000</v>
      </c>
      <c r="AY137" s="4">
        <v>1600000</v>
      </c>
      <c r="AZ137" s="9">
        <f t="shared" si="344"/>
        <v>3420000</v>
      </c>
      <c r="BA137" s="25"/>
      <c r="BB137" s="20"/>
      <c r="BC137" s="20"/>
      <c r="BD137" s="20"/>
      <c r="BE137" s="20"/>
      <c r="BF137" s="20"/>
      <c r="BG137" s="21">
        <f t="shared" si="345"/>
        <v>0</v>
      </c>
      <c r="BH137" s="25"/>
      <c r="BI137" s="25"/>
      <c r="BJ137" s="25"/>
      <c r="BK137" s="25"/>
      <c r="BL137" s="20"/>
      <c r="BM137" s="20"/>
      <c r="BN137" s="20"/>
      <c r="BO137" s="20"/>
      <c r="BP137" s="20"/>
      <c r="BQ137" s="21">
        <f t="shared" si="346"/>
        <v>0</v>
      </c>
      <c r="BR137" s="4">
        <f t="shared" si="347"/>
        <v>0</v>
      </c>
      <c r="BS137" s="4">
        <f t="shared" si="348"/>
        <v>290000</v>
      </c>
      <c r="BT137" s="4">
        <f t="shared" si="349"/>
        <v>0</v>
      </c>
      <c r="BU137" s="4">
        <f t="shared" si="350"/>
        <v>0</v>
      </c>
      <c r="BV137" s="94">
        <f t="shared" si="351"/>
        <v>0</v>
      </c>
      <c r="BW137" s="94">
        <f t="shared" si="352"/>
        <v>0</v>
      </c>
      <c r="BX137" s="94">
        <f t="shared" si="353"/>
        <v>0</v>
      </c>
      <c r="BY137" s="94">
        <f t="shared" si="354"/>
        <v>1530000</v>
      </c>
      <c r="BZ137" s="94">
        <f t="shared" si="355"/>
        <v>1600000</v>
      </c>
      <c r="CA137" s="9">
        <f t="shared" si="356"/>
        <v>3420000</v>
      </c>
    </row>
    <row r="138" spans="1:79" ht="47.25">
      <c r="A138" s="186"/>
      <c r="B138" s="8">
        <v>6</v>
      </c>
      <c r="C138" s="1" t="s">
        <v>252</v>
      </c>
      <c r="D138" s="4" t="s">
        <v>253</v>
      </c>
      <c r="E138" s="4" t="s">
        <v>61</v>
      </c>
      <c r="F138" s="4">
        <v>155000</v>
      </c>
      <c r="G138" s="4"/>
      <c r="H138" s="4">
        <f>891000+110000</f>
        <v>1001000</v>
      </c>
      <c r="I138" s="4"/>
      <c r="J138" s="4"/>
      <c r="K138" s="4"/>
      <c r="L138" s="4"/>
      <c r="M138" s="4"/>
      <c r="N138" s="4"/>
      <c r="O138" s="9">
        <f t="shared" si="340"/>
        <v>1156000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1">
        <f t="shared" si="341"/>
        <v>0</v>
      </c>
      <c r="Z138" s="25"/>
      <c r="AA138" s="20"/>
      <c r="AB138" s="20"/>
      <c r="AC138" s="20"/>
      <c r="AD138" s="20"/>
      <c r="AE138" s="20"/>
      <c r="AF138" s="21">
        <f t="shared" si="342"/>
        <v>0</v>
      </c>
      <c r="AG138" s="20"/>
      <c r="AH138" s="20"/>
      <c r="AI138" s="4"/>
      <c r="AJ138" s="20"/>
      <c r="AK138" s="20"/>
      <c r="AL138" s="20"/>
      <c r="AM138" s="20"/>
      <c r="AN138" s="20"/>
      <c r="AO138" s="20"/>
      <c r="AP138" s="9">
        <f t="shared" si="343"/>
        <v>0</v>
      </c>
      <c r="AQ138" s="76">
        <v>290000</v>
      </c>
      <c r="AR138" s="76"/>
      <c r="AS138" s="76">
        <v>1800000</v>
      </c>
      <c r="AT138" s="76"/>
      <c r="AU138" s="4"/>
      <c r="AV138" s="4"/>
      <c r="AW138" s="4"/>
      <c r="AX138" s="4"/>
      <c r="AY138" s="4"/>
      <c r="AZ138" s="9">
        <f t="shared" si="344"/>
        <v>2090000</v>
      </c>
      <c r="BA138" s="25"/>
      <c r="BB138" s="20"/>
      <c r="BC138" s="20"/>
      <c r="BD138" s="20"/>
      <c r="BE138" s="20"/>
      <c r="BF138" s="20"/>
      <c r="BG138" s="21">
        <f t="shared" si="345"/>
        <v>0</v>
      </c>
      <c r="BH138" s="25"/>
      <c r="BI138" s="24">
        <v>100000</v>
      </c>
      <c r="BJ138" s="25"/>
      <c r="BK138" s="25"/>
      <c r="BL138" s="20"/>
      <c r="BM138" s="20"/>
      <c r="BN138" s="20"/>
      <c r="BO138" s="20"/>
      <c r="BP138" s="20"/>
      <c r="BQ138" s="21">
        <f t="shared" si="346"/>
        <v>100000</v>
      </c>
      <c r="BR138" s="4">
        <f t="shared" si="347"/>
        <v>445000</v>
      </c>
      <c r="BS138" s="4">
        <f t="shared" si="348"/>
        <v>100000</v>
      </c>
      <c r="BT138" s="4">
        <f t="shared" si="349"/>
        <v>2801000</v>
      </c>
      <c r="BU138" s="4">
        <f t="shared" si="350"/>
        <v>0</v>
      </c>
      <c r="BV138" s="94">
        <f t="shared" si="351"/>
        <v>0</v>
      </c>
      <c r="BW138" s="94">
        <f t="shared" si="352"/>
        <v>0</v>
      </c>
      <c r="BX138" s="94">
        <f t="shared" si="353"/>
        <v>0</v>
      </c>
      <c r="BY138" s="94">
        <f t="shared" si="354"/>
        <v>0</v>
      </c>
      <c r="BZ138" s="94">
        <f t="shared" si="355"/>
        <v>0</v>
      </c>
      <c r="CA138" s="9">
        <f t="shared" si="356"/>
        <v>3346000</v>
      </c>
    </row>
    <row r="139" spans="1:79" ht="31.5">
      <c r="A139" s="186"/>
      <c r="B139" s="8">
        <v>7</v>
      </c>
      <c r="C139" s="1" t="s">
        <v>2</v>
      </c>
      <c r="D139" s="43" t="s">
        <v>243</v>
      </c>
      <c r="E139" s="4" t="s">
        <v>61</v>
      </c>
      <c r="F139" s="4"/>
      <c r="G139" s="4"/>
      <c r="H139" s="4"/>
      <c r="I139" s="4"/>
      <c r="J139" s="4"/>
      <c r="K139" s="4"/>
      <c r="L139" s="4"/>
      <c r="M139" s="4"/>
      <c r="N139" s="4"/>
      <c r="O139" s="9">
        <f t="shared" si="340"/>
        <v>0</v>
      </c>
      <c r="P139" s="20"/>
      <c r="Q139" s="25">
        <v>195000</v>
      </c>
      <c r="R139" s="20"/>
      <c r="S139" s="20"/>
      <c r="T139" s="20"/>
      <c r="U139" s="20"/>
      <c r="V139" s="20"/>
      <c r="W139" s="20"/>
      <c r="X139" s="20"/>
      <c r="Y139" s="21">
        <f t="shared" si="341"/>
        <v>195000</v>
      </c>
      <c r="Z139" s="25"/>
      <c r="AA139" s="20"/>
      <c r="AB139" s="20"/>
      <c r="AC139" s="20"/>
      <c r="AD139" s="20"/>
      <c r="AE139" s="20"/>
      <c r="AF139" s="21">
        <f t="shared" si="342"/>
        <v>0</v>
      </c>
      <c r="AG139" s="20"/>
      <c r="AH139" s="20">
        <v>290000</v>
      </c>
      <c r="AI139" s="4">
        <v>-290000</v>
      </c>
      <c r="AJ139" s="20"/>
      <c r="AK139" s="20"/>
      <c r="AL139" s="20"/>
      <c r="AM139" s="20"/>
      <c r="AN139" s="20"/>
      <c r="AO139" s="20"/>
      <c r="AP139" s="9">
        <f t="shared" si="343"/>
        <v>0</v>
      </c>
      <c r="AQ139" s="4"/>
      <c r="AR139" s="72"/>
      <c r="AS139" s="4"/>
      <c r="AT139" s="4"/>
      <c r="AU139" s="4"/>
      <c r="AV139" s="4"/>
      <c r="AW139" s="4"/>
      <c r="AX139" s="4"/>
      <c r="AY139" s="4"/>
      <c r="AZ139" s="9">
        <f t="shared" si="344"/>
        <v>0</v>
      </c>
      <c r="BA139" s="25"/>
      <c r="BB139" s="20"/>
      <c r="BC139" s="20"/>
      <c r="BD139" s="20"/>
      <c r="BE139" s="20"/>
      <c r="BF139" s="20"/>
      <c r="BG139" s="21">
        <f t="shared" si="345"/>
        <v>0</v>
      </c>
      <c r="BH139" s="25"/>
      <c r="BI139" s="25"/>
      <c r="BJ139" s="25"/>
      <c r="BK139" s="25"/>
      <c r="BL139" s="20"/>
      <c r="BM139" s="20"/>
      <c r="BN139" s="20"/>
      <c r="BO139" s="20"/>
      <c r="BP139" s="20"/>
      <c r="BQ139" s="21">
        <f t="shared" si="346"/>
        <v>0</v>
      </c>
      <c r="BR139" s="4">
        <f t="shared" si="347"/>
        <v>0</v>
      </c>
      <c r="BS139" s="4">
        <f t="shared" si="348"/>
        <v>485000</v>
      </c>
      <c r="BT139" s="4">
        <f t="shared" si="349"/>
        <v>-290000</v>
      </c>
      <c r="BU139" s="4">
        <f t="shared" si="350"/>
        <v>0</v>
      </c>
      <c r="BV139" s="94">
        <f t="shared" si="351"/>
        <v>0</v>
      </c>
      <c r="BW139" s="94">
        <f t="shared" si="352"/>
        <v>0</v>
      </c>
      <c r="BX139" s="94">
        <f t="shared" si="353"/>
        <v>0</v>
      </c>
      <c r="BY139" s="94">
        <f t="shared" si="354"/>
        <v>0</v>
      </c>
      <c r="BZ139" s="94">
        <f t="shared" si="355"/>
        <v>0</v>
      </c>
      <c r="CA139" s="9">
        <f t="shared" si="356"/>
        <v>195000</v>
      </c>
    </row>
    <row r="140" spans="1:79">
      <c r="A140" s="186"/>
      <c r="B140" s="8">
        <v>8</v>
      </c>
      <c r="C140" s="1" t="s">
        <v>254</v>
      </c>
      <c r="D140" s="41" t="s">
        <v>255</v>
      </c>
      <c r="E140" s="4" t="s">
        <v>61</v>
      </c>
      <c r="F140" s="4"/>
      <c r="G140" s="4"/>
      <c r="H140" s="4"/>
      <c r="I140" s="4"/>
      <c r="J140" s="4"/>
      <c r="K140" s="4"/>
      <c r="L140" s="4"/>
      <c r="M140" s="4"/>
      <c r="N140" s="4"/>
      <c r="O140" s="9">
        <f t="shared" si="340"/>
        <v>0</v>
      </c>
      <c r="P140" s="20"/>
      <c r="Q140" s="25"/>
      <c r="R140" s="20"/>
      <c r="S140" s="20"/>
      <c r="T140" s="20"/>
      <c r="U140" s="20"/>
      <c r="V140" s="20"/>
      <c r="W140" s="20"/>
      <c r="X140" s="20"/>
      <c r="Y140" s="21">
        <f t="shared" si="341"/>
        <v>0</v>
      </c>
      <c r="Z140" s="25"/>
      <c r="AA140" s="20"/>
      <c r="AB140" s="20"/>
      <c r="AC140" s="20"/>
      <c r="AD140" s="20"/>
      <c r="AE140" s="20"/>
      <c r="AF140" s="21">
        <f t="shared" si="342"/>
        <v>0</v>
      </c>
      <c r="AG140" s="20"/>
      <c r="AH140" s="20">
        <v>290000</v>
      </c>
      <c r="AI140" s="4">
        <v>1008000</v>
      </c>
      <c r="AJ140" s="22">
        <v>360000</v>
      </c>
      <c r="AK140" s="22"/>
      <c r="AL140" s="22"/>
      <c r="AM140" s="22"/>
      <c r="AN140" s="22"/>
      <c r="AO140" s="22"/>
      <c r="AP140" s="9">
        <f t="shared" si="343"/>
        <v>1658000</v>
      </c>
      <c r="AQ140" s="76">
        <v>290000</v>
      </c>
      <c r="AR140" s="76">
        <v>1200000</v>
      </c>
      <c r="AS140" s="76">
        <v>2060000</v>
      </c>
      <c r="AT140" s="76">
        <v>250000</v>
      </c>
      <c r="AU140" s="4"/>
      <c r="AV140" s="4"/>
      <c r="AW140" s="4"/>
      <c r="AX140" s="4"/>
      <c r="AY140" s="4"/>
      <c r="AZ140" s="9">
        <f t="shared" si="344"/>
        <v>3800000</v>
      </c>
      <c r="BA140" s="24">
        <v>900000</v>
      </c>
      <c r="BB140" s="20">
        <f>300000+300000+300000+300000+200000</f>
        <v>1400000</v>
      </c>
      <c r="BC140" s="20">
        <v>1975000</v>
      </c>
      <c r="BD140" s="20">
        <f>1275000+765000+510000+255000+255000+255000+510000</f>
        <v>3825000</v>
      </c>
      <c r="BE140" s="20">
        <f>765000+510000+255000+255000+510000+255000+510000</f>
        <v>3060000</v>
      </c>
      <c r="BF140" s="22">
        <v>1530000</v>
      </c>
      <c r="BG140" s="21">
        <f t="shared" si="345"/>
        <v>12690000</v>
      </c>
      <c r="BH140" s="25"/>
      <c r="BI140" s="25"/>
      <c r="BJ140" s="25"/>
      <c r="BK140" s="25"/>
      <c r="BL140" s="20"/>
      <c r="BM140" s="20"/>
      <c r="BN140" s="20"/>
      <c r="BO140" s="20"/>
      <c r="BP140" s="20"/>
      <c r="BQ140" s="21">
        <f t="shared" si="346"/>
        <v>0</v>
      </c>
      <c r="BR140" s="4">
        <f t="shared" si="347"/>
        <v>290000</v>
      </c>
      <c r="BS140" s="4">
        <f t="shared" si="348"/>
        <v>1490000</v>
      </c>
      <c r="BT140" s="4">
        <f t="shared" si="349"/>
        <v>3068000</v>
      </c>
      <c r="BU140" s="4">
        <f t="shared" si="350"/>
        <v>1510000</v>
      </c>
      <c r="BV140" s="94">
        <f t="shared" si="351"/>
        <v>1400000</v>
      </c>
      <c r="BW140" s="94">
        <f t="shared" si="352"/>
        <v>1975000</v>
      </c>
      <c r="BX140" s="94">
        <f t="shared" si="353"/>
        <v>3825000</v>
      </c>
      <c r="BY140" s="94">
        <f t="shared" si="354"/>
        <v>3060000</v>
      </c>
      <c r="BZ140" s="94">
        <f t="shared" si="355"/>
        <v>1530000</v>
      </c>
      <c r="CA140" s="9">
        <f t="shared" si="356"/>
        <v>18148000</v>
      </c>
    </row>
    <row r="141" spans="1:79">
      <c r="A141" s="186"/>
      <c r="B141" s="8"/>
      <c r="C141" s="1" t="s">
        <v>474</v>
      </c>
      <c r="D141" s="41"/>
      <c r="E141" s="4" t="s">
        <v>61</v>
      </c>
      <c r="F141" s="4"/>
      <c r="G141" s="4"/>
      <c r="H141" s="4"/>
      <c r="I141" s="4"/>
      <c r="J141" s="4"/>
      <c r="K141" s="4"/>
      <c r="L141" s="4"/>
      <c r="M141" s="4"/>
      <c r="N141" s="4"/>
      <c r="O141" s="9">
        <f t="shared" si="340"/>
        <v>0</v>
      </c>
      <c r="P141" s="20"/>
      <c r="Q141" s="25"/>
      <c r="R141" s="20"/>
      <c r="S141" s="20"/>
      <c r="T141" s="20"/>
      <c r="U141" s="20"/>
      <c r="V141" s="20"/>
      <c r="W141" s="20"/>
      <c r="X141" s="20"/>
      <c r="Y141" s="21">
        <f t="shared" si="341"/>
        <v>0</v>
      </c>
      <c r="Z141" s="25"/>
      <c r="AA141" s="20"/>
      <c r="AB141" s="20"/>
      <c r="AC141" s="20"/>
      <c r="AD141" s="20"/>
      <c r="AE141" s="20"/>
      <c r="AF141" s="21">
        <f t="shared" si="342"/>
        <v>0</v>
      </c>
      <c r="AG141" s="20"/>
      <c r="AH141" s="20"/>
      <c r="AI141" s="4"/>
      <c r="AJ141" s="22"/>
      <c r="AK141" s="22"/>
      <c r="AL141" s="22"/>
      <c r="AM141" s="22"/>
      <c r="AN141" s="22"/>
      <c r="AO141" s="22"/>
      <c r="AP141" s="9">
        <f t="shared" si="343"/>
        <v>0</v>
      </c>
      <c r="AQ141" s="76"/>
      <c r="AR141" s="76"/>
      <c r="AS141" s="76">
        <v>-200000</v>
      </c>
      <c r="AT141" s="76"/>
      <c r="AU141" s="4"/>
      <c r="AV141" s="4"/>
      <c r="AW141" s="4"/>
      <c r="AX141" s="4"/>
      <c r="AY141" s="4"/>
      <c r="AZ141" s="9">
        <f t="shared" si="344"/>
        <v>-200000</v>
      </c>
      <c r="BA141" s="24"/>
      <c r="BB141" s="20"/>
      <c r="BC141" s="20"/>
      <c r="BD141" s="20"/>
      <c r="BE141" s="20"/>
      <c r="BF141" s="22"/>
      <c r="BG141" s="21">
        <f t="shared" si="345"/>
        <v>0</v>
      </c>
      <c r="BH141" s="25"/>
      <c r="BI141" s="25"/>
      <c r="BJ141" s="25"/>
      <c r="BK141" s="25"/>
      <c r="BL141" s="20"/>
      <c r="BM141" s="20"/>
      <c r="BN141" s="20"/>
      <c r="BO141" s="20"/>
      <c r="BP141" s="20"/>
      <c r="BQ141" s="21">
        <f t="shared" si="346"/>
        <v>0</v>
      </c>
      <c r="BR141" s="4">
        <f t="shared" si="347"/>
        <v>0</v>
      </c>
      <c r="BS141" s="4">
        <f t="shared" si="348"/>
        <v>0</v>
      </c>
      <c r="BT141" s="4">
        <f t="shared" si="349"/>
        <v>-200000</v>
      </c>
      <c r="BU141" s="4">
        <f t="shared" si="350"/>
        <v>0</v>
      </c>
      <c r="BV141" s="94">
        <f t="shared" si="351"/>
        <v>0</v>
      </c>
      <c r="BW141" s="94">
        <f t="shared" si="352"/>
        <v>0</v>
      </c>
      <c r="BX141" s="94">
        <f t="shared" si="353"/>
        <v>0</v>
      </c>
      <c r="BY141" s="94">
        <f t="shared" si="354"/>
        <v>0</v>
      </c>
      <c r="BZ141" s="94">
        <f t="shared" si="355"/>
        <v>0</v>
      </c>
      <c r="CA141" s="9">
        <f t="shared" si="356"/>
        <v>-200000</v>
      </c>
    </row>
    <row r="142" spans="1:79" ht="31.5">
      <c r="A142" s="186"/>
      <c r="B142" s="8">
        <v>9</v>
      </c>
      <c r="C142" s="1" t="s">
        <v>256</v>
      </c>
      <c r="D142" s="4" t="s">
        <v>257</v>
      </c>
      <c r="E142" s="4" t="s">
        <v>61</v>
      </c>
      <c r="F142" s="4"/>
      <c r="G142" s="4">
        <v>298000</v>
      </c>
      <c r="H142" s="4">
        <v>60000</v>
      </c>
      <c r="I142" s="4">
        <v>200000</v>
      </c>
      <c r="J142" s="4"/>
      <c r="K142" s="4"/>
      <c r="L142" s="4"/>
      <c r="M142" s="4"/>
      <c r="N142" s="4"/>
      <c r="O142" s="9">
        <f t="shared" si="340"/>
        <v>558000</v>
      </c>
      <c r="P142" s="20"/>
      <c r="Q142" s="25">
        <v>330800</v>
      </c>
      <c r="R142" s="20"/>
      <c r="S142" s="20">
        <v>450000</v>
      </c>
      <c r="T142" s="20"/>
      <c r="U142" s="20"/>
      <c r="V142" s="20"/>
      <c r="W142" s="20"/>
      <c r="X142" s="20"/>
      <c r="Y142" s="21">
        <f t="shared" si="341"/>
        <v>780800</v>
      </c>
      <c r="Z142" s="25">
        <v>315000</v>
      </c>
      <c r="AA142" s="20">
        <v>105000</v>
      </c>
      <c r="AB142" s="20"/>
      <c r="AC142" s="20"/>
      <c r="AD142" s="20"/>
      <c r="AE142" s="20"/>
      <c r="AF142" s="21">
        <f t="shared" si="342"/>
        <v>420000</v>
      </c>
      <c r="AG142" s="20"/>
      <c r="AH142" s="20"/>
      <c r="AI142" s="20"/>
      <c r="AJ142" s="20"/>
      <c r="AK142" s="20"/>
      <c r="AL142" s="20"/>
      <c r="AM142" s="20"/>
      <c r="AN142" s="20"/>
      <c r="AO142" s="20"/>
      <c r="AP142" s="9">
        <f t="shared" si="343"/>
        <v>0</v>
      </c>
      <c r="AQ142" s="4"/>
      <c r="AR142" s="72"/>
      <c r="AS142" s="4"/>
      <c r="AT142" s="4"/>
      <c r="AU142" s="4"/>
      <c r="AV142" s="4"/>
      <c r="AW142" s="4"/>
      <c r="AX142" s="4"/>
      <c r="AY142" s="4"/>
      <c r="AZ142" s="9">
        <f t="shared" si="344"/>
        <v>0</v>
      </c>
      <c r="BA142" s="25"/>
      <c r="BB142" s="20"/>
      <c r="BC142" s="20"/>
      <c r="BD142" s="20"/>
      <c r="BE142" s="20"/>
      <c r="BF142" s="20"/>
      <c r="BG142" s="21">
        <f t="shared" si="345"/>
        <v>0</v>
      </c>
      <c r="BH142" s="25"/>
      <c r="BI142" s="25"/>
      <c r="BJ142" s="25"/>
      <c r="BK142" s="25"/>
      <c r="BL142" s="20"/>
      <c r="BM142" s="20"/>
      <c r="BN142" s="20"/>
      <c r="BO142" s="20"/>
      <c r="BP142" s="20"/>
      <c r="BQ142" s="21">
        <f t="shared" si="346"/>
        <v>0</v>
      </c>
      <c r="BR142" s="4">
        <f t="shared" si="347"/>
        <v>0</v>
      </c>
      <c r="BS142" s="4">
        <f t="shared" si="348"/>
        <v>628800</v>
      </c>
      <c r="BT142" s="4">
        <f t="shared" si="349"/>
        <v>60000</v>
      </c>
      <c r="BU142" s="4">
        <f t="shared" si="350"/>
        <v>965000</v>
      </c>
      <c r="BV142" s="94">
        <f t="shared" si="351"/>
        <v>105000</v>
      </c>
      <c r="BW142" s="94">
        <f t="shared" si="352"/>
        <v>0</v>
      </c>
      <c r="BX142" s="94">
        <f t="shared" si="353"/>
        <v>0</v>
      </c>
      <c r="BY142" s="94">
        <f t="shared" si="354"/>
        <v>0</v>
      </c>
      <c r="BZ142" s="94">
        <f t="shared" si="355"/>
        <v>0</v>
      </c>
      <c r="CA142" s="9">
        <f t="shared" si="356"/>
        <v>1758800</v>
      </c>
    </row>
    <row r="143" spans="1:79" ht="31.5">
      <c r="A143" s="186"/>
      <c r="B143" s="8">
        <v>10</v>
      </c>
      <c r="C143" s="1" t="s">
        <v>259</v>
      </c>
      <c r="D143" s="4" t="s">
        <v>260</v>
      </c>
      <c r="E143" s="4" t="s">
        <v>61</v>
      </c>
      <c r="F143" s="4">
        <v>155000</v>
      </c>
      <c r="G143" s="4">
        <v>789000</v>
      </c>
      <c r="H143" s="4">
        <f>71500+71500</f>
        <v>143000</v>
      </c>
      <c r="I143" s="4">
        <f>100000+120000+20000</f>
        <v>240000</v>
      </c>
      <c r="J143" s="4"/>
      <c r="K143" s="4"/>
      <c r="L143" s="4"/>
      <c r="M143" s="4"/>
      <c r="N143" s="4"/>
      <c r="O143" s="9">
        <f t="shared" si="340"/>
        <v>1327000</v>
      </c>
      <c r="P143" s="20"/>
      <c r="Q143" s="25">
        <v>1145600</v>
      </c>
      <c r="R143" s="25">
        <v>916650</v>
      </c>
      <c r="S143" s="20"/>
      <c r="T143" s="20"/>
      <c r="U143" s="20"/>
      <c r="V143" s="20"/>
      <c r="W143" s="20"/>
      <c r="X143" s="20"/>
      <c r="Y143" s="21">
        <f t="shared" si="341"/>
        <v>2062250</v>
      </c>
      <c r="Z143" s="25">
        <v>1155000</v>
      </c>
      <c r="AA143" s="20">
        <f>105000+315000+315000+315000+210000</f>
        <v>1260000</v>
      </c>
      <c r="AB143" s="20">
        <f>632574+1061188+156000</f>
        <v>1849762</v>
      </c>
      <c r="AC143" s="20">
        <v>1816511</v>
      </c>
      <c r="AD143" s="20">
        <v>1716000</v>
      </c>
      <c r="AE143" s="175">
        <v>1092000</v>
      </c>
      <c r="AF143" s="21">
        <f t="shared" si="342"/>
        <v>8889273</v>
      </c>
      <c r="AG143" s="20"/>
      <c r="AH143" s="20"/>
      <c r="AI143" s="20"/>
      <c r="AJ143" s="20"/>
      <c r="AK143" s="20"/>
      <c r="AL143" s="20"/>
      <c r="AM143" s="20"/>
      <c r="AN143" s="20"/>
      <c r="AO143" s="20"/>
      <c r="AP143" s="9">
        <f t="shared" si="343"/>
        <v>0</v>
      </c>
      <c r="AQ143" s="4"/>
      <c r="AR143" s="72"/>
      <c r="AS143" s="4"/>
      <c r="AT143" s="4"/>
      <c r="AU143" s="4"/>
      <c r="AV143" s="4"/>
      <c r="AW143" s="4"/>
      <c r="AX143" s="4"/>
      <c r="AY143" s="4"/>
      <c r="AZ143" s="9">
        <f t="shared" si="344"/>
        <v>0</v>
      </c>
      <c r="BA143" s="25"/>
      <c r="BB143" s="20"/>
      <c r="BC143" s="20"/>
      <c r="BD143" s="20"/>
      <c r="BE143" s="20"/>
      <c r="BF143" s="20"/>
      <c r="BG143" s="21">
        <f t="shared" si="345"/>
        <v>0</v>
      </c>
      <c r="BH143" s="25"/>
      <c r="BI143" s="25"/>
      <c r="BJ143" s="25">
        <v>100000</v>
      </c>
      <c r="BK143" s="25"/>
      <c r="BL143" s="20"/>
      <c r="BM143" s="20"/>
      <c r="BN143" s="20"/>
      <c r="BO143" s="20"/>
      <c r="BP143" s="20"/>
      <c r="BQ143" s="21">
        <f t="shared" si="346"/>
        <v>100000</v>
      </c>
      <c r="BR143" s="4">
        <f t="shared" si="347"/>
        <v>155000</v>
      </c>
      <c r="BS143" s="4">
        <f t="shared" si="348"/>
        <v>1934600</v>
      </c>
      <c r="BT143" s="4">
        <f t="shared" si="349"/>
        <v>1159650</v>
      </c>
      <c r="BU143" s="4">
        <f t="shared" si="350"/>
        <v>1395000</v>
      </c>
      <c r="BV143" s="94">
        <f t="shared" si="351"/>
        <v>1260000</v>
      </c>
      <c r="BW143" s="94">
        <f t="shared" si="352"/>
        <v>1849762</v>
      </c>
      <c r="BX143" s="94">
        <f t="shared" si="353"/>
        <v>1816511</v>
      </c>
      <c r="BY143" s="94">
        <f t="shared" si="354"/>
        <v>1716000</v>
      </c>
      <c r="BZ143" s="94">
        <f t="shared" si="355"/>
        <v>1092000</v>
      </c>
      <c r="CA143" s="9">
        <f t="shared" si="356"/>
        <v>12378523</v>
      </c>
    </row>
    <row r="144" spans="1:79" ht="31.5">
      <c r="A144" s="186"/>
      <c r="B144" s="8">
        <v>11</v>
      </c>
      <c r="C144" s="1" t="s">
        <v>259</v>
      </c>
      <c r="D144" s="4" t="s">
        <v>246</v>
      </c>
      <c r="E144" s="4" t="s">
        <v>61</v>
      </c>
      <c r="F144" s="4"/>
      <c r="G144" s="4"/>
      <c r="H144" s="4">
        <f>155000+453000</f>
        <v>608000</v>
      </c>
      <c r="I144" s="4"/>
      <c r="J144" s="4"/>
      <c r="K144" s="4"/>
      <c r="L144" s="4"/>
      <c r="M144" s="4"/>
      <c r="N144" s="4"/>
      <c r="O144" s="9">
        <f t="shared" si="340"/>
        <v>608000</v>
      </c>
      <c r="P144" s="20"/>
      <c r="Q144" s="20"/>
      <c r="R144" s="20"/>
      <c r="S144" s="20">
        <v>180000</v>
      </c>
      <c r="T144" s="20"/>
      <c r="U144" s="20"/>
      <c r="V144" s="20"/>
      <c r="W144" s="20"/>
      <c r="X144" s="20"/>
      <c r="Y144" s="21">
        <f t="shared" si="341"/>
        <v>180000</v>
      </c>
      <c r="Z144" s="25"/>
      <c r="AA144" s="20"/>
      <c r="AB144" s="20"/>
      <c r="AC144" s="20"/>
      <c r="AD144" s="20"/>
      <c r="AE144" s="20"/>
      <c r="AF144" s="21">
        <f t="shared" si="342"/>
        <v>0</v>
      </c>
      <c r="AG144" s="20"/>
      <c r="AH144" s="20"/>
      <c r="AI144" s="20"/>
      <c r="AJ144" s="20"/>
      <c r="AK144" s="20"/>
      <c r="AL144" s="20"/>
      <c r="AM144" s="20"/>
      <c r="AN144" s="20"/>
      <c r="AO144" s="20"/>
      <c r="AP144" s="9">
        <f t="shared" si="343"/>
        <v>0</v>
      </c>
      <c r="AQ144" s="4"/>
      <c r="AR144" s="72"/>
      <c r="AS144" s="4"/>
      <c r="AT144" s="4"/>
      <c r="AU144" s="4"/>
      <c r="AV144" s="4"/>
      <c r="AW144" s="4"/>
      <c r="AX144" s="4"/>
      <c r="AY144" s="4"/>
      <c r="AZ144" s="9">
        <f t="shared" si="344"/>
        <v>0</v>
      </c>
      <c r="BA144" s="25"/>
      <c r="BB144" s="20"/>
      <c r="BC144" s="20"/>
      <c r="BD144" s="20"/>
      <c r="BE144" s="20"/>
      <c r="BF144" s="20"/>
      <c r="BG144" s="21">
        <f t="shared" si="345"/>
        <v>0</v>
      </c>
      <c r="BH144" s="25"/>
      <c r="BI144" s="25"/>
      <c r="BJ144" s="25"/>
      <c r="BK144" s="25"/>
      <c r="BL144" s="20"/>
      <c r="BM144" s="20"/>
      <c r="BN144" s="20"/>
      <c r="BO144" s="20"/>
      <c r="BP144" s="20"/>
      <c r="BQ144" s="21">
        <f t="shared" si="346"/>
        <v>0</v>
      </c>
      <c r="BR144" s="4">
        <f t="shared" si="347"/>
        <v>0</v>
      </c>
      <c r="BS144" s="4">
        <f t="shared" si="348"/>
        <v>0</v>
      </c>
      <c r="BT144" s="4">
        <f t="shared" si="349"/>
        <v>608000</v>
      </c>
      <c r="BU144" s="4">
        <f t="shared" si="350"/>
        <v>180000</v>
      </c>
      <c r="BV144" s="94">
        <f t="shared" si="351"/>
        <v>0</v>
      </c>
      <c r="BW144" s="94">
        <f t="shared" si="352"/>
        <v>0</v>
      </c>
      <c r="BX144" s="94">
        <f t="shared" si="353"/>
        <v>0</v>
      </c>
      <c r="BY144" s="94">
        <f t="shared" si="354"/>
        <v>0</v>
      </c>
      <c r="BZ144" s="94">
        <f t="shared" si="355"/>
        <v>0</v>
      </c>
      <c r="CA144" s="9">
        <f t="shared" si="356"/>
        <v>788000</v>
      </c>
    </row>
    <row r="145" spans="1:79">
      <c r="A145" s="186"/>
      <c r="B145" s="8">
        <v>12</v>
      </c>
      <c r="C145" s="42" t="s">
        <v>261</v>
      </c>
      <c r="D145" s="43" t="s">
        <v>262</v>
      </c>
      <c r="E145" s="4" t="s">
        <v>61</v>
      </c>
      <c r="F145" s="4"/>
      <c r="G145" s="4"/>
      <c r="H145" s="4"/>
      <c r="I145" s="4"/>
      <c r="J145" s="4"/>
      <c r="K145" s="4"/>
      <c r="L145" s="4"/>
      <c r="M145" s="4"/>
      <c r="N145" s="4"/>
      <c r="O145" s="9">
        <f t="shared" si="340"/>
        <v>0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1">
        <f t="shared" si="341"/>
        <v>0</v>
      </c>
      <c r="Z145" s="25"/>
      <c r="AA145" s="20"/>
      <c r="AB145" s="20"/>
      <c r="AC145" s="20"/>
      <c r="AD145" s="20"/>
      <c r="AE145" s="20"/>
      <c r="AF145" s="21">
        <f t="shared" si="342"/>
        <v>0</v>
      </c>
      <c r="AG145" s="20"/>
      <c r="AH145" s="20"/>
      <c r="AI145" s="4">
        <v>290000</v>
      </c>
      <c r="AJ145" s="20">
        <v>1080000</v>
      </c>
      <c r="AK145" s="20">
        <f>225000+225000+225000+225000+150000</f>
        <v>1050000</v>
      </c>
      <c r="AL145" s="20">
        <f>1965000+630000</f>
        <v>2595000</v>
      </c>
      <c r="AM145" s="20">
        <f>210000+420000+630000+210000+210000+420000+210000</f>
        <v>2310000</v>
      </c>
      <c r="AN145" s="4">
        <f>630000+210000+210000+210000+210000+420000+630000</f>
        <v>2520000</v>
      </c>
      <c r="AO145" s="4">
        <v>1470000</v>
      </c>
      <c r="AP145" s="9">
        <f t="shared" si="343"/>
        <v>11315000</v>
      </c>
      <c r="AQ145" s="4"/>
      <c r="AR145" s="72"/>
      <c r="AS145" s="4"/>
      <c r="AT145" s="4"/>
      <c r="AU145" s="4"/>
      <c r="AV145" s="4"/>
      <c r="AW145" s="4"/>
      <c r="AX145" s="4"/>
      <c r="AY145" s="4"/>
      <c r="AZ145" s="9">
        <f t="shared" si="344"/>
        <v>0</v>
      </c>
      <c r="BA145" s="25"/>
      <c r="BB145" s="20"/>
      <c r="BC145" s="20"/>
      <c r="BD145" s="20"/>
      <c r="BE145" s="20"/>
      <c r="BF145" s="4"/>
      <c r="BG145" s="21">
        <f t="shared" si="345"/>
        <v>0</v>
      </c>
      <c r="BH145" s="25"/>
      <c r="BI145" s="25"/>
      <c r="BJ145" s="25"/>
      <c r="BK145" s="25"/>
      <c r="BL145" s="20"/>
      <c r="BM145" s="20"/>
      <c r="BN145" s="20"/>
      <c r="BO145" s="20"/>
      <c r="BP145" s="20"/>
      <c r="BQ145" s="21">
        <f t="shared" si="346"/>
        <v>0</v>
      </c>
      <c r="BR145" s="4">
        <f t="shared" si="347"/>
        <v>0</v>
      </c>
      <c r="BS145" s="4">
        <f t="shared" si="348"/>
        <v>0</v>
      </c>
      <c r="BT145" s="4">
        <f t="shared" si="349"/>
        <v>290000</v>
      </c>
      <c r="BU145" s="4">
        <f t="shared" si="350"/>
        <v>1080000</v>
      </c>
      <c r="BV145" s="94">
        <f t="shared" si="351"/>
        <v>1050000</v>
      </c>
      <c r="BW145" s="94">
        <f t="shared" si="352"/>
        <v>2310000</v>
      </c>
      <c r="BX145" s="94">
        <f t="shared" si="353"/>
        <v>2310000</v>
      </c>
      <c r="BY145" s="94">
        <f t="shared" si="354"/>
        <v>1470000</v>
      </c>
      <c r="BZ145" s="94">
        <f t="shared" si="355"/>
        <v>1470000</v>
      </c>
      <c r="CA145" s="9">
        <f t="shared" si="356"/>
        <v>9980000</v>
      </c>
    </row>
    <row r="146" spans="1:79">
      <c r="A146" s="186"/>
      <c r="B146" s="8">
        <v>13</v>
      </c>
      <c r="C146" s="44" t="s">
        <v>263</v>
      </c>
      <c r="D146" s="45" t="s">
        <v>264</v>
      </c>
      <c r="E146" s="4" t="s">
        <v>61</v>
      </c>
      <c r="F146" s="4"/>
      <c r="G146" s="4"/>
      <c r="H146" s="4"/>
      <c r="I146" s="4"/>
      <c r="J146" s="4"/>
      <c r="K146" s="4"/>
      <c r="L146" s="4"/>
      <c r="M146" s="4"/>
      <c r="N146" s="4"/>
      <c r="O146" s="9">
        <f t="shared" si="340"/>
        <v>0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1">
        <f t="shared" si="341"/>
        <v>0</v>
      </c>
      <c r="Z146" s="25"/>
      <c r="AA146" s="20"/>
      <c r="AB146" s="20"/>
      <c r="AC146" s="20"/>
      <c r="AD146" s="20"/>
      <c r="AE146" s="20"/>
      <c r="AF146" s="21">
        <f t="shared" si="342"/>
        <v>0</v>
      </c>
      <c r="AG146" s="20"/>
      <c r="AH146" s="20"/>
      <c r="AI146" s="20"/>
      <c r="AJ146" s="20"/>
      <c r="AK146" s="20"/>
      <c r="AL146" s="20"/>
      <c r="AM146" s="20"/>
      <c r="AN146" s="20"/>
      <c r="AO146" s="20"/>
      <c r="AP146" s="9">
        <f t="shared" si="343"/>
        <v>0</v>
      </c>
      <c r="AQ146" s="76"/>
      <c r="AR146" s="76"/>
      <c r="AS146" s="76">
        <v>430000</v>
      </c>
      <c r="AT146" s="76">
        <v>250000</v>
      </c>
      <c r="AU146" s="4">
        <f>890000+225000+225000+225000+150000</f>
        <v>1715000</v>
      </c>
      <c r="AV146" s="4">
        <f>1665000+570000</f>
        <v>2235000</v>
      </c>
      <c r="AW146" s="4">
        <f>800000+400000+200000+200000+390000+200000+200000</f>
        <v>2390000</v>
      </c>
      <c r="AX146" s="4">
        <f>400000+200000+200000+200000+200000+390000+580000</f>
        <v>2170000</v>
      </c>
      <c r="AY146" s="4">
        <v>1600000</v>
      </c>
      <c r="AZ146" s="9">
        <f t="shared" si="344"/>
        <v>10790000</v>
      </c>
      <c r="BA146" s="25"/>
      <c r="BB146" s="20"/>
      <c r="BC146" s="20"/>
      <c r="BD146" s="20"/>
      <c r="BE146" s="20"/>
      <c r="BF146" s="20"/>
      <c r="BG146" s="21">
        <f t="shared" si="345"/>
        <v>0</v>
      </c>
      <c r="BH146" s="25"/>
      <c r="BI146" s="25"/>
      <c r="BJ146" s="25"/>
      <c r="BK146" s="25"/>
      <c r="BL146" s="20"/>
      <c r="BM146" s="20"/>
      <c r="BN146" s="20"/>
      <c r="BO146" s="20"/>
      <c r="BP146" s="20"/>
      <c r="BQ146" s="21">
        <f t="shared" si="346"/>
        <v>0</v>
      </c>
      <c r="BR146" s="4">
        <f t="shared" si="347"/>
        <v>0</v>
      </c>
      <c r="BS146" s="4">
        <f t="shared" si="348"/>
        <v>0</v>
      </c>
      <c r="BT146" s="4">
        <f t="shared" si="349"/>
        <v>430000</v>
      </c>
      <c r="BU146" s="4">
        <f t="shared" si="350"/>
        <v>250000</v>
      </c>
      <c r="BV146" s="94">
        <f t="shared" si="351"/>
        <v>1715000</v>
      </c>
      <c r="BW146" s="94">
        <f t="shared" si="352"/>
        <v>2235000</v>
      </c>
      <c r="BX146" s="94">
        <f t="shared" si="353"/>
        <v>2390000</v>
      </c>
      <c r="BY146" s="94">
        <f t="shared" si="354"/>
        <v>2170000</v>
      </c>
      <c r="BZ146" s="94">
        <f t="shared" si="355"/>
        <v>1600000</v>
      </c>
      <c r="CA146" s="9">
        <f t="shared" si="356"/>
        <v>10790000</v>
      </c>
    </row>
    <row r="147" spans="1:79">
      <c r="A147" s="186"/>
      <c r="B147" s="8">
        <v>14</v>
      </c>
      <c r="C147" s="40" t="s">
        <v>265</v>
      </c>
      <c r="D147" s="47" t="s">
        <v>266</v>
      </c>
      <c r="E147" s="4" t="s">
        <v>61</v>
      </c>
      <c r="F147" s="4"/>
      <c r="G147" s="4"/>
      <c r="H147" s="4"/>
      <c r="I147" s="4"/>
      <c r="J147" s="4"/>
      <c r="K147" s="4"/>
      <c r="L147" s="4"/>
      <c r="M147" s="4"/>
      <c r="N147" s="4"/>
      <c r="O147" s="9">
        <f t="shared" si="340"/>
        <v>0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1">
        <f t="shared" si="341"/>
        <v>0</v>
      </c>
      <c r="Z147" s="25"/>
      <c r="AA147" s="20"/>
      <c r="AB147" s="20"/>
      <c r="AC147" s="20"/>
      <c r="AD147" s="20"/>
      <c r="AE147" s="20"/>
      <c r="AF147" s="21">
        <f t="shared" si="342"/>
        <v>0</v>
      </c>
      <c r="AG147" s="20"/>
      <c r="AH147" s="20"/>
      <c r="AI147" s="20"/>
      <c r="AJ147" s="20"/>
      <c r="AK147" s="20"/>
      <c r="AL147" s="20"/>
      <c r="AM147" s="20"/>
      <c r="AN147" s="20"/>
      <c r="AO147" s="20"/>
      <c r="AP147" s="9">
        <f t="shared" si="343"/>
        <v>0</v>
      </c>
      <c r="AQ147" s="76"/>
      <c r="AR147" s="76">
        <v>1890000</v>
      </c>
      <c r="AS147" s="76">
        <v>200000</v>
      </c>
      <c r="AT147" s="76"/>
      <c r="AU147" s="4"/>
      <c r="AV147" s="4"/>
      <c r="AW147" s="4">
        <f>975000+400000+200000</f>
        <v>1575000</v>
      </c>
      <c r="AX147" s="4">
        <f>400000+200000+200000+200000+200000+400000+600000</f>
        <v>2200000</v>
      </c>
      <c r="AY147" s="4">
        <v>1400000</v>
      </c>
      <c r="AZ147" s="9">
        <f t="shared" si="344"/>
        <v>7265000</v>
      </c>
      <c r="BA147" s="25"/>
      <c r="BB147" s="20"/>
      <c r="BC147" s="20"/>
      <c r="BD147" s="20"/>
      <c r="BE147" s="20"/>
      <c r="BF147" s="20"/>
      <c r="BG147" s="21">
        <f t="shared" si="345"/>
        <v>0</v>
      </c>
      <c r="BH147" s="25"/>
      <c r="BI147" s="25"/>
      <c r="BJ147" s="25">
        <v>100000</v>
      </c>
      <c r="BK147" s="25"/>
      <c r="BL147" s="20"/>
      <c r="BM147" s="20"/>
      <c r="BN147" s="20"/>
      <c r="BO147" s="20"/>
      <c r="BP147" s="20"/>
      <c r="BQ147" s="21">
        <f t="shared" si="346"/>
        <v>100000</v>
      </c>
      <c r="BR147" s="4">
        <f t="shared" si="347"/>
        <v>0</v>
      </c>
      <c r="BS147" s="4">
        <f t="shared" si="348"/>
        <v>1890000</v>
      </c>
      <c r="BT147" s="4">
        <f t="shared" si="349"/>
        <v>300000</v>
      </c>
      <c r="BU147" s="4">
        <f t="shared" si="350"/>
        <v>0</v>
      </c>
      <c r="BV147" s="94">
        <f t="shared" si="351"/>
        <v>0</v>
      </c>
      <c r="BW147" s="94">
        <f t="shared" si="352"/>
        <v>0</v>
      </c>
      <c r="BX147" s="94">
        <f t="shared" si="353"/>
        <v>1575000</v>
      </c>
      <c r="BY147" s="94">
        <f t="shared" si="354"/>
        <v>2200000</v>
      </c>
      <c r="BZ147" s="94">
        <f t="shared" si="355"/>
        <v>1400000</v>
      </c>
      <c r="CA147" s="9">
        <f t="shared" si="356"/>
        <v>7365000</v>
      </c>
    </row>
    <row r="148" spans="1:79" ht="31.5">
      <c r="A148" s="187"/>
      <c r="B148" s="8">
        <v>15</v>
      </c>
      <c r="C148" s="1" t="s">
        <v>267</v>
      </c>
      <c r="D148" s="4" t="s">
        <v>268</v>
      </c>
      <c r="E148" s="4" t="s">
        <v>61</v>
      </c>
      <c r="F148" s="4"/>
      <c r="G148" s="4">
        <v>776500</v>
      </c>
      <c r="H148" s="4">
        <f>82500+159500+341000</f>
        <v>583000</v>
      </c>
      <c r="I148" s="4">
        <v>100000</v>
      </c>
      <c r="J148" s="4"/>
      <c r="K148" s="4"/>
      <c r="L148" s="4"/>
      <c r="M148" s="4"/>
      <c r="N148" s="4"/>
      <c r="O148" s="9">
        <f t="shared" si="340"/>
        <v>1459500</v>
      </c>
      <c r="P148" s="20"/>
      <c r="Q148" s="25">
        <v>898250</v>
      </c>
      <c r="R148" s="25">
        <v>572300</v>
      </c>
      <c r="S148" s="25">
        <v>150000</v>
      </c>
      <c r="T148" s="20"/>
      <c r="U148" s="20"/>
      <c r="V148" s="20"/>
      <c r="W148" s="20"/>
      <c r="X148" s="20"/>
      <c r="Y148" s="21">
        <f t="shared" si="341"/>
        <v>1620550</v>
      </c>
      <c r="Z148" s="25"/>
      <c r="AA148" s="20"/>
      <c r="AB148" s="20"/>
      <c r="AC148" s="20"/>
      <c r="AD148" s="20"/>
      <c r="AE148" s="20"/>
      <c r="AF148" s="21">
        <f t="shared" si="342"/>
        <v>0</v>
      </c>
      <c r="AG148" s="20"/>
      <c r="AH148" s="20"/>
      <c r="AI148" s="20"/>
      <c r="AJ148" s="20"/>
      <c r="AK148" s="20"/>
      <c r="AL148" s="20"/>
      <c r="AM148" s="20"/>
      <c r="AN148" s="20"/>
      <c r="AO148" s="20"/>
      <c r="AP148" s="9">
        <f t="shared" si="343"/>
        <v>0</v>
      </c>
      <c r="AQ148" s="76"/>
      <c r="AR148" s="76">
        <v>1510000</v>
      </c>
      <c r="AS148" s="76">
        <v>1530000</v>
      </c>
      <c r="AT148" s="76">
        <f>(250000)-140000</f>
        <v>110000</v>
      </c>
      <c r="AU148" s="4"/>
      <c r="AV148" s="4"/>
      <c r="AW148" s="4"/>
      <c r="AX148" s="4"/>
      <c r="AY148" s="4"/>
      <c r="AZ148" s="9">
        <f t="shared" si="344"/>
        <v>3150000</v>
      </c>
      <c r="BA148" s="25"/>
      <c r="BB148" s="20"/>
      <c r="BC148" s="20"/>
      <c r="BD148" s="20"/>
      <c r="BE148" s="20"/>
      <c r="BF148" s="20"/>
      <c r="BG148" s="21">
        <f t="shared" si="345"/>
        <v>0</v>
      </c>
      <c r="BH148" s="25"/>
      <c r="BI148" s="25"/>
      <c r="BJ148" s="25"/>
      <c r="BK148" s="25"/>
      <c r="BL148" s="20"/>
      <c r="BM148" s="20"/>
      <c r="BN148" s="20"/>
      <c r="BO148" s="20"/>
      <c r="BP148" s="20"/>
      <c r="BQ148" s="21">
        <f t="shared" si="346"/>
        <v>0</v>
      </c>
      <c r="BR148" s="4">
        <f t="shared" si="347"/>
        <v>0</v>
      </c>
      <c r="BS148" s="4">
        <f t="shared" si="348"/>
        <v>3184750</v>
      </c>
      <c r="BT148" s="4">
        <f t="shared" si="349"/>
        <v>2685300</v>
      </c>
      <c r="BU148" s="4">
        <f t="shared" si="350"/>
        <v>360000</v>
      </c>
      <c r="BV148" s="94">
        <f t="shared" si="351"/>
        <v>0</v>
      </c>
      <c r="BW148" s="94">
        <f t="shared" si="352"/>
        <v>0</v>
      </c>
      <c r="BX148" s="94">
        <f t="shared" si="353"/>
        <v>0</v>
      </c>
      <c r="BY148" s="94">
        <f t="shared" si="354"/>
        <v>0</v>
      </c>
      <c r="BZ148" s="94">
        <f t="shared" si="355"/>
        <v>0</v>
      </c>
      <c r="CA148" s="9">
        <f t="shared" si="356"/>
        <v>6230050</v>
      </c>
    </row>
    <row r="149" spans="1:79" s="38" customFormat="1">
      <c r="A149" s="34"/>
      <c r="B149" s="85"/>
      <c r="C149" s="35" t="s">
        <v>269</v>
      </c>
      <c r="D149" s="37"/>
      <c r="E149" s="37"/>
      <c r="F149" s="37">
        <f>SUM(F133:F148)</f>
        <v>310000</v>
      </c>
      <c r="G149" s="37">
        <f t="shared" ref="G149:CA149" si="357">SUM(G133:G148)</f>
        <v>1863500</v>
      </c>
      <c r="H149" s="37">
        <f t="shared" si="357"/>
        <v>2550000</v>
      </c>
      <c r="I149" s="37">
        <f t="shared" si="357"/>
        <v>540000</v>
      </c>
      <c r="J149" s="37">
        <f t="shared" si="357"/>
        <v>0</v>
      </c>
      <c r="K149" s="37">
        <f t="shared" si="357"/>
        <v>0</v>
      </c>
      <c r="L149" s="37">
        <f t="shared" si="357"/>
        <v>0</v>
      </c>
      <c r="M149" s="37">
        <f t="shared" si="357"/>
        <v>0</v>
      </c>
      <c r="N149" s="37">
        <f t="shared" si="357"/>
        <v>0</v>
      </c>
      <c r="O149" s="37">
        <f t="shared" si="357"/>
        <v>5263500</v>
      </c>
      <c r="P149" s="37">
        <f t="shared" ref="P149:AP149" si="358">SUM(P133:P148)</f>
        <v>195000</v>
      </c>
      <c r="Q149" s="37">
        <f t="shared" si="358"/>
        <v>4428900</v>
      </c>
      <c r="R149" s="37">
        <f t="shared" si="358"/>
        <v>2370400</v>
      </c>
      <c r="S149" s="37">
        <f t="shared" si="358"/>
        <v>1979000</v>
      </c>
      <c r="T149" s="37">
        <f t="shared" si="358"/>
        <v>490000</v>
      </c>
      <c r="U149" s="37">
        <f t="shared" si="358"/>
        <v>1912175</v>
      </c>
      <c r="V149" s="37">
        <f t="shared" si="358"/>
        <v>1629600</v>
      </c>
      <c r="W149" s="37">
        <f t="shared" si="358"/>
        <v>1746000</v>
      </c>
      <c r="X149" s="37">
        <f t="shared" si="358"/>
        <v>1144600</v>
      </c>
      <c r="Y149" s="37">
        <f t="shared" si="358"/>
        <v>15895675</v>
      </c>
      <c r="Z149" s="37">
        <f t="shared" si="358"/>
        <v>1470000</v>
      </c>
      <c r="AA149" s="37">
        <f t="shared" si="358"/>
        <v>1365000</v>
      </c>
      <c r="AB149" s="37">
        <f t="shared" si="358"/>
        <v>1849762</v>
      </c>
      <c r="AC149" s="37">
        <f t="shared" si="358"/>
        <v>1816511</v>
      </c>
      <c r="AD149" s="37">
        <f t="shared" si="358"/>
        <v>1716000</v>
      </c>
      <c r="AE149" s="37">
        <f t="shared" si="358"/>
        <v>1092000</v>
      </c>
      <c r="AF149" s="37">
        <f t="shared" si="358"/>
        <v>9309273</v>
      </c>
      <c r="AG149" s="37">
        <f t="shared" si="358"/>
        <v>290000</v>
      </c>
      <c r="AH149" s="37">
        <f t="shared" si="358"/>
        <v>4111000</v>
      </c>
      <c r="AI149" s="37">
        <f t="shared" si="358"/>
        <v>3218000</v>
      </c>
      <c r="AJ149" s="37">
        <f t="shared" si="358"/>
        <v>2400000</v>
      </c>
      <c r="AK149" s="37">
        <f t="shared" si="358"/>
        <v>1050000</v>
      </c>
      <c r="AL149" s="37">
        <f t="shared" si="358"/>
        <v>2595000</v>
      </c>
      <c r="AM149" s="37">
        <f t="shared" si="358"/>
        <v>2310000</v>
      </c>
      <c r="AN149" s="37">
        <f t="shared" si="358"/>
        <v>2520000</v>
      </c>
      <c r="AO149" s="37">
        <f t="shared" si="358"/>
        <v>1470000</v>
      </c>
      <c r="AP149" s="37">
        <f t="shared" si="358"/>
        <v>19964000</v>
      </c>
      <c r="AQ149" s="37">
        <f t="shared" si="357"/>
        <v>870000</v>
      </c>
      <c r="AR149" s="37">
        <f t="shared" si="357"/>
        <v>8410000</v>
      </c>
      <c r="AS149" s="37">
        <f t="shared" si="357"/>
        <v>8610000</v>
      </c>
      <c r="AT149" s="37">
        <f t="shared" si="357"/>
        <v>1010000</v>
      </c>
      <c r="AU149" s="37">
        <f t="shared" si="357"/>
        <v>1715000</v>
      </c>
      <c r="AV149" s="37">
        <f t="shared" si="357"/>
        <v>2235000</v>
      </c>
      <c r="AW149" s="37">
        <f t="shared" si="357"/>
        <v>3965000</v>
      </c>
      <c r="AX149" s="37">
        <f t="shared" si="357"/>
        <v>5900000</v>
      </c>
      <c r="AY149" s="37">
        <f t="shared" si="357"/>
        <v>4600000</v>
      </c>
      <c r="AZ149" s="37">
        <f t="shared" si="357"/>
        <v>37315000</v>
      </c>
      <c r="BA149" s="37">
        <f t="shared" si="357"/>
        <v>1800000</v>
      </c>
      <c r="BB149" s="37">
        <f t="shared" si="357"/>
        <v>2800000</v>
      </c>
      <c r="BC149" s="37">
        <f t="shared" si="357"/>
        <v>6231500</v>
      </c>
      <c r="BD149" s="37">
        <f t="shared" si="357"/>
        <v>9690000</v>
      </c>
      <c r="BE149" s="37">
        <f t="shared" si="357"/>
        <v>9180000</v>
      </c>
      <c r="BF149" s="37">
        <f t="shared" si="357"/>
        <v>5610000</v>
      </c>
      <c r="BG149" s="37">
        <f t="shared" si="357"/>
        <v>35311500</v>
      </c>
      <c r="BH149" s="37">
        <f t="shared" si="357"/>
        <v>0</v>
      </c>
      <c r="BI149" s="37">
        <f t="shared" si="357"/>
        <v>757600</v>
      </c>
      <c r="BJ149" s="37">
        <f t="shared" si="357"/>
        <v>1262000</v>
      </c>
      <c r="BK149" s="37">
        <f t="shared" si="357"/>
        <v>120000</v>
      </c>
      <c r="BL149" s="37">
        <f t="shared" si="357"/>
        <v>0</v>
      </c>
      <c r="BM149" s="37">
        <f t="shared" si="357"/>
        <v>0</v>
      </c>
      <c r="BN149" s="37">
        <f t="shared" si="357"/>
        <v>0</v>
      </c>
      <c r="BO149" s="37">
        <f t="shared" si="357"/>
        <v>0</v>
      </c>
      <c r="BP149" s="37">
        <f t="shared" si="357"/>
        <v>0</v>
      </c>
      <c r="BQ149" s="37">
        <f t="shared" si="357"/>
        <v>2139600</v>
      </c>
      <c r="BR149" s="37">
        <f t="shared" si="357"/>
        <v>1665000</v>
      </c>
      <c r="BS149" s="37">
        <f t="shared" si="357"/>
        <v>19571000</v>
      </c>
      <c r="BT149" s="37">
        <f t="shared" si="357"/>
        <v>18010400</v>
      </c>
      <c r="BU149" s="37">
        <f t="shared" si="357"/>
        <v>9319000</v>
      </c>
      <c r="BV149" s="37">
        <f t="shared" si="357"/>
        <v>7420000</v>
      </c>
      <c r="BW149" s="37">
        <f t="shared" si="357"/>
        <v>14538437</v>
      </c>
      <c r="BX149" s="37">
        <f t="shared" si="357"/>
        <v>19411111</v>
      </c>
      <c r="BY149" s="37">
        <f t="shared" si="357"/>
        <v>20012000</v>
      </c>
      <c r="BZ149" s="144">
        <f>SUM(BZ133:BZ148)</f>
        <v>13916600</v>
      </c>
      <c r="CA149" s="37">
        <f t="shared" si="357"/>
        <v>123863548</v>
      </c>
    </row>
    <row r="150" spans="1:79">
      <c r="A150" s="185" t="s">
        <v>38</v>
      </c>
      <c r="B150" s="8">
        <v>1</v>
      </c>
      <c r="C150" s="1" t="s">
        <v>1</v>
      </c>
      <c r="D150" s="5" t="s">
        <v>415</v>
      </c>
      <c r="E150" s="4" t="s">
        <v>38</v>
      </c>
      <c r="F150" s="4"/>
      <c r="G150" s="4"/>
      <c r="H150" s="4"/>
      <c r="I150" s="4"/>
      <c r="J150" s="4"/>
      <c r="K150" s="4"/>
      <c r="L150" s="4"/>
      <c r="M150" s="4"/>
      <c r="N150" s="4"/>
      <c r="O150" s="9">
        <f t="shared" ref="O150:O151" si="359">SUM(F150:N150)</f>
        <v>0</v>
      </c>
      <c r="P150" s="20"/>
      <c r="Q150" s="25">
        <v>694100</v>
      </c>
      <c r="R150" s="25">
        <v>478450</v>
      </c>
      <c r="S150" s="24">
        <v>570000</v>
      </c>
      <c r="T150" s="20">
        <f>458500+304000</f>
        <v>762500</v>
      </c>
      <c r="U150" s="20">
        <f>450450+114910+61860</f>
        <v>627220</v>
      </c>
      <c r="V150" s="20">
        <v>407400</v>
      </c>
      <c r="W150" s="20">
        <v>543200</v>
      </c>
      <c r="X150" s="174">
        <v>623650</v>
      </c>
      <c r="Y150" s="21">
        <f t="shared" ref="Y150:Y151" si="360">SUM(P150:X150)</f>
        <v>4706520</v>
      </c>
      <c r="Z150" s="25"/>
      <c r="AA150" s="20"/>
      <c r="AB150" s="20"/>
      <c r="AC150" s="20"/>
      <c r="AD150" s="20"/>
      <c r="AE150" s="20"/>
      <c r="AF150" s="21">
        <f t="shared" ref="AF150:AF151" si="361">SUM(Z150:AE150)</f>
        <v>0</v>
      </c>
      <c r="AG150" s="20"/>
      <c r="AH150" s="20"/>
      <c r="AI150" s="20"/>
      <c r="AJ150" s="20"/>
      <c r="AK150" s="20"/>
      <c r="AL150" s="20"/>
      <c r="AM150" s="20"/>
      <c r="AN150" s="20"/>
      <c r="AO150" s="20"/>
      <c r="AP150" s="9">
        <f t="shared" ref="AP150:AP151" si="362">SUM(AG150:AO150)</f>
        <v>0</v>
      </c>
      <c r="AQ150" s="4"/>
      <c r="AR150" s="4"/>
      <c r="AS150" s="4"/>
      <c r="AT150" s="4"/>
      <c r="AU150" s="4"/>
      <c r="AV150" s="4"/>
      <c r="AW150" s="4"/>
      <c r="AX150" s="4"/>
      <c r="AY150" s="4"/>
      <c r="AZ150" s="9">
        <f t="shared" ref="AZ150:AZ151" si="363">SUM(AQ150:AY150)</f>
        <v>0</v>
      </c>
      <c r="BA150" s="25"/>
      <c r="BB150" s="20"/>
      <c r="BC150" s="20"/>
      <c r="BD150" s="20"/>
      <c r="BE150" s="20"/>
      <c r="BF150" s="20"/>
      <c r="BG150" s="21">
        <f t="shared" ref="BG150:BG151" si="364">SUM(BA150:BF150)</f>
        <v>0</v>
      </c>
      <c r="BH150" s="25"/>
      <c r="BI150" s="25"/>
      <c r="BJ150" s="25"/>
      <c r="BK150" s="25"/>
      <c r="BL150" s="20"/>
      <c r="BM150" s="20"/>
      <c r="BN150" s="20"/>
      <c r="BO150" s="20"/>
      <c r="BP150" s="20"/>
      <c r="BQ150" s="21">
        <f t="shared" ref="BQ150:BQ151" si="365">SUM(BH150:BP150)</f>
        <v>0</v>
      </c>
      <c r="BR150" s="4">
        <f t="shared" ref="BR150:BR151" si="366">F150+P150+AG150+AQ150+BH150</f>
        <v>0</v>
      </c>
      <c r="BS150" s="4">
        <f t="shared" ref="BS150:BS151" si="367">G150+Q150+AH150+AR150+BI150</f>
        <v>694100</v>
      </c>
      <c r="BT150" s="4">
        <f t="shared" ref="BT150:BT151" si="368">H150+R150+AI150+AS150+BJ150</f>
        <v>478450</v>
      </c>
      <c r="BU150" s="4">
        <f t="shared" ref="BU150:BU151" si="369">I150+S150+Z150+AJ150+AT150+BA150+BK150</f>
        <v>570000</v>
      </c>
      <c r="BV150" s="94">
        <f t="shared" ref="BV150:BV151" si="370">J150+T150+AA150+AK150+AU150+BB150+BL150</f>
        <v>762500</v>
      </c>
      <c r="BW150" s="94">
        <f t="shared" ref="BW150:BW151" si="371">K150+U150+AB150+AM150+AV150+BC150+BM150</f>
        <v>627220</v>
      </c>
      <c r="BX150" s="94">
        <f t="shared" ref="BX150:BX151" si="372">L150+V150+AC150+AM150+AW150+BD150+BN150</f>
        <v>407400</v>
      </c>
      <c r="BY150" s="94">
        <f t="shared" ref="BY150:BY151" si="373">M150+W150+AD150+AO150+AX150+BE150+BO150</f>
        <v>543200</v>
      </c>
      <c r="BZ150" s="94">
        <f t="shared" ref="BZ150:BZ151" si="374">N150+X150+AE150+AO150+AY150+BF150+BP150</f>
        <v>623650</v>
      </c>
      <c r="CA150" s="9">
        <f t="shared" ref="CA150:CA151" si="375">SUM(BR150:BZ150)</f>
        <v>4706520</v>
      </c>
    </row>
    <row r="151" spans="1:79">
      <c r="A151" s="187"/>
      <c r="B151" s="8">
        <v>2</v>
      </c>
      <c r="C151" s="1" t="s">
        <v>6</v>
      </c>
      <c r="D151" s="4" t="s">
        <v>37</v>
      </c>
      <c r="E151" s="4" t="s">
        <v>38</v>
      </c>
      <c r="F151" s="4"/>
      <c r="G151" s="4">
        <v>155000</v>
      </c>
      <c r="H151" s="4">
        <v>354000</v>
      </c>
      <c r="I151" s="4">
        <f>80000+20000+20000</f>
        <v>120000</v>
      </c>
      <c r="J151" s="4"/>
      <c r="K151" s="4"/>
      <c r="L151" s="4"/>
      <c r="M151" s="4"/>
      <c r="N151" s="4"/>
      <c r="O151" s="9">
        <f t="shared" si="359"/>
        <v>629000</v>
      </c>
      <c r="P151" s="20"/>
      <c r="Q151" s="20">
        <v>287625</v>
      </c>
      <c r="R151" s="25">
        <v>488550</v>
      </c>
      <c r="S151" s="24">
        <v>180000</v>
      </c>
      <c r="T151" s="20"/>
      <c r="U151" s="20"/>
      <c r="V151" s="20"/>
      <c r="W151" s="20"/>
      <c r="X151" s="20"/>
      <c r="Y151" s="21">
        <f t="shared" si="360"/>
        <v>956175</v>
      </c>
      <c r="Z151" s="25">
        <f>315000+210000+105000</f>
        <v>630000</v>
      </c>
      <c r="AA151" s="20">
        <f>542500+261000+274500+291500+207000</f>
        <v>1576500</v>
      </c>
      <c r="AB151" s="20">
        <f>1398500+312000+156000</f>
        <v>1866500</v>
      </c>
      <c r="AC151" s="20">
        <v>1872000</v>
      </c>
      <c r="AD151" s="20">
        <v>1248000</v>
      </c>
      <c r="AE151" s="20"/>
      <c r="AF151" s="21">
        <f t="shared" si="361"/>
        <v>7193000</v>
      </c>
      <c r="AG151" s="20"/>
      <c r="AH151" s="20"/>
      <c r="AI151" s="20"/>
      <c r="AJ151" s="20"/>
      <c r="AK151" s="20"/>
      <c r="AL151" s="20"/>
      <c r="AM151" s="20"/>
      <c r="AN151" s="20"/>
      <c r="AO151" s="20"/>
      <c r="AP151" s="9">
        <f t="shared" si="362"/>
        <v>0</v>
      </c>
      <c r="AQ151" s="4"/>
      <c r="AR151" s="4"/>
      <c r="AS151" s="4"/>
      <c r="AT151" s="4"/>
      <c r="AU151" s="4"/>
      <c r="AV151" s="4"/>
      <c r="AW151" s="4"/>
      <c r="AX151" s="4"/>
      <c r="AY151" s="4"/>
      <c r="AZ151" s="9">
        <f t="shared" si="363"/>
        <v>0</v>
      </c>
      <c r="BA151" s="25"/>
      <c r="BB151" s="20"/>
      <c r="BC151" s="20"/>
      <c r="BD151" s="20"/>
      <c r="BE151" s="20"/>
      <c r="BF151" s="20"/>
      <c r="BG151" s="21">
        <f t="shared" si="364"/>
        <v>0</v>
      </c>
      <c r="BH151" s="25"/>
      <c r="BI151" s="25"/>
      <c r="BJ151" s="25"/>
      <c r="BK151" s="25"/>
      <c r="BL151" s="20"/>
      <c r="BM151" s="20"/>
      <c r="BN151" s="20"/>
      <c r="BO151" s="20"/>
      <c r="BP151" s="20"/>
      <c r="BQ151" s="21">
        <f t="shared" si="365"/>
        <v>0</v>
      </c>
      <c r="BR151" s="4">
        <f t="shared" si="366"/>
        <v>0</v>
      </c>
      <c r="BS151" s="4">
        <f t="shared" si="367"/>
        <v>442625</v>
      </c>
      <c r="BT151" s="4">
        <f t="shared" si="368"/>
        <v>842550</v>
      </c>
      <c r="BU151" s="4">
        <f t="shared" si="369"/>
        <v>930000</v>
      </c>
      <c r="BV151" s="94">
        <f t="shared" si="370"/>
        <v>1576500</v>
      </c>
      <c r="BW151" s="94">
        <f t="shared" si="371"/>
        <v>1866500</v>
      </c>
      <c r="BX151" s="94">
        <f t="shared" si="372"/>
        <v>1872000</v>
      </c>
      <c r="BY151" s="94">
        <f t="shared" si="373"/>
        <v>1248000</v>
      </c>
      <c r="BZ151" s="94">
        <f t="shared" si="374"/>
        <v>0</v>
      </c>
      <c r="CA151" s="9">
        <f t="shared" si="375"/>
        <v>8778175</v>
      </c>
    </row>
    <row r="152" spans="1:79" s="38" customFormat="1">
      <c r="A152" s="34"/>
      <c r="B152" s="34"/>
      <c r="C152" s="35" t="s">
        <v>270</v>
      </c>
      <c r="D152" s="37"/>
      <c r="E152" s="37"/>
      <c r="F152" s="37">
        <f>SUM(F150:F151)</f>
        <v>0</v>
      </c>
      <c r="G152" s="37">
        <f t="shared" ref="G152:CA152" si="376">SUM(G150:G151)</f>
        <v>155000</v>
      </c>
      <c r="H152" s="37">
        <f t="shared" si="376"/>
        <v>354000</v>
      </c>
      <c r="I152" s="37">
        <f t="shared" si="376"/>
        <v>120000</v>
      </c>
      <c r="J152" s="37">
        <f t="shared" si="376"/>
        <v>0</v>
      </c>
      <c r="K152" s="37">
        <f t="shared" si="376"/>
        <v>0</v>
      </c>
      <c r="L152" s="37">
        <f t="shared" si="376"/>
        <v>0</v>
      </c>
      <c r="M152" s="37">
        <f t="shared" si="376"/>
        <v>0</v>
      </c>
      <c r="N152" s="37">
        <f t="shared" si="376"/>
        <v>0</v>
      </c>
      <c r="O152" s="37">
        <f t="shared" si="376"/>
        <v>629000</v>
      </c>
      <c r="P152" s="37">
        <f t="shared" ref="P152:AP152" si="377">SUM(P150:P151)</f>
        <v>0</v>
      </c>
      <c r="Q152" s="37">
        <f t="shared" si="377"/>
        <v>981725</v>
      </c>
      <c r="R152" s="37">
        <f t="shared" si="377"/>
        <v>967000</v>
      </c>
      <c r="S152" s="37">
        <f t="shared" si="377"/>
        <v>750000</v>
      </c>
      <c r="T152" s="37">
        <f t="shared" si="377"/>
        <v>762500</v>
      </c>
      <c r="U152" s="37">
        <f t="shared" si="377"/>
        <v>627220</v>
      </c>
      <c r="V152" s="37">
        <f t="shared" si="377"/>
        <v>407400</v>
      </c>
      <c r="W152" s="37">
        <f t="shared" si="377"/>
        <v>543200</v>
      </c>
      <c r="X152" s="37">
        <f t="shared" si="377"/>
        <v>623650</v>
      </c>
      <c r="Y152" s="37">
        <f t="shared" si="377"/>
        <v>5662695</v>
      </c>
      <c r="Z152" s="37">
        <f t="shared" si="377"/>
        <v>630000</v>
      </c>
      <c r="AA152" s="37">
        <f t="shared" si="377"/>
        <v>1576500</v>
      </c>
      <c r="AB152" s="37">
        <f t="shared" si="377"/>
        <v>1866500</v>
      </c>
      <c r="AC152" s="37">
        <f t="shared" si="377"/>
        <v>1872000</v>
      </c>
      <c r="AD152" s="37">
        <f t="shared" si="377"/>
        <v>1248000</v>
      </c>
      <c r="AE152" s="37">
        <f t="shared" si="377"/>
        <v>0</v>
      </c>
      <c r="AF152" s="37">
        <f t="shared" si="377"/>
        <v>7193000</v>
      </c>
      <c r="AG152" s="37">
        <f t="shared" si="377"/>
        <v>0</v>
      </c>
      <c r="AH152" s="37">
        <f t="shared" si="377"/>
        <v>0</v>
      </c>
      <c r="AI152" s="37">
        <f t="shared" si="377"/>
        <v>0</v>
      </c>
      <c r="AJ152" s="37">
        <f t="shared" si="377"/>
        <v>0</v>
      </c>
      <c r="AK152" s="37">
        <f t="shared" si="377"/>
        <v>0</v>
      </c>
      <c r="AL152" s="37">
        <f t="shared" si="377"/>
        <v>0</v>
      </c>
      <c r="AM152" s="37">
        <f t="shared" si="377"/>
        <v>0</v>
      </c>
      <c r="AN152" s="37">
        <f t="shared" si="377"/>
        <v>0</v>
      </c>
      <c r="AO152" s="37">
        <f t="shared" si="377"/>
        <v>0</v>
      </c>
      <c r="AP152" s="37">
        <f t="shared" si="377"/>
        <v>0</v>
      </c>
      <c r="AQ152" s="37">
        <f t="shared" si="376"/>
        <v>0</v>
      </c>
      <c r="AR152" s="37">
        <f t="shared" si="376"/>
        <v>0</v>
      </c>
      <c r="AS152" s="37">
        <f t="shared" si="376"/>
        <v>0</v>
      </c>
      <c r="AT152" s="37">
        <f t="shared" si="376"/>
        <v>0</v>
      </c>
      <c r="AU152" s="37">
        <f t="shared" si="376"/>
        <v>0</v>
      </c>
      <c r="AV152" s="37">
        <f t="shared" si="376"/>
        <v>0</v>
      </c>
      <c r="AW152" s="37">
        <f t="shared" si="376"/>
        <v>0</v>
      </c>
      <c r="AX152" s="37">
        <f t="shared" si="376"/>
        <v>0</v>
      </c>
      <c r="AY152" s="37">
        <f t="shared" si="376"/>
        <v>0</v>
      </c>
      <c r="AZ152" s="37">
        <f t="shared" si="376"/>
        <v>0</v>
      </c>
      <c r="BA152" s="37">
        <f t="shared" si="376"/>
        <v>0</v>
      </c>
      <c r="BB152" s="37">
        <f t="shared" si="376"/>
        <v>0</v>
      </c>
      <c r="BC152" s="37">
        <f t="shared" si="376"/>
        <v>0</v>
      </c>
      <c r="BD152" s="37">
        <f t="shared" si="376"/>
        <v>0</v>
      </c>
      <c r="BE152" s="37">
        <f t="shared" si="376"/>
        <v>0</v>
      </c>
      <c r="BF152" s="37">
        <f t="shared" si="376"/>
        <v>0</v>
      </c>
      <c r="BG152" s="37">
        <f t="shared" si="376"/>
        <v>0</v>
      </c>
      <c r="BH152" s="37">
        <f t="shared" si="376"/>
        <v>0</v>
      </c>
      <c r="BI152" s="37">
        <f t="shared" si="376"/>
        <v>0</v>
      </c>
      <c r="BJ152" s="37">
        <f t="shared" si="376"/>
        <v>0</v>
      </c>
      <c r="BK152" s="37">
        <f t="shared" si="376"/>
        <v>0</v>
      </c>
      <c r="BL152" s="37">
        <f t="shared" si="376"/>
        <v>0</v>
      </c>
      <c r="BM152" s="37">
        <f t="shared" si="376"/>
        <v>0</v>
      </c>
      <c r="BN152" s="37">
        <f t="shared" si="376"/>
        <v>0</v>
      </c>
      <c r="BO152" s="37">
        <f t="shared" si="376"/>
        <v>0</v>
      </c>
      <c r="BP152" s="37">
        <f t="shared" ref="BP152" si="378">SUM(BP136:BP151)</f>
        <v>0</v>
      </c>
      <c r="BQ152" s="37">
        <f t="shared" si="376"/>
        <v>0</v>
      </c>
      <c r="BR152" s="37">
        <f t="shared" si="376"/>
        <v>0</v>
      </c>
      <c r="BS152" s="37">
        <f t="shared" si="376"/>
        <v>1136725</v>
      </c>
      <c r="BT152" s="37">
        <f t="shared" si="376"/>
        <v>1321000</v>
      </c>
      <c r="BU152" s="37">
        <f t="shared" si="376"/>
        <v>1500000</v>
      </c>
      <c r="BV152" s="37">
        <f t="shared" si="376"/>
        <v>2339000</v>
      </c>
      <c r="BW152" s="37">
        <f t="shared" si="376"/>
        <v>2493720</v>
      </c>
      <c r="BX152" s="37">
        <f t="shared" si="376"/>
        <v>2279400</v>
      </c>
      <c r="BY152" s="37">
        <f t="shared" si="376"/>
        <v>1791200</v>
      </c>
      <c r="BZ152" s="144">
        <f>SUM(BZ150:BZ151)</f>
        <v>623650</v>
      </c>
      <c r="CA152" s="37">
        <f t="shared" si="376"/>
        <v>13484695</v>
      </c>
    </row>
    <row r="153" spans="1:79" ht="31.5">
      <c r="A153" s="168" t="s">
        <v>271</v>
      </c>
      <c r="B153" s="8">
        <v>1</v>
      </c>
      <c r="C153" s="44" t="s">
        <v>272</v>
      </c>
      <c r="D153" s="45" t="s">
        <v>271</v>
      </c>
      <c r="E153" s="45" t="s">
        <v>273</v>
      </c>
      <c r="F153" s="4"/>
      <c r="G153" s="4"/>
      <c r="H153" s="5"/>
      <c r="I153" s="4"/>
      <c r="J153" s="4"/>
      <c r="K153" s="4"/>
      <c r="L153" s="4"/>
      <c r="M153" s="4"/>
      <c r="N153" s="4"/>
      <c r="O153" s="9">
        <f>SUM(F153:N153)</f>
        <v>0</v>
      </c>
      <c r="P153" s="20"/>
      <c r="Q153" s="20"/>
      <c r="R153" s="25"/>
      <c r="S153" s="25"/>
      <c r="T153" s="20"/>
      <c r="U153" s="20"/>
      <c r="V153" s="20"/>
      <c r="W153" s="20"/>
      <c r="X153" s="20"/>
      <c r="Y153" s="21">
        <f>SUM(P153:X153)</f>
        <v>0</v>
      </c>
      <c r="Z153" s="25"/>
      <c r="AA153" s="20"/>
      <c r="AB153" s="20"/>
      <c r="AC153" s="20"/>
      <c r="AD153" s="20"/>
      <c r="AE153" s="20"/>
      <c r="AF153" s="21">
        <f>SUM(Z153:AE153)</f>
        <v>0</v>
      </c>
      <c r="AG153" s="20"/>
      <c r="AH153" s="20"/>
      <c r="AI153" s="20"/>
      <c r="AJ153" s="20"/>
      <c r="AK153" s="20"/>
      <c r="AL153" s="20"/>
      <c r="AM153" s="20"/>
      <c r="AN153" s="20"/>
      <c r="AO153" s="20"/>
      <c r="AP153" s="9">
        <f>SUM(AG153:AO153)</f>
        <v>0</v>
      </c>
      <c r="AQ153" s="76"/>
      <c r="AR153" s="76"/>
      <c r="AS153" s="76">
        <v>290000</v>
      </c>
      <c r="AT153" s="76"/>
      <c r="AU153" s="4"/>
      <c r="AV153" s="4">
        <f>1725000+570000</f>
        <v>2295000</v>
      </c>
      <c r="AW153" s="4">
        <f>570000+570000+190000+760000+190000</f>
        <v>2280000</v>
      </c>
      <c r="AX153" s="4">
        <f>380000+190000+190000+190000+190000+380000+570000</f>
        <v>2090000</v>
      </c>
      <c r="AY153" s="4">
        <v>1260000</v>
      </c>
      <c r="AZ153" s="9">
        <f>SUM(AQ153:AY153)</f>
        <v>8215000</v>
      </c>
      <c r="BA153" s="25"/>
      <c r="BB153" s="20"/>
      <c r="BC153" s="20"/>
      <c r="BD153" s="20"/>
      <c r="BE153" s="20"/>
      <c r="BF153" s="20"/>
      <c r="BG153" s="21">
        <f>SUM(BA153:BF153)</f>
        <v>0</v>
      </c>
      <c r="BH153" s="25"/>
      <c r="BI153" s="25"/>
      <c r="BJ153" s="25"/>
      <c r="BK153" s="25"/>
      <c r="BL153" s="20"/>
      <c r="BM153" s="20"/>
      <c r="BN153" s="20"/>
      <c r="BO153" s="20"/>
      <c r="BP153" s="20"/>
      <c r="BQ153" s="21">
        <f>SUM(BH153:BP153)</f>
        <v>0</v>
      </c>
      <c r="BR153" s="4">
        <f>F153+P153+AG153+AQ153+BH153</f>
        <v>0</v>
      </c>
      <c r="BS153" s="4">
        <f>G153+Q153+AH153+AR153+BI153</f>
        <v>0</v>
      </c>
      <c r="BT153" s="4">
        <f>H153+R153+AI153+AS153+BJ153</f>
        <v>290000</v>
      </c>
      <c r="BU153" s="4">
        <f>I153+S153+Z153+AJ153+AT153+BA153+BK153</f>
        <v>0</v>
      </c>
      <c r="BV153" s="94">
        <f>J153+T153+AA153+AK153+AU153+BB153+BL153</f>
        <v>0</v>
      </c>
      <c r="BW153" s="94">
        <f>K153+U153+AB153+AM153+AV153+BC153+BM153</f>
        <v>2295000</v>
      </c>
      <c r="BX153" s="94">
        <f>L153+V153+AC153+AM153+AW153+BD153+BN153</f>
        <v>2280000</v>
      </c>
      <c r="BY153" s="94">
        <f>M153+W153+AD153+AO153+AX153+BE153+BO153</f>
        <v>2090000</v>
      </c>
      <c r="BZ153" s="94">
        <f>N153+X153+AE153+AO153+AY153+BF153+BP153</f>
        <v>1260000</v>
      </c>
      <c r="CA153" s="9">
        <f>SUM(BR153:BZ153)</f>
        <v>8215000</v>
      </c>
    </row>
    <row r="154" spans="1:79" s="38" customFormat="1">
      <c r="A154" s="34"/>
      <c r="B154" s="34"/>
      <c r="C154" s="48" t="s">
        <v>274</v>
      </c>
      <c r="D154" s="49"/>
      <c r="E154" s="49"/>
      <c r="F154" s="37">
        <f>F153</f>
        <v>0</v>
      </c>
      <c r="G154" s="37">
        <f t="shared" ref="G154:CA154" si="379">G153</f>
        <v>0</v>
      </c>
      <c r="H154" s="37">
        <f t="shared" si="379"/>
        <v>0</v>
      </c>
      <c r="I154" s="37">
        <f t="shared" ref="I154" si="380">SUM(I153)</f>
        <v>0</v>
      </c>
      <c r="J154" s="37">
        <f t="shared" si="379"/>
        <v>0</v>
      </c>
      <c r="K154" s="37">
        <f t="shared" si="379"/>
        <v>0</v>
      </c>
      <c r="L154" s="37">
        <f t="shared" si="379"/>
        <v>0</v>
      </c>
      <c r="M154" s="37">
        <f t="shared" si="379"/>
        <v>0</v>
      </c>
      <c r="N154" s="37">
        <f t="shared" si="379"/>
        <v>0</v>
      </c>
      <c r="O154" s="37">
        <f t="shared" si="379"/>
        <v>0</v>
      </c>
      <c r="P154" s="37">
        <f t="shared" ref="P154:R154" si="381">P153</f>
        <v>0</v>
      </c>
      <c r="Q154" s="37">
        <f t="shared" si="381"/>
        <v>0</v>
      </c>
      <c r="R154" s="37">
        <f t="shared" si="381"/>
        <v>0</v>
      </c>
      <c r="S154" s="37">
        <f t="shared" ref="S154" si="382">SUM(S153)</f>
        <v>0</v>
      </c>
      <c r="T154" s="37">
        <f t="shared" ref="T154:Y154" si="383">T153</f>
        <v>0</v>
      </c>
      <c r="U154" s="37">
        <f t="shared" si="383"/>
        <v>0</v>
      </c>
      <c r="V154" s="37">
        <f t="shared" si="383"/>
        <v>0</v>
      </c>
      <c r="W154" s="37">
        <f t="shared" si="383"/>
        <v>0</v>
      </c>
      <c r="X154" s="37">
        <f t="shared" si="383"/>
        <v>0</v>
      </c>
      <c r="Y154" s="37">
        <f t="shared" si="383"/>
        <v>0</v>
      </c>
      <c r="Z154" s="37">
        <f t="shared" ref="Z154" si="384">SUM(Z153)</f>
        <v>0</v>
      </c>
      <c r="AA154" s="37">
        <f t="shared" ref="AA154:AI154" si="385">AA153</f>
        <v>0</v>
      </c>
      <c r="AB154" s="37">
        <f t="shared" si="385"/>
        <v>0</v>
      </c>
      <c r="AC154" s="37">
        <f t="shared" si="385"/>
        <v>0</v>
      </c>
      <c r="AD154" s="37">
        <f t="shared" si="385"/>
        <v>0</v>
      </c>
      <c r="AE154" s="37">
        <f t="shared" si="385"/>
        <v>0</v>
      </c>
      <c r="AF154" s="37">
        <f t="shared" si="385"/>
        <v>0</v>
      </c>
      <c r="AG154" s="37">
        <f t="shared" si="385"/>
        <v>0</v>
      </c>
      <c r="AH154" s="37">
        <f t="shared" si="385"/>
        <v>0</v>
      </c>
      <c r="AI154" s="37">
        <f t="shared" si="385"/>
        <v>0</v>
      </c>
      <c r="AJ154" s="37">
        <f t="shared" ref="AJ154:AO154" si="386">SUM(AJ153)</f>
        <v>0</v>
      </c>
      <c r="AK154" s="37">
        <f t="shared" si="386"/>
        <v>0</v>
      </c>
      <c r="AL154" s="37">
        <f t="shared" si="386"/>
        <v>0</v>
      </c>
      <c r="AM154" s="37">
        <f t="shared" si="386"/>
        <v>0</v>
      </c>
      <c r="AN154" s="37">
        <f t="shared" si="386"/>
        <v>0</v>
      </c>
      <c r="AO154" s="37">
        <f t="shared" si="386"/>
        <v>0</v>
      </c>
      <c r="AP154" s="37">
        <f t="shared" ref="AP154" si="387">AP153</f>
        <v>0</v>
      </c>
      <c r="AQ154" s="37">
        <f t="shared" si="379"/>
        <v>0</v>
      </c>
      <c r="AR154" s="37">
        <f t="shared" si="379"/>
        <v>0</v>
      </c>
      <c r="AS154" s="37">
        <f t="shared" si="379"/>
        <v>290000</v>
      </c>
      <c r="AT154" s="37">
        <f t="shared" ref="AT154" si="388">SUM(AT153)</f>
        <v>0</v>
      </c>
      <c r="AU154" s="37">
        <f t="shared" si="379"/>
        <v>0</v>
      </c>
      <c r="AV154" s="37">
        <f t="shared" si="379"/>
        <v>2295000</v>
      </c>
      <c r="AW154" s="37">
        <f t="shared" si="379"/>
        <v>2280000</v>
      </c>
      <c r="AX154" s="37">
        <f t="shared" si="379"/>
        <v>2090000</v>
      </c>
      <c r="AY154" s="37">
        <f t="shared" si="379"/>
        <v>1260000</v>
      </c>
      <c r="AZ154" s="37">
        <f t="shared" si="379"/>
        <v>8215000</v>
      </c>
      <c r="BA154" s="37">
        <f t="shared" ref="BA154" si="389">SUM(BA153)</f>
        <v>0</v>
      </c>
      <c r="BB154" s="37">
        <f t="shared" si="379"/>
        <v>0</v>
      </c>
      <c r="BC154" s="37">
        <f t="shared" si="379"/>
        <v>0</v>
      </c>
      <c r="BD154" s="37">
        <f t="shared" si="379"/>
        <v>0</v>
      </c>
      <c r="BE154" s="37">
        <f t="shared" si="379"/>
        <v>0</v>
      </c>
      <c r="BF154" s="37">
        <f t="shared" ref="BF154" si="390">SUM(BF153)</f>
        <v>0</v>
      </c>
      <c r="BG154" s="37">
        <f t="shared" si="379"/>
        <v>0</v>
      </c>
      <c r="BH154" s="37">
        <f t="shared" si="379"/>
        <v>0</v>
      </c>
      <c r="BI154" s="37">
        <f t="shared" si="379"/>
        <v>0</v>
      </c>
      <c r="BJ154" s="37">
        <f t="shared" si="379"/>
        <v>0</v>
      </c>
      <c r="BK154" s="37">
        <f t="shared" ref="BK154" si="391">SUM(BK153)</f>
        <v>0</v>
      </c>
      <c r="BL154" s="37">
        <f t="shared" si="379"/>
        <v>0</v>
      </c>
      <c r="BM154" s="37">
        <f t="shared" si="379"/>
        <v>0</v>
      </c>
      <c r="BN154" s="37">
        <f t="shared" si="379"/>
        <v>0</v>
      </c>
      <c r="BO154" s="37">
        <f t="shared" si="379"/>
        <v>0</v>
      </c>
      <c r="BP154" s="37">
        <f t="shared" si="379"/>
        <v>0</v>
      </c>
      <c r="BQ154" s="37">
        <f t="shared" si="379"/>
        <v>0</v>
      </c>
      <c r="BR154" s="37">
        <f t="shared" si="379"/>
        <v>0</v>
      </c>
      <c r="BS154" s="37">
        <f t="shared" si="379"/>
        <v>0</v>
      </c>
      <c r="BT154" s="37">
        <f t="shared" si="379"/>
        <v>290000</v>
      </c>
      <c r="BU154" s="37">
        <f t="shared" si="379"/>
        <v>0</v>
      </c>
      <c r="BV154" s="37">
        <f t="shared" si="379"/>
        <v>0</v>
      </c>
      <c r="BW154" s="37">
        <f t="shared" si="379"/>
        <v>2295000</v>
      </c>
      <c r="BX154" s="37">
        <f t="shared" si="379"/>
        <v>2280000</v>
      </c>
      <c r="BY154" s="37">
        <f t="shared" si="379"/>
        <v>2090000</v>
      </c>
      <c r="BZ154" s="144">
        <f>SUM(BZ153)</f>
        <v>1260000</v>
      </c>
      <c r="CA154" s="37">
        <f t="shared" si="379"/>
        <v>8215000</v>
      </c>
    </row>
    <row r="155" spans="1:79">
      <c r="A155" s="185" t="s">
        <v>275</v>
      </c>
      <c r="B155" s="8">
        <v>1</v>
      </c>
      <c r="C155" s="1" t="s">
        <v>276</v>
      </c>
      <c r="D155" s="4" t="s">
        <v>277</v>
      </c>
      <c r="E155" s="4" t="s">
        <v>275</v>
      </c>
      <c r="F155" s="4"/>
      <c r="G155" s="4">
        <v>705000</v>
      </c>
      <c r="H155" s="4">
        <f>110000+65000+265000</f>
        <v>440000</v>
      </c>
      <c r="I155" s="4"/>
      <c r="J155" s="4"/>
      <c r="K155" s="4"/>
      <c r="L155" s="4"/>
      <c r="M155" s="4"/>
      <c r="N155" s="4"/>
      <c r="O155" s="9">
        <f t="shared" ref="O155:O159" si="392">SUM(F155:N155)</f>
        <v>1145000</v>
      </c>
      <c r="P155" s="20"/>
      <c r="Q155" s="25">
        <v>1068000</v>
      </c>
      <c r="R155" s="25">
        <v>582000</v>
      </c>
      <c r="S155" s="25"/>
      <c r="T155" s="20"/>
      <c r="U155" s="20"/>
      <c r="V155" s="20"/>
      <c r="W155" s="20">
        <v>270000</v>
      </c>
      <c r="X155" s="20"/>
      <c r="Y155" s="21">
        <f t="shared" ref="Y155:Y159" si="393">SUM(P155:X155)</f>
        <v>1920000</v>
      </c>
      <c r="Z155" s="25"/>
      <c r="AA155" s="20"/>
      <c r="AB155" s="20"/>
      <c r="AC155" s="20"/>
      <c r="AD155" s="20"/>
      <c r="AE155" s="20"/>
      <c r="AF155" s="21">
        <f t="shared" ref="AF155:AF159" si="394">SUM(Z155:AE155)</f>
        <v>0</v>
      </c>
      <c r="AG155" s="20"/>
      <c r="AH155" s="20">
        <v>1340000</v>
      </c>
      <c r="AI155" s="4">
        <v>826000</v>
      </c>
      <c r="AJ155" s="22"/>
      <c r="AK155" s="22"/>
      <c r="AL155" s="22"/>
      <c r="AM155" s="22"/>
      <c r="AN155" s="32">
        <v>660000</v>
      </c>
      <c r="AO155" s="32">
        <v>630000</v>
      </c>
      <c r="AP155" s="9">
        <f t="shared" ref="AP155:AP159" si="395">SUM(AG155:AO155)</f>
        <v>3456000</v>
      </c>
      <c r="AQ155" s="4"/>
      <c r="AR155" s="4"/>
      <c r="AS155" s="4"/>
      <c r="AT155" s="4"/>
      <c r="AU155" s="4"/>
      <c r="AV155" s="4"/>
      <c r="AW155" s="4"/>
      <c r="AX155" s="4"/>
      <c r="AY155" s="4"/>
      <c r="AZ155" s="9">
        <f t="shared" ref="AZ155:AZ159" si="396">SUM(AQ155:AY155)</f>
        <v>0</v>
      </c>
      <c r="BA155" s="25"/>
      <c r="BB155" s="20"/>
      <c r="BC155" s="20"/>
      <c r="BD155" s="20"/>
      <c r="BE155" s="20"/>
      <c r="BF155" s="32"/>
      <c r="BG155" s="21">
        <f t="shared" ref="BG155:BG159" si="397">SUM(BA155:BF155)</f>
        <v>0</v>
      </c>
      <c r="BH155" s="25"/>
      <c r="BI155" s="25"/>
      <c r="BJ155" s="25"/>
      <c r="BK155" s="25"/>
      <c r="BL155" s="20"/>
      <c r="BM155" s="20"/>
      <c r="BN155" s="20"/>
      <c r="BO155" s="20"/>
      <c r="BP155" s="20"/>
      <c r="BQ155" s="21">
        <f t="shared" ref="BQ155:BQ159" si="398">SUM(BH155:BP155)</f>
        <v>0</v>
      </c>
      <c r="BR155" s="4">
        <f t="shared" ref="BR155:BR159" si="399">F155+P155+AG155+AQ155+BH155</f>
        <v>0</v>
      </c>
      <c r="BS155" s="4">
        <f t="shared" ref="BS155:BS159" si="400">G155+Q155+AH155+AR155+BI155</f>
        <v>3113000</v>
      </c>
      <c r="BT155" s="4">
        <f t="shared" ref="BT155:BT159" si="401">H155+R155+AI155+AS155+BJ155</f>
        <v>1848000</v>
      </c>
      <c r="BU155" s="4">
        <f t="shared" ref="BU155:BU159" si="402">I155+S155+Z155+AJ155+AT155+BA155+BK155</f>
        <v>0</v>
      </c>
      <c r="BV155" s="94">
        <f t="shared" ref="BV155:BV159" si="403">J155+T155+AA155+AK155+AU155+BB155+BL155</f>
        <v>0</v>
      </c>
      <c r="BW155" s="94">
        <f t="shared" ref="BW155:BW159" si="404">K155+U155+AB155+AM155+AV155+BC155+BM155</f>
        <v>0</v>
      </c>
      <c r="BX155" s="94">
        <f t="shared" ref="BX155:BX159" si="405">L155+V155+AC155+AM155+AW155+BD155+BN155</f>
        <v>0</v>
      </c>
      <c r="BY155" s="94">
        <f t="shared" ref="BY155:BY159" si="406">M155+W155+AD155+AO155+AX155+BE155+BO155</f>
        <v>900000</v>
      </c>
      <c r="BZ155" s="94">
        <f t="shared" ref="BZ155:BZ159" si="407">N155+X155+AE155+AO155+AY155+BF155+BP155</f>
        <v>630000</v>
      </c>
      <c r="CA155" s="9">
        <f t="shared" ref="CA155:CA159" si="408">SUM(BR155:BZ155)</f>
        <v>6491000</v>
      </c>
    </row>
    <row r="156" spans="1:79" ht="31.5">
      <c r="A156" s="186"/>
      <c r="B156" s="8">
        <v>2</v>
      </c>
      <c r="C156" s="40" t="s">
        <v>278</v>
      </c>
      <c r="D156" s="41" t="s">
        <v>279</v>
      </c>
      <c r="E156" s="4" t="s">
        <v>275</v>
      </c>
      <c r="F156" s="4"/>
      <c r="G156" s="4"/>
      <c r="H156" s="4"/>
      <c r="I156" s="4"/>
      <c r="J156" s="4"/>
      <c r="K156" s="4"/>
      <c r="L156" s="4"/>
      <c r="M156" s="4"/>
      <c r="N156" s="4"/>
      <c r="O156" s="9">
        <f t="shared" si="392"/>
        <v>0</v>
      </c>
      <c r="P156" s="20"/>
      <c r="Q156" s="25"/>
      <c r="R156" s="25"/>
      <c r="S156" s="25"/>
      <c r="T156" s="20"/>
      <c r="U156" s="20"/>
      <c r="V156" s="20"/>
      <c r="W156" s="20"/>
      <c r="X156" s="20"/>
      <c r="Y156" s="21">
        <f t="shared" si="393"/>
        <v>0</v>
      </c>
      <c r="Z156" s="25"/>
      <c r="AA156" s="20"/>
      <c r="AB156" s="20"/>
      <c r="AC156" s="20"/>
      <c r="AD156" s="20"/>
      <c r="AE156" s="20"/>
      <c r="AF156" s="21">
        <f t="shared" si="394"/>
        <v>0</v>
      </c>
      <c r="AG156" s="20"/>
      <c r="AH156" s="20"/>
      <c r="AI156" s="20"/>
      <c r="AJ156" s="20"/>
      <c r="AK156" s="20"/>
      <c r="AL156" s="20"/>
      <c r="AM156" s="20"/>
      <c r="AN156" s="20"/>
      <c r="AO156" s="20"/>
      <c r="AP156" s="9">
        <f t="shared" si="395"/>
        <v>0</v>
      </c>
      <c r="AQ156" s="76"/>
      <c r="AR156" s="76"/>
      <c r="AS156" s="76">
        <v>360000</v>
      </c>
      <c r="AT156" s="76">
        <v>705000</v>
      </c>
      <c r="AU156" s="4">
        <f>130000+225000+135000+120000+90000</f>
        <v>700000</v>
      </c>
      <c r="AV156" s="4">
        <f>895000+330000</f>
        <v>1225000</v>
      </c>
      <c r="AW156" s="4">
        <f>110000+440000+220000+110000</f>
        <v>880000</v>
      </c>
      <c r="AX156" s="4">
        <f>110000+110000+220000+110000+110000+550000</f>
        <v>1210000</v>
      </c>
      <c r="AY156" s="4">
        <v>660000</v>
      </c>
      <c r="AZ156" s="9">
        <f t="shared" si="396"/>
        <v>5740000</v>
      </c>
      <c r="BA156" s="25"/>
      <c r="BB156" s="20"/>
      <c r="BC156" s="20"/>
      <c r="BD156" s="20"/>
      <c r="BE156" s="20"/>
      <c r="BF156" s="20"/>
      <c r="BG156" s="21">
        <f t="shared" si="397"/>
        <v>0</v>
      </c>
      <c r="BH156" s="25"/>
      <c r="BI156" s="25"/>
      <c r="BJ156" s="25"/>
      <c r="BK156" s="25"/>
      <c r="BL156" s="20"/>
      <c r="BM156" s="20"/>
      <c r="BN156" s="20"/>
      <c r="BO156" s="20"/>
      <c r="BP156" s="20"/>
      <c r="BQ156" s="21">
        <f t="shared" si="398"/>
        <v>0</v>
      </c>
      <c r="BR156" s="4">
        <f t="shared" si="399"/>
        <v>0</v>
      </c>
      <c r="BS156" s="4">
        <f t="shared" si="400"/>
        <v>0</v>
      </c>
      <c r="BT156" s="4">
        <f t="shared" si="401"/>
        <v>360000</v>
      </c>
      <c r="BU156" s="4">
        <f t="shared" si="402"/>
        <v>705000</v>
      </c>
      <c r="BV156" s="94">
        <f t="shared" si="403"/>
        <v>700000</v>
      </c>
      <c r="BW156" s="94">
        <f t="shared" si="404"/>
        <v>1225000</v>
      </c>
      <c r="BX156" s="94">
        <f t="shared" si="405"/>
        <v>880000</v>
      </c>
      <c r="BY156" s="94">
        <f t="shared" si="406"/>
        <v>1210000</v>
      </c>
      <c r="BZ156" s="94">
        <f t="shared" si="407"/>
        <v>660000</v>
      </c>
      <c r="CA156" s="9">
        <f t="shared" si="408"/>
        <v>5740000</v>
      </c>
    </row>
    <row r="157" spans="1:79">
      <c r="A157" s="186"/>
      <c r="B157" s="8">
        <v>3</v>
      </c>
      <c r="C157" s="1" t="s">
        <v>280</v>
      </c>
      <c r="D157" s="41" t="s">
        <v>416</v>
      </c>
      <c r="E157" s="4" t="s">
        <v>275</v>
      </c>
      <c r="F157" s="4"/>
      <c r="G157" s="4"/>
      <c r="H157" s="4">
        <v>-155000</v>
      </c>
      <c r="I157" s="4"/>
      <c r="J157" s="4"/>
      <c r="K157" s="4"/>
      <c r="L157" s="4"/>
      <c r="M157" s="4"/>
      <c r="N157" s="4"/>
      <c r="O157" s="9">
        <f t="shared" si="392"/>
        <v>-155000</v>
      </c>
      <c r="P157" s="20"/>
      <c r="Q157" s="25">
        <f>195000-(195000)</f>
        <v>0</v>
      </c>
      <c r="R157" s="20"/>
      <c r="S157" s="20"/>
      <c r="T157" s="20"/>
      <c r="U157" s="20"/>
      <c r="V157" s="20"/>
      <c r="W157" s="20"/>
      <c r="X157" s="20"/>
      <c r="Y157" s="21">
        <f t="shared" si="393"/>
        <v>0</v>
      </c>
      <c r="Z157" s="25"/>
      <c r="AA157" s="20"/>
      <c r="AB157" s="20"/>
      <c r="AC157" s="20"/>
      <c r="AD157" s="20"/>
      <c r="AE157" s="20"/>
      <c r="AF157" s="21">
        <f t="shared" si="394"/>
        <v>0</v>
      </c>
      <c r="AG157" s="20"/>
      <c r="AH157" s="22">
        <v>290000</v>
      </c>
      <c r="AI157" s="20">
        <v>0</v>
      </c>
      <c r="AJ157" s="20">
        <v>-135000</v>
      </c>
      <c r="AK157" s="20"/>
      <c r="AL157" s="20"/>
      <c r="AM157" s="20"/>
      <c r="AN157" s="20"/>
      <c r="AO157" s="20"/>
      <c r="AP157" s="9">
        <f t="shared" si="395"/>
        <v>155000</v>
      </c>
      <c r="AQ157" s="4"/>
      <c r="AR157" s="4"/>
      <c r="AS157" s="4"/>
      <c r="AT157" s="4"/>
      <c r="AU157" s="4"/>
      <c r="AV157" s="4"/>
      <c r="AW157" s="4"/>
      <c r="AX157" s="4"/>
      <c r="AY157" s="4"/>
      <c r="AZ157" s="9">
        <f t="shared" si="396"/>
        <v>0</v>
      </c>
      <c r="BA157" s="25"/>
      <c r="BB157" s="20"/>
      <c r="BC157" s="20"/>
      <c r="BD157" s="20"/>
      <c r="BE157" s="20"/>
      <c r="BF157" s="20"/>
      <c r="BG157" s="21">
        <f t="shared" si="397"/>
        <v>0</v>
      </c>
      <c r="BH157" s="25"/>
      <c r="BI157" s="25"/>
      <c r="BJ157" s="25"/>
      <c r="BK157" s="25"/>
      <c r="BL157" s="20"/>
      <c r="BM157" s="20"/>
      <c r="BN157" s="20"/>
      <c r="BO157" s="20"/>
      <c r="BP157" s="20"/>
      <c r="BQ157" s="21">
        <f t="shared" si="398"/>
        <v>0</v>
      </c>
      <c r="BR157" s="4">
        <f t="shared" si="399"/>
        <v>0</v>
      </c>
      <c r="BS157" s="4">
        <f t="shared" si="400"/>
        <v>290000</v>
      </c>
      <c r="BT157" s="4">
        <f t="shared" si="401"/>
        <v>-155000</v>
      </c>
      <c r="BU157" s="4">
        <f t="shared" si="402"/>
        <v>-135000</v>
      </c>
      <c r="BV157" s="94">
        <f t="shared" si="403"/>
        <v>0</v>
      </c>
      <c r="BW157" s="94">
        <f t="shared" si="404"/>
        <v>0</v>
      </c>
      <c r="BX157" s="94">
        <f t="shared" si="405"/>
        <v>0</v>
      </c>
      <c r="BY157" s="94">
        <f t="shared" si="406"/>
        <v>0</v>
      </c>
      <c r="BZ157" s="94">
        <f t="shared" si="407"/>
        <v>0</v>
      </c>
      <c r="CA157" s="9">
        <f t="shared" si="408"/>
        <v>0</v>
      </c>
    </row>
    <row r="158" spans="1:79">
      <c r="A158" s="186"/>
      <c r="B158" s="8">
        <v>4</v>
      </c>
      <c r="C158" s="1" t="s">
        <v>281</v>
      </c>
      <c r="D158" s="4" t="s">
        <v>282</v>
      </c>
      <c r="E158" s="4" t="s">
        <v>275</v>
      </c>
      <c r="F158" s="4"/>
      <c r="G158" s="4">
        <v>155000</v>
      </c>
      <c r="H158" s="4"/>
      <c r="I158" s="4">
        <v>72000</v>
      </c>
      <c r="J158" s="4"/>
      <c r="K158" s="4"/>
      <c r="L158" s="4"/>
      <c r="M158" s="4"/>
      <c r="N158" s="4"/>
      <c r="O158" s="9">
        <f t="shared" si="392"/>
        <v>227000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1">
        <f t="shared" si="393"/>
        <v>0</v>
      </c>
      <c r="Z158" s="25"/>
      <c r="AA158" s="20"/>
      <c r="AB158" s="20"/>
      <c r="AC158" s="20"/>
      <c r="AD158" s="20"/>
      <c r="AE158" s="20"/>
      <c r="AF158" s="21">
        <f t="shared" si="394"/>
        <v>0</v>
      </c>
      <c r="AG158" s="20"/>
      <c r="AH158" s="20"/>
      <c r="AI158" s="20"/>
      <c r="AJ158" s="20"/>
      <c r="AK158" s="20"/>
      <c r="AL158" s="20"/>
      <c r="AM158" s="20"/>
      <c r="AN158" s="20"/>
      <c r="AO158" s="20"/>
      <c r="AP158" s="9">
        <f t="shared" si="395"/>
        <v>0</v>
      </c>
      <c r="AQ158" s="4"/>
      <c r="AR158" s="4"/>
      <c r="AS158" s="4"/>
      <c r="AT158" s="4"/>
      <c r="AU158" s="4"/>
      <c r="AV158" s="4"/>
      <c r="AW158" s="4"/>
      <c r="AX158" s="4"/>
      <c r="AY158" s="4"/>
      <c r="AZ158" s="9">
        <f t="shared" si="396"/>
        <v>0</v>
      </c>
      <c r="BA158" s="25"/>
      <c r="BB158" s="20"/>
      <c r="BC158" s="20"/>
      <c r="BD158" s="20"/>
      <c r="BE158" s="20"/>
      <c r="BF158" s="20"/>
      <c r="BG158" s="21">
        <f t="shared" si="397"/>
        <v>0</v>
      </c>
      <c r="BH158" s="25"/>
      <c r="BI158" s="25"/>
      <c r="BJ158" s="25"/>
      <c r="BK158" s="25"/>
      <c r="BL158" s="20"/>
      <c r="BM158" s="20"/>
      <c r="BN158" s="20"/>
      <c r="BO158" s="20"/>
      <c r="BP158" s="20"/>
      <c r="BQ158" s="21">
        <f t="shared" si="398"/>
        <v>0</v>
      </c>
      <c r="BR158" s="4">
        <f t="shared" si="399"/>
        <v>0</v>
      </c>
      <c r="BS158" s="4">
        <f t="shared" si="400"/>
        <v>155000</v>
      </c>
      <c r="BT158" s="4">
        <f t="shared" si="401"/>
        <v>0</v>
      </c>
      <c r="BU158" s="4">
        <f t="shared" si="402"/>
        <v>72000</v>
      </c>
      <c r="BV158" s="94">
        <f t="shared" si="403"/>
        <v>0</v>
      </c>
      <c r="BW158" s="94">
        <f t="shared" si="404"/>
        <v>0</v>
      </c>
      <c r="BX158" s="94">
        <f t="shared" si="405"/>
        <v>0</v>
      </c>
      <c r="BY158" s="94">
        <f t="shared" si="406"/>
        <v>0</v>
      </c>
      <c r="BZ158" s="94">
        <f t="shared" si="407"/>
        <v>0</v>
      </c>
      <c r="CA158" s="9">
        <f t="shared" si="408"/>
        <v>227000</v>
      </c>
    </row>
    <row r="159" spans="1:79" ht="31.5">
      <c r="A159" s="187"/>
      <c r="B159" s="8">
        <v>5</v>
      </c>
      <c r="C159" s="1" t="s">
        <v>283</v>
      </c>
      <c r="D159" s="4" t="s">
        <v>284</v>
      </c>
      <c r="E159" s="4" t="s">
        <v>275</v>
      </c>
      <c r="F159" s="4">
        <v>155000</v>
      </c>
      <c r="G159" s="4">
        <v>152000</v>
      </c>
      <c r="H159" s="4">
        <v>514500</v>
      </c>
      <c r="I159" s="4">
        <v>508000</v>
      </c>
      <c r="J159" s="4">
        <f>24500+73000+101000+91000+71000</f>
        <v>360500</v>
      </c>
      <c r="K159" s="4">
        <f>422500+81000+40500</f>
        <v>544000</v>
      </c>
      <c r="L159" s="4">
        <v>549000</v>
      </c>
      <c r="M159" s="4">
        <v>556000</v>
      </c>
      <c r="N159" s="94">
        <v>561000</v>
      </c>
      <c r="O159" s="9">
        <f t="shared" si="392"/>
        <v>3900000</v>
      </c>
      <c r="P159" s="20"/>
      <c r="Q159" s="20"/>
      <c r="R159" s="25"/>
      <c r="S159" s="25"/>
      <c r="T159" s="20"/>
      <c r="U159" s="20"/>
      <c r="V159" s="20"/>
      <c r="W159" s="20"/>
      <c r="X159" s="20"/>
      <c r="Y159" s="21">
        <f t="shared" si="393"/>
        <v>0</v>
      </c>
      <c r="Z159" s="25"/>
      <c r="AA159" s="20"/>
      <c r="AB159" s="20"/>
      <c r="AC159" s="20"/>
      <c r="AD159" s="20"/>
      <c r="AE159" s="20"/>
      <c r="AF159" s="21">
        <f t="shared" si="394"/>
        <v>0</v>
      </c>
      <c r="AG159" s="20"/>
      <c r="AH159" s="20"/>
      <c r="AI159" s="20"/>
      <c r="AJ159" s="20"/>
      <c r="AK159" s="20"/>
      <c r="AL159" s="20"/>
      <c r="AM159" s="20"/>
      <c r="AN159" s="20"/>
      <c r="AO159" s="20"/>
      <c r="AP159" s="9">
        <f t="shared" si="395"/>
        <v>0</v>
      </c>
      <c r="AQ159" s="4"/>
      <c r="AR159" s="4"/>
      <c r="AS159" s="4"/>
      <c r="AT159" s="4"/>
      <c r="AU159" s="4"/>
      <c r="AV159" s="4"/>
      <c r="AW159" s="4"/>
      <c r="AX159" s="4"/>
      <c r="AY159" s="4"/>
      <c r="AZ159" s="9">
        <f t="shared" si="396"/>
        <v>0</v>
      </c>
      <c r="BA159" s="25"/>
      <c r="BB159" s="20"/>
      <c r="BC159" s="20"/>
      <c r="BD159" s="20"/>
      <c r="BE159" s="20"/>
      <c r="BF159" s="20"/>
      <c r="BG159" s="21">
        <f t="shared" si="397"/>
        <v>0</v>
      </c>
      <c r="BH159" s="25"/>
      <c r="BI159" s="25"/>
      <c r="BJ159" s="25"/>
      <c r="BK159" s="25"/>
      <c r="BL159" s="20"/>
      <c r="BM159" s="20"/>
      <c r="BN159" s="20"/>
      <c r="BO159" s="20"/>
      <c r="BP159" s="20"/>
      <c r="BQ159" s="21">
        <f t="shared" si="398"/>
        <v>0</v>
      </c>
      <c r="BR159" s="4">
        <f t="shared" si="399"/>
        <v>155000</v>
      </c>
      <c r="BS159" s="4">
        <f t="shared" si="400"/>
        <v>152000</v>
      </c>
      <c r="BT159" s="4">
        <f t="shared" si="401"/>
        <v>514500</v>
      </c>
      <c r="BU159" s="4">
        <f t="shared" si="402"/>
        <v>508000</v>
      </c>
      <c r="BV159" s="94">
        <f t="shared" si="403"/>
        <v>360500</v>
      </c>
      <c r="BW159" s="94">
        <f t="shared" si="404"/>
        <v>544000</v>
      </c>
      <c r="BX159" s="94">
        <f t="shared" si="405"/>
        <v>549000</v>
      </c>
      <c r="BY159" s="94">
        <f t="shared" si="406"/>
        <v>556000</v>
      </c>
      <c r="BZ159" s="94">
        <f t="shared" si="407"/>
        <v>561000</v>
      </c>
      <c r="CA159" s="9">
        <f t="shared" si="408"/>
        <v>3900000</v>
      </c>
    </row>
    <row r="160" spans="1:79" s="36" customFormat="1">
      <c r="A160" s="34"/>
      <c r="B160" s="34"/>
      <c r="C160" s="35" t="s">
        <v>287</v>
      </c>
      <c r="D160" s="37"/>
      <c r="E160" s="37"/>
      <c r="F160" s="37">
        <f t="shared" ref="F160:CA160" si="409">SUM(F155:F159)</f>
        <v>155000</v>
      </c>
      <c r="G160" s="37">
        <f t="shared" si="409"/>
        <v>1012000</v>
      </c>
      <c r="H160" s="37">
        <f t="shared" si="409"/>
        <v>799500</v>
      </c>
      <c r="I160" s="37">
        <f t="shared" si="409"/>
        <v>580000</v>
      </c>
      <c r="J160" s="37">
        <f t="shared" si="409"/>
        <v>360500</v>
      </c>
      <c r="K160" s="37">
        <f t="shared" si="409"/>
        <v>544000</v>
      </c>
      <c r="L160" s="37">
        <f t="shared" ref="L160:N160" si="410">SUM(L155:L159)</f>
        <v>549000</v>
      </c>
      <c r="M160" s="37">
        <f t="shared" si="410"/>
        <v>556000</v>
      </c>
      <c r="N160" s="37">
        <f t="shared" si="410"/>
        <v>561000</v>
      </c>
      <c r="O160" s="37">
        <f t="shared" si="409"/>
        <v>5117000</v>
      </c>
      <c r="P160" s="37">
        <f t="shared" ref="P160:U160" si="411">SUM(P155:P159)</f>
        <v>0</v>
      </c>
      <c r="Q160" s="37">
        <f t="shared" si="411"/>
        <v>1068000</v>
      </c>
      <c r="R160" s="37">
        <f t="shared" si="411"/>
        <v>582000</v>
      </c>
      <c r="S160" s="37">
        <f t="shared" si="411"/>
        <v>0</v>
      </c>
      <c r="T160" s="37">
        <f t="shared" si="411"/>
        <v>0</v>
      </c>
      <c r="U160" s="37">
        <f t="shared" si="411"/>
        <v>0</v>
      </c>
      <c r="V160" s="37">
        <f t="shared" ref="V160:X160" si="412">SUM(V155:V159)</f>
        <v>0</v>
      </c>
      <c r="W160" s="37">
        <f t="shared" si="412"/>
        <v>270000</v>
      </c>
      <c r="X160" s="37">
        <f t="shared" si="412"/>
        <v>0</v>
      </c>
      <c r="Y160" s="37">
        <f t="shared" ref="Y160:AB160" si="413">SUM(Y155:Y159)</f>
        <v>1920000</v>
      </c>
      <c r="Z160" s="37">
        <f t="shared" si="413"/>
        <v>0</v>
      </c>
      <c r="AA160" s="37">
        <f t="shared" si="413"/>
        <v>0</v>
      </c>
      <c r="AB160" s="37">
        <f t="shared" si="413"/>
        <v>0</v>
      </c>
      <c r="AC160" s="37">
        <f t="shared" ref="AC160:AE160" si="414">SUM(AC155:AC159)</f>
        <v>0</v>
      </c>
      <c r="AD160" s="37">
        <f t="shared" si="414"/>
        <v>0</v>
      </c>
      <c r="AE160" s="37">
        <f t="shared" si="414"/>
        <v>0</v>
      </c>
      <c r="AF160" s="37">
        <f t="shared" ref="AF160:AL160" si="415">SUM(AF155:AF159)</f>
        <v>0</v>
      </c>
      <c r="AG160" s="37">
        <f t="shared" si="415"/>
        <v>0</v>
      </c>
      <c r="AH160" s="37">
        <f t="shared" si="415"/>
        <v>1630000</v>
      </c>
      <c r="AI160" s="37">
        <f t="shared" si="415"/>
        <v>826000</v>
      </c>
      <c r="AJ160" s="37">
        <f t="shared" si="415"/>
        <v>-135000</v>
      </c>
      <c r="AK160" s="37">
        <f t="shared" si="415"/>
        <v>0</v>
      </c>
      <c r="AL160" s="37">
        <f t="shared" si="415"/>
        <v>0</v>
      </c>
      <c r="AM160" s="37">
        <f t="shared" ref="AM160:AO160" si="416">SUM(AM155:AM159)</f>
        <v>0</v>
      </c>
      <c r="AN160" s="37">
        <f t="shared" si="416"/>
        <v>660000</v>
      </c>
      <c r="AO160" s="37">
        <f t="shared" si="416"/>
        <v>630000</v>
      </c>
      <c r="AP160" s="37">
        <f t="shared" ref="AP160" si="417">SUM(AP155:AP159)</f>
        <v>3611000</v>
      </c>
      <c r="AQ160" s="37">
        <f t="shared" si="409"/>
        <v>0</v>
      </c>
      <c r="AR160" s="37">
        <f t="shared" si="409"/>
        <v>0</v>
      </c>
      <c r="AS160" s="37">
        <f t="shared" si="409"/>
        <v>360000</v>
      </c>
      <c r="AT160" s="37">
        <f t="shared" si="409"/>
        <v>705000</v>
      </c>
      <c r="AU160" s="37">
        <f t="shared" si="409"/>
        <v>700000</v>
      </c>
      <c r="AV160" s="37">
        <f t="shared" si="409"/>
        <v>1225000</v>
      </c>
      <c r="AW160" s="37">
        <f t="shared" ref="AW160:AY160" si="418">SUM(AW155:AW159)</f>
        <v>880000</v>
      </c>
      <c r="AX160" s="37">
        <f t="shared" si="418"/>
        <v>1210000</v>
      </c>
      <c r="AY160" s="37">
        <f t="shared" si="418"/>
        <v>660000</v>
      </c>
      <c r="AZ160" s="37">
        <f t="shared" si="409"/>
        <v>5740000</v>
      </c>
      <c r="BA160" s="37">
        <f t="shared" si="409"/>
        <v>0</v>
      </c>
      <c r="BB160" s="37">
        <f t="shared" si="409"/>
        <v>0</v>
      </c>
      <c r="BC160" s="37">
        <f t="shared" si="409"/>
        <v>0</v>
      </c>
      <c r="BD160" s="37">
        <f t="shared" ref="BD160:BF160" si="419">SUM(BD155:BD159)</f>
        <v>0</v>
      </c>
      <c r="BE160" s="37">
        <f t="shared" si="419"/>
        <v>0</v>
      </c>
      <c r="BF160" s="37">
        <f t="shared" si="419"/>
        <v>0</v>
      </c>
      <c r="BG160" s="37">
        <f t="shared" si="409"/>
        <v>0</v>
      </c>
      <c r="BH160" s="37">
        <f t="shared" si="409"/>
        <v>0</v>
      </c>
      <c r="BI160" s="37">
        <f t="shared" si="409"/>
        <v>0</v>
      </c>
      <c r="BJ160" s="37">
        <f t="shared" si="409"/>
        <v>0</v>
      </c>
      <c r="BK160" s="37">
        <f t="shared" si="409"/>
        <v>0</v>
      </c>
      <c r="BL160" s="37">
        <f t="shared" si="409"/>
        <v>0</v>
      </c>
      <c r="BM160" s="37">
        <f t="shared" si="409"/>
        <v>0</v>
      </c>
      <c r="BN160" s="37">
        <f t="shared" ref="BN160:BP160" si="420">SUM(BN155:BN159)</f>
        <v>0</v>
      </c>
      <c r="BO160" s="37">
        <f t="shared" si="420"/>
        <v>0</v>
      </c>
      <c r="BP160" s="37">
        <f t="shared" si="420"/>
        <v>0</v>
      </c>
      <c r="BQ160" s="37">
        <f t="shared" si="409"/>
        <v>0</v>
      </c>
      <c r="BR160" s="37">
        <f t="shared" si="409"/>
        <v>155000</v>
      </c>
      <c r="BS160" s="37">
        <f t="shared" si="409"/>
        <v>3710000</v>
      </c>
      <c r="BT160" s="37">
        <f t="shared" si="409"/>
        <v>2567500</v>
      </c>
      <c r="BU160" s="37">
        <f t="shared" si="409"/>
        <v>1150000</v>
      </c>
      <c r="BV160" s="37">
        <f t="shared" si="409"/>
        <v>1060500</v>
      </c>
      <c r="BW160" s="144">
        <f>SUM(BW155:BW159)</f>
        <v>1769000</v>
      </c>
      <c r="BX160" s="37">
        <f t="shared" ref="BX160:BY160" si="421">SUM(BX155:BX159)</f>
        <v>1429000</v>
      </c>
      <c r="BY160" s="37">
        <f t="shared" si="421"/>
        <v>2666000</v>
      </c>
      <c r="BZ160" s="144">
        <f>SUM(BZ155:BZ159)</f>
        <v>1851000</v>
      </c>
      <c r="CA160" s="37">
        <f t="shared" si="409"/>
        <v>16358000</v>
      </c>
    </row>
    <row r="161" spans="1:79" ht="31.5">
      <c r="A161" s="185" t="s">
        <v>21</v>
      </c>
      <c r="B161" s="8">
        <v>1</v>
      </c>
      <c r="C161" s="55" t="s">
        <v>288</v>
      </c>
      <c r="D161" s="56" t="s">
        <v>289</v>
      </c>
      <c r="E161" s="56" t="s">
        <v>21</v>
      </c>
      <c r="F161" s="56"/>
      <c r="G161" s="56">
        <v>155000</v>
      </c>
      <c r="H161" s="56">
        <f>100000+50000</f>
        <v>150000</v>
      </c>
      <c r="I161" s="56">
        <v>651500</v>
      </c>
      <c r="J161" s="4">
        <f>157500+180500+175000+133000+110500</f>
        <v>756500</v>
      </c>
      <c r="K161" s="4">
        <f>725500+164000+87000</f>
        <v>976500</v>
      </c>
      <c r="L161" s="4">
        <v>224500</v>
      </c>
      <c r="M161" s="4">
        <v>979000</v>
      </c>
      <c r="N161" s="94">
        <v>698500</v>
      </c>
      <c r="O161" s="9">
        <f t="shared" ref="O161:O168" si="422">SUM(F161:N161)</f>
        <v>4591500</v>
      </c>
      <c r="P161" s="57"/>
      <c r="Q161" s="57"/>
      <c r="R161" s="57"/>
      <c r="S161" s="57"/>
      <c r="T161" s="20"/>
      <c r="U161" s="20"/>
      <c r="V161" s="20"/>
      <c r="W161" s="20"/>
      <c r="X161" s="20"/>
      <c r="Y161" s="21">
        <f t="shared" ref="Y161:Y168" si="423">SUM(P161:X161)</f>
        <v>0</v>
      </c>
      <c r="Z161" s="58"/>
      <c r="AA161" s="20"/>
      <c r="AB161" s="20"/>
      <c r="AC161" s="20"/>
      <c r="AD161" s="20"/>
      <c r="AE161" s="20"/>
      <c r="AF161" s="21">
        <f t="shared" ref="AF161:AF168" si="424">SUM(Z161:AE161)</f>
        <v>0</v>
      </c>
      <c r="AG161" s="57"/>
      <c r="AH161" s="57"/>
      <c r="AI161" s="57"/>
      <c r="AJ161" s="57"/>
      <c r="AK161" s="57"/>
      <c r="AL161" s="57"/>
      <c r="AM161" s="57"/>
      <c r="AN161" s="57"/>
      <c r="AO161" s="57"/>
      <c r="AP161" s="9">
        <f t="shared" ref="AP161:AP168" si="425">SUM(AG161:AO161)</f>
        <v>0</v>
      </c>
      <c r="AQ161" s="56"/>
      <c r="AR161" s="56"/>
      <c r="AS161" s="56"/>
      <c r="AT161" s="56"/>
      <c r="AU161" s="4"/>
      <c r="AV161" s="4"/>
      <c r="AW161" s="4"/>
      <c r="AX161" s="4"/>
      <c r="AY161" s="4"/>
      <c r="AZ161" s="9">
        <f t="shared" ref="AZ161:AZ168" si="426">SUM(AQ161:AY161)</f>
        <v>0</v>
      </c>
      <c r="BA161" s="58"/>
      <c r="BB161" s="57"/>
      <c r="BC161" s="57"/>
      <c r="BD161" s="57"/>
      <c r="BE161" s="57"/>
      <c r="BF161" s="57"/>
      <c r="BG161" s="21">
        <f t="shared" ref="BG161:BG168" si="427">SUM(BA161:BF161)</f>
        <v>0</v>
      </c>
      <c r="BH161" s="58"/>
      <c r="BI161" s="58"/>
      <c r="BJ161" s="58">
        <v>100000</v>
      </c>
      <c r="BK161" s="58">
        <v>125000</v>
      </c>
      <c r="BL161" s="20"/>
      <c r="BM161" s="20"/>
      <c r="BN161" s="20"/>
      <c r="BO161" s="20"/>
      <c r="BP161" s="20"/>
      <c r="BQ161" s="21">
        <f t="shared" ref="BQ161:BQ168" si="428">SUM(BH161:BP161)</f>
        <v>225000</v>
      </c>
      <c r="BR161" s="4">
        <f t="shared" ref="BR161:BR168" si="429">F161+P161+AG161+AQ161+BH161</f>
        <v>0</v>
      </c>
      <c r="BS161" s="4">
        <f t="shared" ref="BS161:BS168" si="430">G161+Q161+AH161+AR161+BI161</f>
        <v>155000</v>
      </c>
      <c r="BT161" s="4">
        <f t="shared" ref="BT161:BT168" si="431">H161+R161+AI161+AS161+BJ161</f>
        <v>250000</v>
      </c>
      <c r="BU161" s="4">
        <f t="shared" ref="BU161:BU168" si="432">I161+S161+Z161+AJ161+AT161+BA161+BK161</f>
        <v>776500</v>
      </c>
      <c r="BV161" s="94">
        <f t="shared" ref="BV161:BV168" si="433">J161+T161+AA161+AK161+AU161+BB161+BL161</f>
        <v>756500</v>
      </c>
      <c r="BW161" s="94">
        <f t="shared" ref="BW161:BW168" si="434">K161+U161+AB161+AM161+AV161+BC161+BM161</f>
        <v>976500</v>
      </c>
      <c r="BX161" s="94">
        <f t="shared" ref="BX161:BX168" si="435">L161+V161+AC161+AM161+AW161+BD161+BN161</f>
        <v>224500</v>
      </c>
      <c r="BY161" s="94">
        <f t="shared" ref="BY161:BY168" si="436">M161+W161+AD161+AO161+AX161+BE161+BO161</f>
        <v>979000</v>
      </c>
      <c r="BZ161" s="94">
        <f t="shared" ref="BZ161:BZ168" si="437">N161+X161+AE161+AO161+AY161+BF161+BP161</f>
        <v>698500</v>
      </c>
      <c r="CA161" s="9">
        <f t="shared" ref="CA161:CA168" si="438">SUM(BR161:BZ161)</f>
        <v>4816500</v>
      </c>
    </row>
    <row r="162" spans="1:79" ht="31.5">
      <c r="A162" s="186"/>
      <c r="B162" s="8">
        <v>2</v>
      </c>
      <c r="C162" s="1" t="s">
        <v>290</v>
      </c>
      <c r="D162" s="91" t="s">
        <v>417</v>
      </c>
      <c r="E162" s="4" t="s">
        <v>21</v>
      </c>
      <c r="F162" s="4"/>
      <c r="G162" s="4"/>
      <c r="H162" s="4"/>
      <c r="I162" s="4"/>
      <c r="J162" s="4"/>
      <c r="K162" s="4"/>
      <c r="L162" s="4"/>
      <c r="M162" s="4"/>
      <c r="N162" s="4"/>
      <c r="O162" s="9">
        <f t="shared" si="422"/>
        <v>0</v>
      </c>
      <c r="P162" s="20"/>
      <c r="Q162" s="20">
        <v>256750</v>
      </c>
      <c r="R162" s="25">
        <v>340750</v>
      </c>
      <c r="S162" s="24">
        <v>950000</v>
      </c>
      <c r="T162" s="20">
        <f>70000+210000+420000+140000</f>
        <v>840000</v>
      </c>
      <c r="U162" s="20">
        <f>889200+197100+98550</f>
        <v>1184850</v>
      </c>
      <c r="V162" s="20">
        <v>1331550</v>
      </c>
      <c r="W162" s="20">
        <v>1399050</v>
      </c>
      <c r="X162" s="174">
        <v>1035600</v>
      </c>
      <c r="Y162" s="21">
        <f t="shared" si="423"/>
        <v>7338550</v>
      </c>
      <c r="Z162" s="25"/>
      <c r="AA162" s="20"/>
      <c r="AB162" s="20"/>
      <c r="AC162" s="20"/>
      <c r="AD162" s="20"/>
      <c r="AE162" s="20"/>
      <c r="AF162" s="21">
        <f t="shared" si="424"/>
        <v>0</v>
      </c>
      <c r="AG162" s="20"/>
      <c r="AH162" s="20"/>
      <c r="AI162" s="20"/>
      <c r="AJ162" s="20"/>
      <c r="AK162" s="20"/>
      <c r="AL162" s="20"/>
      <c r="AM162" s="20"/>
      <c r="AN162" s="20"/>
      <c r="AO162" s="20"/>
      <c r="AP162" s="9">
        <f t="shared" si="425"/>
        <v>0</v>
      </c>
      <c r="AQ162" s="4"/>
      <c r="AR162" s="4"/>
      <c r="AS162" s="4"/>
      <c r="AT162" s="4"/>
      <c r="AU162" s="4"/>
      <c r="AV162" s="4"/>
      <c r="AW162" s="4"/>
      <c r="AX162" s="4"/>
      <c r="AY162" s="4"/>
      <c r="AZ162" s="9">
        <f t="shared" si="426"/>
        <v>0</v>
      </c>
      <c r="BA162" s="25"/>
      <c r="BB162" s="20"/>
      <c r="BC162" s="20"/>
      <c r="BD162" s="20"/>
      <c r="BE162" s="20"/>
      <c r="BF162" s="20"/>
      <c r="BG162" s="21">
        <f t="shared" si="427"/>
        <v>0</v>
      </c>
      <c r="BH162" s="25"/>
      <c r="BI162" s="25"/>
      <c r="BJ162" s="25"/>
      <c r="BK162" s="25"/>
      <c r="BL162" s="20"/>
      <c r="BM162" s="20"/>
      <c r="BN162" s="20"/>
      <c r="BO162" s="20"/>
      <c r="BP162" s="20"/>
      <c r="BQ162" s="21">
        <f t="shared" si="428"/>
        <v>0</v>
      </c>
      <c r="BR162" s="4">
        <f t="shared" si="429"/>
        <v>0</v>
      </c>
      <c r="BS162" s="4">
        <f t="shared" si="430"/>
        <v>256750</v>
      </c>
      <c r="BT162" s="4">
        <f t="shared" si="431"/>
        <v>340750</v>
      </c>
      <c r="BU162" s="4">
        <f t="shared" si="432"/>
        <v>950000</v>
      </c>
      <c r="BV162" s="94">
        <f t="shared" si="433"/>
        <v>840000</v>
      </c>
      <c r="BW162" s="94">
        <f t="shared" si="434"/>
        <v>1184850</v>
      </c>
      <c r="BX162" s="94">
        <f t="shared" si="435"/>
        <v>1331550</v>
      </c>
      <c r="BY162" s="94">
        <f t="shared" si="436"/>
        <v>1399050</v>
      </c>
      <c r="BZ162" s="94">
        <f t="shared" si="437"/>
        <v>1035600</v>
      </c>
      <c r="CA162" s="9">
        <f t="shared" si="438"/>
        <v>7338550</v>
      </c>
    </row>
    <row r="163" spans="1:79" ht="47.25">
      <c r="A163" s="186"/>
      <c r="B163" s="8">
        <v>3</v>
      </c>
      <c r="C163" s="42" t="s">
        <v>291</v>
      </c>
      <c r="D163" s="43" t="s">
        <v>292</v>
      </c>
      <c r="E163" s="4" t="s">
        <v>21</v>
      </c>
      <c r="F163" s="4"/>
      <c r="G163" s="4"/>
      <c r="H163" s="4"/>
      <c r="I163" s="4"/>
      <c r="J163" s="4"/>
      <c r="K163" s="4"/>
      <c r="L163" s="4"/>
      <c r="M163" s="4"/>
      <c r="N163" s="4"/>
      <c r="O163" s="9">
        <f t="shared" si="422"/>
        <v>0</v>
      </c>
      <c r="P163" s="20"/>
      <c r="Q163" s="20"/>
      <c r="R163" s="25"/>
      <c r="S163" s="25"/>
      <c r="T163" s="20"/>
      <c r="U163" s="20"/>
      <c r="V163" s="20"/>
      <c r="W163" s="20"/>
      <c r="X163" s="20"/>
      <c r="Y163" s="21">
        <f t="shared" si="423"/>
        <v>0</v>
      </c>
      <c r="Z163" s="25"/>
      <c r="AA163" s="20"/>
      <c r="AB163" s="20"/>
      <c r="AC163" s="20"/>
      <c r="AD163" s="20"/>
      <c r="AE163" s="20"/>
      <c r="AF163" s="21">
        <f t="shared" si="424"/>
        <v>0</v>
      </c>
      <c r="AG163" s="20"/>
      <c r="AH163" s="20"/>
      <c r="AI163" s="4">
        <v>471935</v>
      </c>
      <c r="AJ163" s="22">
        <v>360000</v>
      </c>
      <c r="AK163" s="22">
        <f>825000+225000+225000+225000+150000</f>
        <v>1650000</v>
      </c>
      <c r="AL163" s="22">
        <f>1391000+812000</f>
        <v>2203000</v>
      </c>
      <c r="AM163" s="22">
        <f>203000+406000+406000+203000+203000+406000+203000</f>
        <v>2030000</v>
      </c>
      <c r="AN163" s="4">
        <f>819000+406000+203000+203000+203000+609000</f>
        <v>2443000</v>
      </c>
      <c r="AO163" s="4">
        <v>1827000</v>
      </c>
      <c r="AP163" s="9">
        <f t="shared" si="425"/>
        <v>10984935</v>
      </c>
      <c r="AQ163" s="4"/>
      <c r="AR163" s="4"/>
      <c r="AS163" s="4"/>
      <c r="AT163" s="4"/>
      <c r="AU163" s="4"/>
      <c r="AV163" s="4"/>
      <c r="AW163" s="4"/>
      <c r="AX163" s="4"/>
      <c r="AY163" s="4"/>
      <c r="AZ163" s="9">
        <f t="shared" si="426"/>
        <v>0</v>
      </c>
      <c r="BA163" s="25"/>
      <c r="BB163" s="20"/>
      <c r="BC163" s="20"/>
      <c r="BD163" s="20"/>
      <c r="BE163" s="20"/>
      <c r="BF163" s="4"/>
      <c r="BG163" s="21">
        <f t="shared" si="427"/>
        <v>0</v>
      </c>
      <c r="BH163" s="25"/>
      <c r="BI163" s="25"/>
      <c r="BJ163" s="25"/>
      <c r="BK163" s="25"/>
      <c r="BL163" s="20"/>
      <c r="BM163" s="20"/>
      <c r="BN163" s="20"/>
      <c r="BO163" s="20"/>
      <c r="BP163" s="20"/>
      <c r="BQ163" s="21">
        <f t="shared" si="428"/>
        <v>0</v>
      </c>
      <c r="BR163" s="4">
        <f t="shared" si="429"/>
        <v>0</v>
      </c>
      <c r="BS163" s="4">
        <f t="shared" si="430"/>
        <v>0</v>
      </c>
      <c r="BT163" s="4">
        <f t="shared" si="431"/>
        <v>471935</v>
      </c>
      <c r="BU163" s="4">
        <f t="shared" si="432"/>
        <v>360000</v>
      </c>
      <c r="BV163" s="94">
        <f t="shared" si="433"/>
        <v>1650000</v>
      </c>
      <c r="BW163" s="94">
        <f t="shared" si="434"/>
        <v>2030000</v>
      </c>
      <c r="BX163" s="94">
        <f t="shared" si="435"/>
        <v>2030000</v>
      </c>
      <c r="BY163" s="94">
        <f t="shared" si="436"/>
        <v>1827000</v>
      </c>
      <c r="BZ163" s="94">
        <f t="shared" si="437"/>
        <v>1827000</v>
      </c>
      <c r="CA163" s="9">
        <f t="shared" si="438"/>
        <v>10195935</v>
      </c>
    </row>
    <row r="164" spans="1:79" ht="30">
      <c r="A164" s="186"/>
      <c r="B164" s="8">
        <v>5</v>
      </c>
      <c r="C164" s="2" t="s">
        <v>15</v>
      </c>
      <c r="D164" s="13" t="s">
        <v>41</v>
      </c>
      <c r="E164" s="4" t="s">
        <v>21</v>
      </c>
      <c r="F164" s="4"/>
      <c r="G164" s="4"/>
      <c r="H164" s="4"/>
      <c r="I164" s="4"/>
      <c r="J164" s="4"/>
      <c r="K164" s="4"/>
      <c r="L164" s="4"/>
      <c r="M164" s="4"/>
      <c r="N164" s="4"/>
      <c r="O164" s="9">
        <f t="shared" si="422"/>
        <v>0</v>
      </c>
      <c r="P164" s="20"/>
      <c r="Q164" s="20"/>
      <c r="R164" s="25"/>
      <c r="S164" s="25"/>
      <c r="T164" s="20"/>
      <c r="U164" s="20"/>
      <c r="V164" s="20"/>
      <c r="W164" s="20"/>
      <c r="X164" s="20"/>
      <c r="Y164" s="21">
        <f t="shared" si="423"/>
        <v>0</v>
      </c>
      <c r="Z164" s="25"/>
      <c r="AA164" s="20"/>
      <c r="AB164" s="20"/>
      <c r="AC164" s="20"/>
      <c r="AD164" s="20"/>
      <c r="AE164" s="20"/>
      <c r="AF164" s="21">
        <f t="shared" si="424"/>
        <v>0</v>
      </c>
      <c r="AG164" s="20"/>
      <c r="AH164" s="20"/>
      <c r="AI164" s="4"/>
      <c r="AJ164" s="20"/>
      <c r="AK164" s="20"/>
      <c r="AL164" s="20"/>
      <c r="AM164" s="20"/>
      <c r="AN164" s="20"/>
      <c r="AO164" s="20"/>
      <c r="AP164" s="9">
        <f t="shared" si="425"/>
        <v>0</v>
      </c>
      <c r="AQ164" s="4"/>
      <c r="AR164" s="4"/>
      <c r="AS164" s="4"/>
      <c r="AT164" s="4"/>
      <c r="AU164" s="4"/>
      <c r="AV164" s="4"/>
      <c r="AW164" s="4"/>
      <c r="AX164" s="4"/>
      <c r="AY164" s="4"/>
      <c r="AZ164" s="9">
        <f t="shared" si="426"/>
        <v>0</v>
      </c>
      <c r="BA164" s="25"/>
      <c r="BB164" s="20"/>
      <c r="BC164" s="20"/>
      <c r="BD164" s="20"/>
      <c r="BE164" s="20"/>
      <c r="BF164" s="20"/>
      <c r="BG164" s="21">
        <f t="shared" si="427"/>
        <v>0</v>
      </c>
      <c r="BH164" s="25"/>
      <c r="BI164" s="25">
        <v>100000</v>
      </c>
      <c r="BJ164" s="25">
        <v>248400</v>
      </c>
      <c r="BK164" s="25">
        <v>240000</v>
      </c>
      <c r="BL164" s="20"/>
      <c r="BM164" s="20"/>
      <c r="BN164" s="20"/>
      <c r="BO164" s="20"/>
      <c r="BP164" s="20"/>
      <c r="BQ164" s="21">
        <f t="shared" si="428"/>
        <v>588400</v>
      </c>
      <c r="BR164" s="4">
        <f t="shared" si="429"/>
        <v>0</v>
      </c>
      <c r="BS164" s="4">
        <f t="shared" si="430"/>
        <v>100000</v>
      </c>
      <c r="BT164" s="4">
        <f t="shared" si="431"/>
        <v>248400</v>
      </c>
      <c r="BU164" s="4">
        <f t="shared" si="432"/>
        <v>240000</v>
      </c>
      <c r="BV164" s="94">
        <f t="shared" si="433"/>
        <v>0</v>
      </c>
      <c r="BW164" s="94">
        <f t="shared" si="434"/>
        <v>0</v>
      </c>
      <c r="BX164" s="94">
        <f t="shared" si="435"/>
        <v>0</v>
      </c>
      <c r="BY164" s="94">
        <f t="shared" si="436"/>
        <v>0</v>
      </c>
      <c r="BZ164" s="94">
        <f t="shared" si="437"/>
        <v>0</v>
      </c>
      <c r="CA164" s="9">
        <f t="shared" si="438"/>
        <v>588400</v>
      </c>
    </row>
    <row r="165" spans="1:79" ht="31.5">
      <c r="A165" s="186"/>
      <c r="B165" s="8">
        <v>6</v>
      </c>
      <c r="C165" s="1" t="s">
        <v>294</v>
      </c>
      <c r="D165" s="91" t="s">
        <v>419</v>
      </c>
      <c r="E165" s="4" t="s">
        <v>21</v>
      </c>
      <c r="F165" s="4"/>
      <c r="G165" s="4"/>
      <c r="H165" s="4"/>
      <c r="I165" s="4"/>
      <c r="J165" s="4"/>
      <c r="K165" s="4"/>
      <c r="L165" s="4"/>
      <c r="M165" s="4"/>
      <c r="N165" s="4"/>
      <c r="O165" s="9">
        <f t="shared" si="422"/>
        <v>0</v>
      </c>
      <c r="P165" s="20"/>
      <c r="Q165" s="25">
        <v>394250</v>
      </c>
      <c r="R165" s="25">
        <v>480150</v>
      </c>
      <c r="S165" s="25">
        <v>736500</v>
      </c>
      <c r="T165" s="20">
        <f>133000+210000+210000+210000+140000</f>
        <v>903000</v>
      </c>
      <c r="U165" s="20">
        <f>973700+203282+98000</f>
        <v>1274982</v>
      </c>
      <c r="V165" s="20">
        <v>1457009</v>
      </c>
      <c r="W165" s="20">
        <v>1600500</v>
      </c>
      <c r="X165" s="174">
        <v>1159150</v>
      </c>
      <c r="Y165" s="21">
        <f t="shared" si="423"/>
        <v>8005541</v>
      </c>
      <c r="Z165" s="25"/>
      <c r="AA165" s="20"/>
      <c r="AB165" s="20"/>
      <c r="AC165" s="20"/>
      <c r="AD165" s="20"/>
      <c r="AE165" s="20"/>
      <c r="AF165" s="21">
        <f t="shared" si="424"/>
        <v>0</v>
      </c>
      <c r="AG165" s="20"/>
      <c r="AH165" s="20"/>
      <c r="AI165" s="4"/>
      <c r="AJ165" s="20"/>
      <c r="AK165" s="20"/>
      <c r="AL165" s="20"/>
      <c r="AM165" s="20"/>
      <c r="AN165" s="20"/>
      <c r="AO165" s="20"/>
      <c r="AP165" s="9">
        <f t="shared" si="425"/>
        <v>0</v>
      </c>
      <c r="AQ165" s="4"/>
      <c r="AR165" s="4"/>
      <c r="AS165" s="4"/>
      <c r="AT165" s="4"/>
      <c r="AU165" s="4"/>
      <c r="AV165" s="4"/>
      <c r="AW165" s="4"/>
      <c r="AX165" s="4"/>
      <c r="AY165" s="4"/>
      <c r="AZ165" s="9">
        <f t="shared" si="426"/>
        <v>0</v>
      </c>
      <c r="BA165" s="25"/>
      <c r="BB165" s="20"/>
      <c r="BC165" s="20"/>
      <c r="BD165" s="20"/>
      <c r="BE165" s="20"/>
      <c r="BF165" s="20"/>
      <c r="BG165" s="21">
        <f t="shared" si="427"/>
        <v>0</v>
      </c>
      <c r="BH165" s="25"/>
      <c r="BI165" s="25"/>
      <c r="BJ165" s="25"/>
      <c r="BK165" s="25"/>
      <c r="BL165" s="20"/>
      <c r="BM165" s="20"/>
      <c r="BN165" s="20"/>
      <c r="BO165" s="20"/>
      <c r="BP165" s="20"/>
      <c r="BQ165" s="21">
        <f t="shared" si="428"/>
        <v>0</v>
      </c>
      <c r="BR165" s="4">
        <f t="shared" si="429"/>
        <v>0</v>
      </c>
      <c r="BS165" s="4">
        <f t="shared" si="430"/>
        <v>394250</v>
      </c>
      <c r="BT165" s="4">
        <f t="shared" si="431"/>
        <v>480150</v>
      </c>
      <c r="BU165" s="4">
        <f t="shared" si="432"/>
        <v>736500</v>
      </c>
      <c r="BV165" s="94">
        <f t="shared" si="433"/>
        <v>903000</v>
      </c>
      <c r="BW165" s="94">
        <f t="shared" si="434"/>
        <v>1274982</v>
      </c>
      <c r="BX165" s="94">
        <f t="shared" si="435"/>
        <v>1457009</v>
      </c>
      <c r="BY165" s="94">
        <f t="shared" si="436"/>
        <v>1600500</v>
      </c>
      <c r="BZ165" s="94">
        <f t="shared" si="437"/>
        <v>1159150</v>
      </c>
      <c r="CA165" s="9">
        <f t="shared" si="438"/>
        <v>8005541</v>
      </c>
    </row>
    <row r="166" spans="1:79" ht="31.5">
      <c r="A166" s="186"/>
      <c r="B166" s="8">
        <v>7</v>
      </c>
      <c r="C166" s="40" t="s">
        <v>295</v>
      </c>
      <c r="D166" s="41" t="s">
        <v>296</v>
      </c>
      <c r="E166" s="4" t="s">
        <v>21</v>
      </c>
      <c r="F166" s="4"/>
      <c r="G166" s="4"/>
      <c r="H166" s="4"/>
      <c r="I166" s="4"/>
      <c r="J166" s="4"/>
      <c r="K166" s="4"/>
      <c r="L166" s="4"/>
      <c r="M166" s="4"/>
      <c r="N166" s="4"/>
      <c r="O166" s="9">
        <f t="shared" si="422"/>
        <v>0</v>
      </c>
      <c r="P166" s="20"/>
      <c r="Q166" s="25"/>
      <c r="R166" s="25"/>
      <c r="S166" s="25"/>
      <c r="T166" s="20"/>
      <c r="U166" s="20"/>
      <c r="V166" s="20"/>
      <c r="W166" s="20"/>
      <c r="X166" s="20"/>
      <c r="Y166" s="21">
        <f t="shared" si="423"/>
        <v>0</v>
      </c>
      <c r="Z166" s="25"/>
      <c r="AA166" s="20"/>
      <c r="AB166" s="20"/>
      <c r="AC166" s="20"/>
      <c r="AD166" s="20"/>
      <c r="AE166" s="20"/>
      <c r="AF166" s="21">
        <f t="shared" si="424"/>
        <v>0</v>
      </c>
      <c r="AG166" s="20">
        <v>290000</v>
      </c>
      <c r="AH166" s="22">
        <v>609000</v>
      </c>
      <c r="AI166" s="4">
        <v>2842000</v>
      </c>
      <c r="AJ166" s="22">
        <v>360000</v>
      </c>
      <c r="AK166" s="22"/>
      <c r="AL166" s="22"/>
      <c r="AM166" s="22"/>
      <c r="AN166" s="32"/>
      <c r="AO166" s="32"/>
      <c r="AP166" s="9">
        <f t="shared" si="425"/>
        <v>4101000</v>
      </c>
      <c r="AQ166" s="76">
        <v>290000</v>
      </c>
      <c r="AR166" s="76">
        <v>1230000</v>
      </c>
      <c r="AS166" s="76">
        <v>1610000</v>
      </c>
      <c r="AT166" s="76">
        <v>300000</v>
      </c>
      <c r="AU166" s="4"/>
      <c r="AV166" s="4"/>
      <c r="AW166" s="4"/>
      <c r="AX166" s="4"/>
      <c r="AY166" s="4"/>
      <c r="AZ166" s="9">
        <f t="shared" si="426"/>
        <v>3430000</v>
      </c>
      <c r="BA166" s="25">
        <v>800000</v>
      </c>
      <c r="BB166" s="20">
        <f>300000+300000+300000+300000+200000</f>
        <v>1400000</v>
      </c>
      <c r="BC166" s="20">
        <f>1876500+255000</f>
        <v>2131500</v>
      </c>
      <c r="BD166" s="20">
        <f>509500+306000+765000+255000+255000+510000+255000</f>
        <v>2855500</v>
      </c>
      <c r="BE166" s="20">
        <f>765000+510000+255000+1003000+493000+246500</f>
        <v>3272500</v>
      </c>
      <c r="BF166" s="32">
        <v>2023000</v>
      </c>
      <c r="BG166" s="21">
        <f t="shared" si="427"/>
        <v>12482500</v>
      </c>
      <c r="BH166" s="25"/>
      <c r="BI166" s="25"/>
      <c r="BJ166" s="25"/>
      <c r="BK166" s="25"/>
      <c r="BL166" s="20"/>
      <c r="BM166" s="20"/>
      <c r="BN166" s="20"/>
      <c r="BO166" s="20"/>
      <c r="BP166" s="20"/>
      <c r="BQ166" s="21">
        <f t="shared" si="428"/>
        <v>0</v>
      </c>
      <c r="BR166" s="4">
        <f t="shared" si="429"/>
        <v>580000</v>
      </c>
      <c r="BS166" s="4">
        <f t="shared" si="430"/>
        <v>1839000</v>
      </c>
      <c r="BT166" s="4">
        <f t="shared" si="431"/>
        <v>4452000</v>
      </c>
      <c r="BU166" s="4">
        <f t="shared" si="432"/>
        <v>1460000</v>
      </c>
      <c r="BV166" s="94">
        <f t="shared" si="433"/>
        <v>1400000</v>
      </c>
      <c r="BW166" s="94">
        <f t="shared" si="434"/>
        <v>2131500</v>
      </c>
      <c r="BX166" s="94">
        <f t="shared" si="435"/>
        <v>2855500</v>
      </c>
      <c r="BY166" s="94">
        <f t="shared" si="436"/>
        <v>3272500</v>
      </c>
      <c r="BZ166" s="94">
        <f t="shared" si="437"/>
        <v>2023000</v>
      </c>
      <c r="CA166" s="9">
        <f t="shared" si="438"/>
        <v>20013500</v>
      </c>
    </row>
    <row r="167" spans="1:79" ht="37.5">
      <c r="A167" s="186"/>
      <c r="B167" s="8">
        <v>8</v>
      </c>
      <c r="C167" s="1" t="s">
        <v>297</v>
      </c>
      <c r="D167" s="91" t="s">
        <v>418</v>
      </c>
      <c r="E167" s="4" t="s">
        <v>21</v>
      </c>
      <c r="F167" s="4"/>
      <c r="G167" s="4"/>
      <c r="H167" s="4"/>
      <c r="I167" s="4"/>
      <c r="J167" s="4"/>
      <c r="K167" s="4"/>
      <c r="L167" s="4"/>
      <c r="M167" s="4"/>
      <c r="N167" s="4"/>
      <c r="O167" s="9">
        <f t="shared" si="422"/>
        <v>0</v>
      </c>
      <c r="P167" s="20"/>
      <c r="Q167" s="25">
        <v>195000</v>
      </c>
      <c r="R167" s="25">
        <f>238250+30000</f>
        <v>268250</v>
      </c>
      <c r="S167" s="25">
        <v>706500</v>
      </c>
      <c r="T167" s="20">
        <v>56000</v>
      </c>
      <c r="U167" s="20"/>
      <c r="V167" s="20"/>
      <c r="W167" s="20"/>
      <c r="X167" s="20"/>
      <c r="Y167" s="21">
        <f t="shared" si="423"/>
        <v>1225750</v>
      </c>
      <c r="Z167" s="25"/>
      <c r="AA167" s="20"/>
      <c r="AB167" s="20"/>
      <c r="AC167" s="20"/>
      <c r="AD167" s="20"/>
      <c r="AE167" s="20"/>
      <c r="AF167" s="21">
        <f t="shared" si="424"/>
        <v>0</v>
      </c>
      <c r="AG167" s="20"/>
      <c r="AH167" s="20"/>
      <c r="AI167" s="4"/>
      <c r="AJ167" s="20"/>
      <c r="AK167" s="20"/>
      <c r="AL167" s="20"/>
      <c r="AM167" s="20"/>
      <c r="AN167" s="20"/>
      <c r="AO167" s="20"/>
      <c r="AP167" s="9">
        <f t="shared" si="425"/>
        <v>0</v>
      </c>
      <c r="AQ167" s="76"/>
      <c r="AR167" s="76"/>
      <c r="AS167" s="76"/>
      <c r="AT167" s="76"/>
      <c r="AU167" s="4"/>
      <c r="AV167" s="4"/>
      <c r="AW167" s="4"/>
      <c r="AX167" s="4"/>
      <c r="AY167" s="4"/>
      <c r="AZ167" s="9">
        <f t="shared" si="426"/>
        <v>0</v>
      </c>
      <c r="BA167" s="25"/>
      <c r="BB167" s="20"/>
      <c r="BC167" s="20"/>
      <c r="BD167" s="20"/>
      <c r="BE167" s="20"/>
      <c r="BF167" s="20"/>
      <c r="BG167" s="21">
        <f t="shared" si="427"/>
        <v>0</v>
      </c>
      <c r="BH167" s="25"/>
      <c r="BI167" s="25"/>
      <c r="BJ167" s="25"/>
      <c r="BK167" s="25"/>
      <c r="BL167" s="20"/>
      <c r="BM167" s="20"/>
      <c r="BN167" s="20"/>
      <c r="BO167" s="20"/>
      <c r="BP167" s="20"/>
      <c r="BQ167" s="21">
        <f t="shared" si="428"/>
        <v>0</v>
      </c>
      <c r="BR167" s="4">
        <f t="shared" si="429"/>
        <v>0</v>
      </c>
      <c r="BS167" s="4">
        <f t="shared" si="430"/>
        <v>195000</v>
      </c>
      <c r="BT167" s="4">
        <f t="shared" si="431"/>
        <v>268250</v>
      </c>
      <c r="BU167" s="4">
        <f t="shared" si="432"/>
        <v>706500</v>
      </c>
      <c r="BV167" s="94">
        <f t="shared" si="433"/>
        <v>56000</v>
      </c>
      <c r="BW167" s="94">
        <f t="shared" si="434"/>
        <v>0</v>
      </c>
      <c r="BX167" s="94">
        <f t="shared" si="435"/>
        <v>0</v>
      </c>
      <c r="BY167" s="94">
        <f t="shared" si="436"/>
        <v>0</v>
      </c>
      <c r="BZ167" s="94">
        <f t="shared" si="437"/>
        <v>0</v>
      </c>
      <c r="CA167" s="9">
        <f t="shared" si="438"/>
        <v>1225750</v>
      </c>
    </row>
    <row r="168" spans="1:79" ht="31.5">
      <c r="A168" s="187"/>
      <c r="B168" s="8">
        <v>9</v>
      </c>
      <c r="C168" s="42" t="s">
        <v>298</v>
      </c>
      <c r="D168" s="43" t="s">
        <v>299</v>
      </c>
      <c r="E168" s="4" t="s">
        <v>21</v>
      </c>
      <c r="F168" s="4"/>
      <c r="G168" s="4"/>
      <c r="H168" s="4"/>
      <c r="I168" s="4"/>
      <c r="J168" s="4"/>
      <c r="K168" s="4"/>
      <c r="L168" s="4"/>
      <c r="M168" s="4"/>
      <c r="N168" s="4"/>
      <c r="O168" s="9">
        <f t="shared" si="422"/>
        <v>0</v>
      </c>
      <c r="P168" s="20"/>
      <c r="Q168" s="25"/>
      <c r="R168" s="25"/>
      <c r="S168" s="25"/>
      <c r="T168" s="20"/>
      <c r="U168" s="20"/>
      <c r="V168" s="20"/>
      <c r="W168" s="20"/>
      <c r="X168" s="20"/>
      <c r="Y168" s="21">
        <f t="shared" si="423"/>
        <v>0</v>
      </c>
      <c r="Z168" s="25"/>
      <c r="AA168" s="20"/>
      <c r="AB168" s="20"/>
      <c r="AC168" s="20"/>
      <c r="AD168" s="20"/>
      <c r="AE168" s="20"/>
      <c r="AF168" s="21">
        <f t="shared" si="424"/>
        <v>0</v>
      </c>
      <c r="AG168" s="20"/>
      <c r="AH168" s="20"/>
      <c r="AI168" s="4">
        <v>439000</v>
      </c>
      <c r="AJ168" s="22">
        <v>376000</v>
      </c>
      <c r="AK168" s="22">
        <f>1105000+225000+225000+150000</f>
        <v>1705000</v>
      </c>
      <c r="AL168" s="22">
        <f>903000+420000</f>
        <v>1323000</v>
      </c>
      <c r="AM168" s="22">
        <f>140000+420000+154000+308000+147000+154000+308000</f>
        <v>1631000</v>
      </c>
      <c r="AN168" s="4">
        <f>462000+161000+161000+161000+175000+350000+546000</f>
        <v>2016000</v>
      </c>
      <c r="AO168" s="4">
        <v>1197000</v>
      </c>
      <c r="AP168" s="9">
        <f t="shared" si="425"/>
        <v>8687000</v>
      </c>
      <c r="AQ168" s="4"/>
      <c r="AR168" s="4"/>
      <c r="AS168" s="4"/>
      <c r="AT168" s="4"/>
      <c r="AU168" s="4"/>
      <c r="AV168" s="4"/>
      <c r="AW168" s="4"/>
      <c r="AX168" s="4"/>
      <c r="AY168" s="4"/>
      <c r="AZ168" s="9">
        <f t="shared" si="426"/>
        <v>0</v>
      </c>
      <c r="BA168" s="25"/>
      <c r="BB168" s="20"/>
      <c r="BC168" s="20"/>
      <c r="BD168" s="20"/>
      <c r="BE168" s="20"/>
      <c r="BF168" s="4"/>
      <c r="BG168" s="21">
        <f t="shared" si="427"/>
        <v>0</v>
      </c>
      <c r="BH168" s="25"/>
      <c r="BI168" s="25"/>
      <c r="BJ168" s="25"/>
      <c r="BK168" s="25"/>
      <c r="BL168" s="20"/>
      <c r="BM168" s="20"/>
      <c r="BN168" s="20"/>
      <c r="BO168" s="20"/>
      <c r="BP168" s="20"/>
      <c r="BQ168" s="21">
        <f t="shared" si="428"/>
        <v>0</v>
      </c>
      <c r="BR168" s="4">
        <f t="shared" si="429"/>
        <v>0</v>
      </c>
      <c r="BS168" s="4">
        <f t="shared" si="430"/>
        <v>0</v>
      </c>
      <c r="BT168" s="4">
        <f t="shared" si="431"/>
        <v>439000</v>
      </c>
      <c r="BU168" s="4">
        <f t="shared" si="432"/>
        <v>376000</v>
      </c>
      <c r="BV168" s="94">
        <f t="shared" si="433"/>
        <v>1705000</v>
      </c>
      <c r="BW168" s="94">
        <f t="shared" si="434"/>
        <v>1631000</v>
      </c>
      <c r="BX168" s="94">
        <f t="shared" si="435"/>
        <v>1631000</v>
      </c>
      <c r="BY168" s="94">
        <f t="shared" si="436"/>
        <v>1197000</v>
      </c>
      <c r="BZ168" s="94">
        <f t="shared" si="437"/>
        <v>1197000</v>
      </c>
      <c r="CA168" s="9">
        <f t="shared" si="438"/>
        <v>8176000</v>
      </c>
    </row>
    <row r="169" spans="1:79" s="38" customFormat="1">
      <c r="A169" s="34"/>
      <c r="B169" s="34"/>
      <c r="C169" s="59" t="s">
        <v>300</v>
      </c>
      <c r="D169" s="60"/>
      <c r="E169" s="37"/>
      <c r="F169" s="37">
        <f>SUM(F161:F168)</f>
        <v>0</v>
      </c>
      <c r="G169" s="37">
        <f t="shared" ref="G169:CA169" si="439">SUM(G161:G168)</f>
        <v>155000</v>
      </c>
      <c r="H169" s="37">
        <f t="shared" si="439"/>
        <v>150000</v>
      </c>
      <c r="I169" s="37">
        <f t="shared" si="439"/>
        <v>651500</v>
      </c>
      <c r="J169" s="37">
        <f t="shared" si="439"/>
        <v>756500</v>
      </c>
      <c r="K169" s="37">
        <f t="shared" si="439"/>
        <v>976500</v>
      </c>
      <c r="L169" s="37">
        <f t="shared" si="439"/>
        <v>224500</v>
      </c>
      <c r="M169" s="37">
        <f t="shared" si="439"/>
        <v>979000</v>
      </c>
      <c r="N169" s="37">
        <f t="shared" si="439"/>
        <v>698500</v>
      </c>
      <c r="O169" s="37">
        <f t="shared" si="439"/>
        <v>4591500</v>
      </c>
      <c r="P169" s="37">
        <f t="shared" ref="P169:AP169" si="440">SUM(P161:P168)</f>
        <v>0</v>
      </c>
      <c r="Q169" s="37">
        <f t="shared" si="440"/>
        <v>846000</v>
      </c>
      <c r="R169" s="37">
        <f t="shared" si="440"/>
        <v>1089150</v>
      </c>
      <c r="S169" s="37">
        <f t="shared" si="440"/>
        <v>2393000</v>
      </c>
      <c r="T169" s="37">
        <f t="shared" si="440"/>
        <v>1799000</v>
      </c>
      <c r="U169" s="37">
        <f t="shared" si="440"/>
        <v>2459832</v>
      </c>
      <c r="V169" s="37">
        <f t="shared" si="440"/>
        <v>2788559</v>
      </c>
      <c r="W169" s="37">
        <f t="shared" si="440"/>
        <v>2999550</v>
      </c>
      <c r="X169" s="37">
        <f t="shared" si="440"/>
        <v>2194750</v>
      </c>
      <c r="Y169" s="37">
        <f t="shared" si="440"/>
        <v>16569841</v>
      </c>
      <c r="Z169" s="37">
        <f t="shared" si="440"/>
        <v>0</v>
      </c>
      <c r="AA169" s="37">
        <f t="shared" si="440"/>
        <v>0</v>
      </c>
      <c r="AB169" s="37">
        <f t="shared" si="440"/>
        <v>0</v>
      </c>
      <c r="AC169" s="37">
        <f t="shared" si="440"/>
        <v>0</v>
      </c>
      <c r="AD169" s="37">
        <f t="shared" si="440"/>
        <v>0</v>
      </c>
      <c r="AE169" s="37">
        <f t="shared" si="440"/>
        <v>0</v>
      </c>
      <c r="AF169" s="37">
        <f t="shared" si="440"/>
        <v>0</v>
      </c>
      <c r="AG169" s="37">
        <f t="shared" si="440"/>
        <v>290000</v>
      </c>
      <c r="AH169" s="37">
        <f t="shared" si="440"/>
        <v>609000</v>
      </c>
      <c r="AI169" s="37">
        <f t="shared" si="440"/>
        <v>3752935</v>
      </c>
      <c r="AJ169" s="37">
        <f t="shared" si="440"/>
        <v>1096000</v>
      </c>
      <c r="AK169" s="37">
        <f t="shared" si="440"/>
        <v>3355000</v>
      </c>
      <c r="AL169" s="37">
        <f t="shared" si="440"/>
        <v>3526000</v>
      </c>
      <c r="AM169" s="37">
        <f t="shared" si="440"/>
        <v>3661000</v>
      </c>
      <c r="AN169" s="37">
        <f t="shared" si="440"/>
        <v>4459000</v>
      </c>
      <c r="AO169" s="37">
        <f t="shared" si="440"/>
        <v>3024000</v>
      </c>
      <c r="AP169" s="37">
        <f t="shared" si="440"/>
        <v>23772935</v>
      </c>
      <c r="AQ169" s="37">
        <f t="shared" si="439"/>
        <v>290000</v>
      </c>
      <c r="AR169" s="37">
        <f t="shared" si="439"/>
        <v>1230000</v>
      </c>
      <c r="AS169" s="37">
        <f t="shared" si="439"/>
        <v>1610000</v>
      </c>
      <c r="AT169" s="37">
        <f t="shared" si="439"/>
        <v>300000</v>
      </c>
      <c r="AU169" s="37">
        <f t="shared" si="439"/>
        <v>0</v>
      </c>
      <c r="AV169" s="37">
        <f t="shared" si="439"/>
        <v>0</v>
      </c>
      <c r="AW169" s="37">
        <f t="shared" si="439"/>
        <v>0</v>
      </c>
      <c r="AX169" s="37">
        <f t="shared" si="439"/>
        <v>0</v>
      </c>
      <c r="AY169" s="37">
        <f t="shared" si="439"/>
        <v>0</v>
      </c>
      <c r="AZ169" s="37">
        <f t="shared" si="439"/>
        <v>3430000</v>
      </c>
      <c r="BA169" s="37">
        <f t="shared" si="439"/>
        <v>800000</v>
      </c>
      <c r="BB169" s="37">
        <f t="shared" si="439"/>
        <v>1400000</v>
      </c>
      <c r="BC169" s="37">
        <f t="shared" si="439"/>
        <v>2131500</v>
      </c>
      <c r="BD169" s="37">
        <f t="shared" si="439"/>
        <v>2855500</v>
      </c>
      <c r="BE169" s="37">
        <f t="shared" si="439"/>
        <v>3272500</v>
      </c>
      <c r="BF169" s="37">
        <f t="shared" si="439"/>
        <v>2023000</v>
      </c>
      <c r="BG169" s="37">
        <f t="shared" si="439"/>
        <v>12482500</v>
      </c>
      <c r="BH169" s="37">
        <f t="shared" si="439"/>
        <v>0</v>
      </c>
      <c r="BI169" s="37">
        <f t="shared" si="439"/>
        <v>100000</v>
      </c>
      <c r="BJ169" s="37">
        <f t="shared" si="439"/>
        <v>348400</v>
      </c>
      <c r="BK169" s="37">
        <f t="shared" si="439"/>
        <v>365000</v>
      </c>
      <c r="BL169" s="37">
        <f t="shared" si="439"/>
        <v>0</v>
      </c>
      <c r="BM169" s="37">
        <f t="shared" si="439"/>
        <v>0</v>
      </c>
      <c r="BN169" s="37">
        <f t="shared" si="439"/>
        <v>0</v>
      </c>
      <c r="BO169" s="37">
        <f t="shared" si="439"/>
        <v>0</v>
      </c>
      <c r="BP169" s="37">
        <f t="shared" si="439"/>
        <v>0</v>
      </c>
      <c r="BQ169" s="37">
        <f t="shared" si="439"/>
        <v>813400</v>
      </c>
      <c r="BR169" s="37">
        <f t="shared" si="439"/>
        <v>580000</v>
      </c>
      <c r="BS169" s="37">
        <f t="shared" si="439"/>
        <v>2940000</v>
      </c>
      <c r="BT169" s="37">
        <f t="shared" si="439"/>
        <v>6950485</v>
      </c>
      <c r="BU169" s="37">
        <f t="shared" si="439"/>
        <v>5605500</v>
      </c>
      <c r="BV169" s="37">
        <f t="shared" si="439"/>
        <v>7310500</v>
      </c>
      <c r="BW169" s="144">
        <f>SUM(BW161:BW168)</f>
        <v>9228832</v>
      </c>
      <c r="BX169" s="37">
        <f t="shared" ref="BX169:BY169" si="441">SUM(BX161:BX168)</f>
        <v>9529559</v>
      </c>
      <c r="BY169" s="37">
        <f t="shared" si="441"/>
        <v>10275050</v>
      </c>
      <c r="BZ169" s="144">
        <f>SUM(BZ161:BZ168)</f>
        <v>7940250</v>
      </c>
      <c r="CA169" s="37">
        <f t="shared" si="439"/>
        <v>60360176</v>
      </c>
    </row>
    <row r="170" spans="1:79">
      <c r="A170" s="185" t="s">
        <v>32</v>
      </c>
      <c r="B170" s="8">
        <v>1</v>
      </c>
      <c r="C170" s="40" t="s">
        <v>4</v>
      </c>
      <c r="D170" s="41" t="s">
        <v>420</v>
      </c>
      <c r="E170" s="4" t="s">
        <v>32</v>
      </c>
      <c r="F170" s="4"/>
      <c r="G170" s="4"/>
      <c r="H170" s="5"/>
      <c r="I170" s="4"/>
      <c r="J170" s="4"/>
      <c r="K170" s="4"/>
      <c r="L170" s="4"/>
      <c r="M170" s="4"/>
      <c r="N170" s="4"/>
      <c r="O170" s="9">
        <f t="shared" ref="O170:O174" si="442">SUM(F170:N170)</f>
        <v>0</v>
      </c>
      <c r="P170" s="20"/>
      <c r="Q170" s="25">
        <v>423800</v>
      </c>
      <c r="R170" s="25">
        <v>729850</v>
      </c>
      <c r="S170" s="25"/>
      <c r="T170" s="20"/>
      <c r="U170" s="20"/>
      <c r="V170" s="20"/>
      <c r="W170" s="20"/>
      <c r="X170" s="20"/>
      <c r="Y170" s="21">
        <f t="shared" ref="Y170:Y174" si="443">SUM(P170:W170)</f>
        <v>1153650</v>
      </c>
      <c r="Z170" s="25"/>
      <c r="AA170" s="20"/>
      <c r="AB170" s="20"/>
      <c r="AC170" s="20"/>
      <c r="AD170" s="20"/>
      <c r="AE170" s="20"/>
      <c r="AF170" s="21">
        <f t="shared" ref="AF170:AF174" si="444">SUM(Z170:AE170)</f>
        <v>0</v>
      </c>
      <c r="AG170" s="20"/>
      <c r="AH170" s="20"/>
      <c r="AI170" s="20"/>
      <c r="AJ170" s="20"/>
      <c r="AK170" s="20"/>
      <c r="AL170" s="20"/>
      <c r="AM170" s="20"/>
      <c r="AN170" s="20"/>
      <c r="AO170" s="20"/>
      <c r="AP170" s="9">
        <f t="shared" ref="AP170:AP174" si="445">SUM(AG170:AO170)</f>
        <v>0</v>
      </c>
      <c r="AQ170" s="4"/>
      <c r="AR170" s="4"/>
      <c r="AS170" s="4"/>
      <c r="AT170" s="4"/>
      <c r="AU170" s="4"/>
      <c r="AV170" s="4"/>
      <c r="AW170" s="4"/>
      <c r="AX170" s="4"/>
      <c r="AY170" s="4"/>
      <c r="AZ170" s="9">
        <f t="shared" ref="AZ170:AZ174" si="446">SUM(AQ170:AY170)</f>
        <v>0</v>
      </c>
      <c r="BA170" s="25"/>
      <c r="BB170" s="20"/>
      <c r="BC170" s="20"/>
      <c r="BD170" s="20"/>
      <c r="BE170" s="20"/>
      <c r="BF170" s="20"/>
      <c r="BG170" s="21">
        <f t="shared" ref="BG170:BG174" si="447">SUM(BA170:BF170)</f>
        <v>0</v>
      </c>
      <c r="BH170" s="25"/>
      <c r="BI170" s="25"/>
      <c r="BJ170" s="25"/>
      <c r="BK170" s="25"/>
      <c r="BL170" s="20"/>
      <c r="BM170" s="20"/>
      <c r="BN170" s="20"/>
      <c r="BO170" s="20"/>
      <c r="BP170" s="20"/>
      <c r="BQ170" s="21">
        <f t="shared" ref="BQ170:BQ174" si="448">SUM(BH170:BP170)</f>
        <v>0</v>
      </c>
      <c r="BR170" s="4">
        <f t="shared" ref="BR170:BR174" si="449">F170+P170+AG170+AQ170+BH170</f>
        <v>0</v>
      </c>
      <c r="BS170" s="4">
        <f t="shared" ref="BS170:BS174" si="450">G170+Q170+AH170+AR170+BI170</f>
        <v>423800</v>
      </c>
      <c r="BT170" s="4">
        <f t="shared" ref="BT170:BT174" si="451">H170+R170+AI170+AS170+BJ170</f>
        <v>729850</v>
      </c>
      <c r="BU170" s="4">
        <f t="shared" ref="BU170:BU174" si="452">I170+S170+Z170+AJ170+AT170+BA170+BK170</f>
        <v>0</v>
      </c>
      <c r="BV170" s="94">
        <f t="shared" ref="BV170:BV174" si="453">J170+T170+AA170+AK170+AU170+BB170+BL170</f>
        <v>0</v>
      </c>
      <c r="BW170" s="94">
        <f t="shared" ref="BW170:BW174" si="454">K170+U170+AB170+AM170+AV170+BC170+BM170</f>
        <v>0</v>
      </c>
      <c r="BX170" s="94">
        <f t="shared" ref="BX170:BX174" si="455">L170+V170+AC170+AM170+AW170+BD170+BN170</f>
        <v>0</v>
      </c>
      <c r="BY170" s="94">
        <f t="shared" ref="BY170:BY174" si="456">M170+W170+AD170+AO170+AX170+BE170+BO170</f>
        <v>0</v>
      </c>
      <c r="BZ170" s="94">
        <f t="shared" ref="BZ170:BZ174" si="457">N170+X170+AE170+AO170+AY170+BF170+BP170</f>
        <v>0</v>
      </c>
      <c r="CA170" s="9">
        <f t="shared" ref="CA170:CA174" si="458">SUM(BR170:BZ170)</f>
        <v>1153650</v>
      </c>
    </row>
    <row r="171" spans="1:79" ht="31.5">
      <c r="A171" s="186"/>
      <c r="B171" s="8">
        <v>2</v>
      </c>
      <c r="C171" s="173" t="s">
        <v>518</v>
      </c>
      <c r="D171" s="41" t="s">
        <v>491</v>
      </c>
      <c r="E171" s="4" t="s">
        <v>32</v>
      </c>
      <c r="F171" s="4"/>
      <c r="G171" s="4"/>
      <c r="H171" s="5"/>
      <c r="I171" s="4"/>
      <c r="J171" s="4"/>
      <c r="K171" s="4"/>
      <c r="L171" s="4"/>
      <c r="M171" s="4"/>
      <c r="N171" s="4"/>
      <c r="O171" s="9">
        <f t="shared" si="442"/>
        <v>0</v>
      </c>
      <c r="P171" s="20">
        <v>195000</v>
      </c>
      <c r="Q171" s="25">
        <v>733900</v>
      </c>
      <c r="R171" s="25">
        <v>649900</v>
      </c>
      <c r="S171" s="24">
        <v>810000</v>
      </c>
      <c r="T171" s="20">
        <f>210000+210000+140000+70000+210000+140000</f>
        <v>980000</v>
      </c>
      <c r="U171" s="20">
        <v>944600</v>
      </c>
      <c r="V171" s="20">
        <v>1522450</v>
      </c>
      <c r="W171" s="20">
        <v>1240150</v>
      </c>
      <c r="X171" s="174">
        <v>1047600</v>
      </c>
      <c r="Y171" s="21">
        <f>SUM(P171:X171)</f>
        <v>8123600</v>
      </c>
      <c r="Z171" s="25"/>
      <c r="AA171" s="20"/>
      <c r="AB171" s="20"/>
      <c r="AC171" s="20"/>
      <c r="AD171" s="20"/>
      <c r="AE171" s="20"/>
      <c r="AF171" s="21">
        <f t="shared" si="444"/>
        <v>0</v>
      </c>
      <c r="AG171" s="20"/>
      <c r="AH171" s="20"/>
      <c r="AI171" s="20"/>
      <c r="AJ171" s="20"/>
      <c r="AK171" s="20"/>
      <c r="AL171" s="20"/>
      <c r="AM171" s="20"/>
      <c r="AN171" s="20"/>
      <c r="AO171" s="20"/>
      <c r="AP171" s="9">
        <f t="shared" si="445"/>
        <v>0</v>
      </c>
      <c r="AQ171" s="76"/>
      <c r="AR171" s="76"/>
      <c r="AS171" s="76"/>
      <c r="AT171" s="76"/>
      <c r="AU171" s="4"/>
      <c r="AV171" s="4"/>
      <c r="AW171" s="4"/>
      <c r="AX171" s="4"/>
      <c r="AY171" s="4"/>
      <c r="AZ171" s="9">
        <f t="shared" si="446"/>
        <v>0</v>
      </c>
      <c r="BA171" s="25"/>
      <c r="BB171" s="20"/>
      <c r="BC171" s="20"/>
      <c r="BD171" s="20"/>
      <c r="BE171" s="20"/>
      <c r="BF171" s="20"/>
      <c r="BG171" s="21">
        <f t="shared" si="447"/>
        <v>0</v>
      </c>
      <c r="BH171" s="25"/>
      <c r="BI171" s="25"/>
      <c r="BJ171" s="25"/>
      <c r="BK171" s="25"/>
      <c r="BL171" s="20"/>
      <c r="BM171" s="20"/>
      <c r="BN171" s="20"/>
      <c r="BO171" s="20"/>
      <c r="BP171" s="20"/>
      <c r="BQ171" s="21">
        <f t="shared" si="448"/>
        <v>0</v>
      </c>
      <c r="BR171" s="4">
        <f t="shared" si="449"/>
        <v>195000</v>
      </c>
      <c r="BS171" s="4">
        <f t="shared" si="450"/>
        <v>733900</v>
      </c>
      <c r="BT171" s="4">
        <f t="shared" si="451"/>
        <v>649900</v>
      </c>
      <c r="BU171" s="4">
        <f t="shared" si="452"/>
        <v>810000</v>
      </c>
      <c r="BV171" s="94">
        <f t="shared" si="453"/>
        <v>980000</v>
      </c>
      <c r="BW171" s="94">
        <f t="shared" si="454"/>
        <v>944600</v>
      </c>
      <c r="BX171" s="94">
        <f t="shared" si="455"/>
        <v>1522450</v>
      </c>
      <c r="BY171" s="94">
        <f t="shared" si="456"/>
        <v>1240150</v>
      </c>
      <c r="BZ171" s="94">
        <f t="shared" si="457"/>
        <v>1047600</v>
      </c>
      <c r="CA171" s="9">
        <f t="shared" si="458"/>
        <v>8123600</v>
      </c>
    </row>
    <row r="172" spans="1:79" ht="31.5">
      <c r="A172" s="186"/>
      <c r="B172" s="8">
        <v>3</v>
      </c>
      <c r="C172" s="40" t="s">
        <v>303</v>
      </c>
      <c r="D172" s="41" t="s">
        <v>304</v>
      </c>
      <c r="E172" s="4" t="s">
        <v>32</v>
      </c>
      <c r="F172" s="4"/>
      <c r="G172" s="4"/>
      <c r="H172" s="5"/>
      <c r="I172" s="4"/>
      <c r="J172" s="4"/>
      <c r="K172" s="4"/>
      <c r="L172" s="4"/>
      <c r="M172" s="4"/>
      <c r="N172" s="4"/>
      <c r="O172" s="9">
        <f t="shared" si="442"/>
        <v>0</v>
      </c>
      <c r="P172" s="20"/>
      <c r="Q172" s="25">
        <v>1184650</v>
      </c>
      <c r="R172" s="25">
        <v>994500</v>
      </c>
      <c r="S172" s="25">
        <v>821500</v>
      </c>
      <c r="T172" s="20">
        <f>136000+204000+204500+205500+205500</f>
        <v>955500</v>
      </c>
      <c r="U172" s="20">
        <f>1037900+223100+111550</f>
        <v>1372550</v>
      </c>
      <c r="V172" s="20">
        <v>1338600</v>
      </c>
      <c r="W172" s="20">
        <v>1142050</v>
      </c>
      <c r="X172" s="174">
        <v>804300</v>
      </c>
      <c r="Y172" s="21">
        <f>SUM(P172:X172)</f>
        <v>8613650</v>
      </c>
      <c r="Z172" s="25"/>
      <c r="AA172" s="20"/>
      <c r="AB172" s="20"/>
      <c r="AC172" s="20"/>
      <c r="AD172" s="20"/>
      <c r="AE172" s="20"/>
      <c r="AF172" s="21">
        <f t="shared" si="444"/>
        <v>0</v>
      </c>
      <c r="AG172" s="20"/>
      <c r="AH172" s="20"/>
      <c r="AI172" s="20"/>
      <c r="AJ172" s="20"/>
      <c r="AK172" s="20"/>
      <c r="AL172" s="20"/>
      <c r="AM172" s="20"/>
      <c r="AN172" s="20"/>
      <c r="AO172" s="20"/>
      <c r="AP172" s="9">
        <f t="shared" si="445"/>
        <v>0</v>
      </c>
      <c r="AQ172" s="76"/>
      <c r="AR172" s="76"/>
      <c r="AS172" s="76">
        <v>1490000</v>
      </c>
      <c r="AT172" s="76">
        <v>250000</v>
      </c>
      <c r="AU172" s="4"/>
      <c r="AV172" s="4"/>
      <c r="AW172" s="4"/>
      <c r="AX172" s="4"/>
      <c r="AY172" s="4"/>
      <c r="AZ172" s="9">
        <f t="shared" si="446"/>
        <v>1740000</v>
      </c>
      <c r="BA172" s="25"/>
      <c r="BB172" s="20"/>
      <c r="BC172" s="20"/>
      <c r="BD172" s="20"/>
      <c r="BE172" s="20"/>
      <c r="BF172" s="20"/>
      <c r="BG172" s="21">
        <f t="shared" si="447"/>
        <v>0</v>
      </c>
      <c r="BH172" s="25"/>
      <c r="BI172" s="25">
        <v>100000</v>
      </c>
      <c r="BJ172" s="25">
        <v>253600</v>
      </c>
      <c r="BK172" s="25"/>
      <c r="BL172" s="20"/>
      <c r="BM172" s="20"/>
      <c r="BN172" s="20"/>
      <c r="BO172" s="20"/>
      <c r="BP172" s="20"/>
      <c r="BQ172" s="21">
        <f t="shared" si="448"/>
        <v>353600</v>
      </c>
      <c r="BR172" s="4">
        <f t="shared" si="449"/>
        <v>0</v>
      </c>
      <c r="BS172" s="4">
        <f t="shared" si="450"/>
        <v>1284650</v>
      </c>
      <c r="BT172" s="4">
        <f t="shared" si="451"/>
        <v>2738100</v>
      </c>
      <c r="BU172" s="4">
        <f t="shared" si="452"/>
        <v>1071500</v>
      </c>
      <c r="BV172" s="94">
        <f t="shared" si="453"/>
        <v>955500</v>
      </c>
      <c r="BW172" s="94">
        <f t="shared" si="454"/>
        <v>1372550</v>
      </c>
      <c r="BX172" s="94">
        <f t="shared" si="455"/>
        <v>1338600</v>
      </c>
      <c r="BY172" s="94">
        <f t="shared" si="456"/>
        <v>1142050</v>
      </c>
      <c r="BZ172" s="94">
        <f t="shared" si="457"/>
        <v>804300</v>
      </c>
      <c r="CA172" s="9">
        <f t="shared" si="458"/>
        <v>10707250</v>
      </c>
    </row>
    <row r="173" spans="1:79">
      <c r="A173" s="186"/>
      <c r="B173" s="8">
        <v>4</v>
      </c>
      <c r="C173" s="40" t="s">
        <v>305</v>
      </c>
      <c r="D173" s="41" t="s">
        <v>304</v>
      </c>
      <c r="E173" s="4" t="s">
        <v>32</v>
      </c>
      <c r="F173" s="4"/>
      <c r="G173" s="4"/>
      <c r="H173" s="5"/>
      <c r="I173" s="4"/>
      <c r="J173" s="4"/>
      <c r="K173" s="4"/>
      <c r="L173" s="4"/>
      <c r="M173" s="4"/>
      <c r="N173" s="4"/>
      <c r="O173" s="9">
        <f t="shared" si="442"/>
        <v>0</v>
      </c>
      <c r="P173" s="20"/>
      <c r="Q173" s="25"/>
      <c r="R173" s="25"/>
      <c r="S173" s="25"/>
      <c r="T173" s="20"/>
      <c r="U173" s="20"/>
      <c r="V173" s="20"/>
      <c r="W173" s="20"/>
      <c r="X173" s="20"/>
      <c r="Y173" s="21">
        <f t="shared" si="443"/>
        <v>0</v>
      </c>
      <c r="Z173" s="25"/>
      <c r="AA173" s="20"/>
      <c r="AB173" s="20"/>
      <c r="AC173" s="20"/>
      <c r="AD173" s="20"/>
      <c r="AE173" s="20"/>
      <c r="AF173" s="21">
        <f t="shared" si="444"/>
        <v>0</v>
      </c>
      <c r="AG173" s="20"/>
      <c r="AH173" s="20"/>
      <c r="AI173" s="4">
        <v>500000</v>
      </c>
      <c r="AJ173" s="20">
        <v>52000</v>
      </c>
      <c r="AK173" s="20"/>
      <c r="AL173" s="20"/>
      <c r="AM173" s="20"/>
      <c r="AN173" s="20"/>
      <c r="AO173" s="20"/>
      <c r="AP173" s="9">
        <f t="shared" si="445"/>
        <v>552000</v>
      </c>
      <c r="AQ173" s="4"/>
      <c r="AR173" s="4"/>
      <c r="AS173" s="27"/>
      <c r="AT173" s="10"/>
      <c r="AU173" s="4"/>
      <c r="AV173" s="4"/>
      <c r="AW173" s="4"/>
      <c r="AX173" s="4"/>
      <c r="AY173" s="4"/>
      <c r="AZ173" s="9">
        <f t="shared" si="446"/>
        <v>0</v>
      </c>
      <c r="BA173" s="25"/>
      <c r="BB173" s="20"/>
      <c r="BC173" s="20"/>
      <c r="BD173" s="20"/>
      <c r="BE173" s="20"/>
      <c r="BF173" s="20"/>
      <c r="BG173" s="21">
        <f t="shared" si="447"/>
        <v>0</v>
      </c>
      <c r="BH173" s="25"/>
      <c r="BI173" s="25"/>
      <c r="BJ173" s="25"/>
      <c r="BK173" s="25"/>
      <c r="BL173" s="20"/>
      <c r="BM173" s="20"/>
      <c r="BN173" s="20"/>
      <c r="BO173" s="20"/>
      <c r="BP173" s="20"/>
      <c r="BQ173" s="21">
        <f t="shared" si="448"/>
        <v>0</v>
      </c>
      <c r="BR173" s="4">
        <f t="shared" si="449"/>
        <v>0</v>
      </c>
      <c r="BS173" s="4">
        <f t="shared" si="450"/>
        <v>0</v>
      </c>
      <c r="BT173" s="4">
        <f t="shared" si="451"/>
        <v>500000</v>
      </c>
      <c r="BU173" s="4">
        <f t="shared" si="452"/>
        <v>52000</v>
      </c>
      <c r="BV173" s="94">
        <f t="shared" si="453"/>
        <v>0</v>
      </c>
      <c r="BW173" s="94">
        <f t="shared" si="454"/>
        <v>0</v>
      </c>
      <c r="BX173" s="94">
        <f t="shared" si="455"/>
        <v>0</v>
      </c>
      <c r="BY173" s="94">
        <f t="shared" si="456"/>
        <v>0</v>
      </c>
      <c r="BZ173" s="94">
        <f t="shared" si="457"/>
        <v>0</v>
      </c>
      <c r="CA173" s="9">
        <f t="shared" si="458"/>
        <v>552000</v>
      </c>
    </row>
    <row r="174" spans="1:79">
      <c r="A174" s="187"/>
      <c r="B174" s="8">
        <v>5</v>
      </c>
      <c r="C174" s="40" t="s">
        <v>306</v>
      </c>
      <c r="D174" s="41" t="s">
        <v>304</v>
      </c>
      <c r="E174" s="4" t="s">
        <v>32</v>
      </c>
      <c r="F174" s="4"/>
      <c r="G174" s="4"/>
      <c r="H174" s="5"/>
      <c r="I174" s="4"/>
      <c r="J174" s="4"/>
      <c r="K174" s="4"/>
      <c r="L174" s="4"/>
      <c r="M174" s="4"/>
      <c r="N174" s="4"/>
      <c r="O174" s="9">
        <f t="shared" si="442"/>
        <v>0</v>
      </c>
      <c r="P174" s="20"/>
      <c r="Q174" s="25">
        <v>733350</v>
      </c>
      <c r="R174" s="25">
        <v>388000</v>
      </c>
      <c r="S174" s="25">
        <v>148000</v>
      </c>
      <c r="T174" s="20"/>
      <c r="U174" s="20"/>
      <c r="V174" s="20"/>
      <c r="W174" s="20"/>
      <c r="X174" s="20"/>
      <c r="Y174" s="21">
        <f t="shared" si="443"/>
        <v>1269350</v>
      </c>
      <c r="Z174" s="25"/>
      <c r="AA174" s="20"/>
      <c r="AB174" s="20"/>
      <c r="AC174" s="20"/>
      <c r="AD174" s="20"/>
      <c r="AE174" s="20"/>
      <c r="AF174" s="21">
        <f t="shared" si="444"/>
        <v>0</v>
      </c>
      <c r="AG174" s="20"/>
      <c r="AH174" s="20"/>
      <c r="AI174" s="20"/>
      <c r="AJ174" s="20"/>
      <c r="AK174" s="20"/>
      <c r="AL174" s="20"/>
      <c r="AM174" s="20"/>
      <c r="AN174" s="20"/>
      <c r="AO174" s="20"/>
      <c r="AP174" s="9">
        <f t="shared" si="445"/>
        <v>0</v>
      </c>
      <c r="AQ174" s="76">
        <v>290000</v>
      </c>
      <c r="AR174" s="76">
        <v>1860000</v>
      </c>
      <c r="AS174" s="76">
        <v>270000</v>
      </c>
      <c r="AT174" s="76">
        <v>1500000</v>
      </c>
      <c r="AU174" s="4">
        <f>175000+225000+225000+225000+150000</f>
        <v>1000000</v>
      </c>
      <c r="AV174" s="4">
        <f>1485000+320000</f>
        <v>1805000</v>
      </c>
      <c r="AW174" s="4">
        <f>640000+480000+160000+160000+320000+160000+200000</f>
        <v>2120000</v>
      </c>
      <c r="AX174" s="4">
        <f>400000+200000+200000+200000+200000+400000+600000</f>
        <v>2200000</v>
      </c>
      <c r="AY174" s="4">
        <v>1400000</v>
      </c>
      <c r="AZ174" s="9">
        <f t="shared" si="446"/>
        <v>12445000</v>
      </c>
      <c r="BA174" s="25"/>
      <c r="BB174" s="20"/>
      <c r="BC174" s="20"/>
      <c r="BD174" s="20"/>
      <c r="BE174" s="20"/>
      <c r="BF174" s="20"/>
      <c r="BG174" s="21">
        <f t="shared" si="447"/>
        <v>0</v>
      </c>
      <c r="BH174" s="25"/>
      <c r="BI174" s="25"/>
      <c r="BJ174" s="25"/>
      <c r="BK174" s="25"/>
      <c r="BL174" s="20"/>
      <c r="BM174" s="20"/>
      <c r="BN174" s="20"/>
      <c r="BO174" s="20"/>
      <c r="BP174" s="20"/>
      <c r="BQ174" s="21">
        <f t="shared" si="448"/>
        <v>0</v>
      </c>
      <c r="BR174" s="4">
        <f t="shared" si="449"/>
        <v>290000</v>
      </c>
      <c r="BS174" s="4">
        <f t="shared" si="450"/>
        <v>2593350</v>
      </c>
      <c r="BT174" s="4">
        <f t="shared" si="451"/>
        <v>658000</v>
      </c>
      <c r="BU174" s="4">
        <f t="shared" si="452"/>
        <v>1648000</v>
      </c>
      <c r="BV174" s="94">
        <f t="shared" si="453"/>
        <v>1000000</v>
      </c>
      <c r="BW174" s="94">
        <f t="shared" si="454"/>
        <v>1805000</v>
      </c>
      <c r="BX174" s="94">
        <f t="shared" si="455"/>
        <v>2120000</v>
      </c>
      <c r="BY174" s="94">
        <f t="shared" si="456"/>
        <v>2200000</v>
      </c>
      <c r="BZ174" s="94">
        <f t="shared" si="457"/>
        <v>1400000</v>
      </c>
      <c r="CA174" s="9">
        <f t="shared" si="458"/>
        <v>13714350</v>
      </c>
    </row>
    <row r="175" spans="1:79" s="38" customFormat="1">
      <c r="A175" s="34"/>
      <c r="B175" s="34"/>
      <c r="C175" s="35" t="s">
        <v>307</v>
      </c>
      <c r="D175" s="36"/>
      <c r="E175" s="37"/>
      <c r="F175" s="37">
        <f>SUM(F170:F174)</f>
        <v>0</v>
      </c>
      <c r="G175" s="37">
        <f t="shared" ref="G175:CA175" si="459">SUM(G170:G174)</f>
        <v>0</v>
      </c>
      <c r="H175" s="37">
        <f t="shared" si="459"/>
        <v>0</v>
      </c>
      <c r="I175" s="37">
        <f t="shared" si="459"/>
        <v>0</v>
      </c>
      <c r="J175" s="37">
        <f t="shared" si="459"/>
        <v>0</v>
      </c>
      <c r="K175" s="37">
        <f t="shared" si="459"/>
        <v>0</v>
      </c>
      <c r="L175" s="37">
        <f t="shared" si="459"/>
        <v>0</v>
      </c>
      <c r="M175" s="37">
        <f t="shared" si="459"/>
        <v>0</v>
      </c>
      <c r="N175" s="37">
        <f t="shared" si="459"/>
        <v>0</v>
      </c>
      <c r="O175" s="37">
        <f t="shared" si="459"/>
        <v>0</v>
      </c>
      <c r="P175" s="37">
        <f t="shared" ref="P175:AP175" si="460">SUM(P170:P174)</f>
        <v>195000</v>
      </c>
      <c r="Q175" s="37">
        <f t="shared" si="460"/>
        <v>3075700</v>
      </c>
      <c r="R175" s="37">
        <f t="shared" si="460"/>
        <v>2762250</v>
      </c>
      <c r="S175" s="37">
        <f t="shared" si="460"/>
        <v>1779500</v>
      </c>
      <c r="T175" s="37">
        <f t="shared" si="460"/>
        <v>1935500</v>
      </c>
      <c r="U175" s="37">
        <f t="shared" si="460"/>
        <v>2317150</v>
      </c>
      <c r="V175" s="37">
        <f t="shared" si="460"/>
        <v>2861050</v>
      </c>
      <c r="W175" s="37">
        <f t="shared" si="460"/>
        <v>2382200</v>
      </c>
      <c r="X175" s="37">
        <f t="shared" si="460"/>
        <v>1851900</v>
      </c>
      <c r="Y175" s="37">
        <f t="shared" si="460"/>
        <v>19160250</v>
      </c>
      <c r="Z175" s="37">
        <f t="shared" si="460"/>
        <v>0</v>
      </c>
      <c r="AA175" s="37">
        <f t="shared" si="460"/>
        <v>0</v>
      </c>
      <c r="AB175" s="37">
        <f t="shared" si="460"/>
        <v>0</v>
      </c>
      <c r="AC175" s="37">
        <f t="shared" si="460"/>
        <v>0</v>
      </c>
      <c r="AD175" s="37">
        <f t="shared" si="460"/>
        <v>0</v>
      </c>
      <c r="AE175" s="37">
        <f t="shared" si="460"/>
        <v>0</v>
      </c>
      <c r="AF175" s="37">
        <f t="shared" si="460"/>
        <v>0</v>
      </c>
      <c r="AG175" s="37">
        <f t="shared" si="460"/>
        <v>0</v>
      </c>
      <c r="AH175" s="37">
        <f t="shared" si="460"/>
        <v>0</v>
      </c>
      <c r="AI175" s="37">
        <f t="shared" si="460"/>
        <v>500000</v>
      </c>
      <c r="AJ175" s="37">
        <f t="shared" si="460"/>
        <v>52000</v>
      </c>
      <c r="AK175" s="37">
        <f t="shared" si="460"/>
        <v>0</v>
      </c>
      <c r="AL175" s="37">
        <f t="shared" si="460"/>
        <v>0</v>
      </c>
      <c r="AM175" s="37">
        <f t="shared" si="460"/>
        <v>0</v>
      </c>
      <c r="AN175" s="37">
        <f t="shared" si="460"/>
        <v>0</v>
      </c>
      <c r="AO175" s="37">
        <f t="shared" si="460"/>
        <v>0</v>
      </c>
      <c r="AP175" s="37">
        <f t="shared" si="460"/>
        <v>552000</v>
      </c>
      <c r="AQ175" s="37">
        <f t="shared" si="459"/>
        <v>290000</v>
      </c>
      <c r="AR175" s="37">
        <f t="shared" si="459"/>
        <v>1860000</v>
      </c>
      <c r="AS175" s="37">
        <f t="shared" si="459"/>
        <v>1760000</v>
      </c>
      <c r="AT175" s="37">
        <f t="shared" si="459"/>
        <v>1750000</v>
      </c>
      <c r="AU175" s="37">
        <f t="shared" si="459"/>
        <v>1000000</v>
      </c>
      <c r="AV175" s="37">
        <f t="shared" si="459"/>
        <v>1805000</v>
      </c>
      <c r="AW175" s="37">
        <f t="shared" si="459"/>
        <v>2120000</v>
      </c>
      <c r="AX175" s="37">
        <f t="shared" si="459"/>
        <v>2200000</v>
      </c>
      <c r="AY175" s="37">
        <f t="shared" si="459"/>
        <v>1400000</v>
      </c>
      <c r="AZ175" s="37">
        <f t="shared" si="459"/>
        <v>14185000</v>
      </c>
      <c r="BA175" s="37">
        <f t="shared" si="459"/>
        <v>0</v>
      </c>
      <c r="BB175" s="37">
        <f t="shared" si="459"/>
        <v>0</v>
      </c>
      <c r="BC175" s="37">
        <f t="shared" si="459"/>
        <v>0</v>
      </c>
      <c r="BD175" s="37">
        <f t="shared" si="459"/>
        <v>0</v>
      </c>
      <c r="BE175" s="37">
        <f t="shared" si="459"/>
        <v>0</v>
      </c>
      <c r="BF175" s="37">
        <f t="shared" si="459"/>
        <v>0</v>
      </c>
      <c r="BG175" s="37">
        <f t="shared" si="459"/>
        <v>0</v>
      </c>
      <c r="BH175" s="37">
        <f t="shared" si="459"/>
        <v>0</v>
      </c>
      <c r="BI175" s="37">
        <f t="shared" si="459"/>
        <v>100000</v>
      </c>
      <c r="BJ175" s="37">
        <f t="shared" si="459"/>
        <v>253600</v>
      </c>
      <c r="BK175" s="37">
        <f t="shared" si="459"/>
        <v>0</v>
      </c>
      <c r="BL175" s="37">
        <f t="shared" si="459"/>
        <v>0</v>
      </c>
      <c r="BM175" s="37">
        <f t="shared" si="459"/>
        <v>0</v>
      </c>
      <c r="BN175" s="37">
        <f t="shared" si="459"/>
        <v>0</v>
      </c>
      <c r="BO175" s="37">
        <f t="shared" si="459"/>
        <v>0</v>
      </c>
      <c r="BP175" s="37">
        <f t="shared" si="459"/>
        <v>0</v>
      </c>
      <c r="BQ175" s="37">
        <f t="shared" si="459"/>
        <v>353600</v>
      </c>
      <c r="BR175" s="37">
        <f t="shared" si="459"/>
        <v>485000</v>
      </c>
      <c r="BS175" s="37">
        <f t="shared" si="459"/>
        <v>5035700</v>
      </c>
      <c r="BT175" s="37">
        <f t="shared" si="459"/>
        <v>5275850</v>
      </c>
      <c r="BU175" s="37">
        <f t="shared" si="459"/>
        <v>3581500</v>
      </c>
      <c r="BV175" s="37">
        <f t="shared" si="459"/>
        <v>2935500</v>
      </c>
      <c r="BW175" s="144">
        <f>SUM(BW170:BW174)</f>
        <v>4122150</v>
      </c>
      <c r="BX175" s="37">
        <f t="shared" ref="BX175:BY175" si="461">SUM(BX170:BX174)</f>
        <v>4981050</v>
      </c>
      <c r="BY175" s="37">
        <f t="shared" si="461"/>
        <v>4582200</v>
      </c>
      <c r="BZ175" s="144">
        <f>SUM(BZ170:BZ174)</f>
        <v>3251900</v>
      </c>
      <c r="CA175" s="37">
        <f t="shared" si="459"/>
        <v>34250850</v>
      </c>
    </row>
    <row r="176" spans="1:79">
      <c r="A176" s="185" t="s">
        <v>24</v>
      </c>
      <c r="B176" s="8">
        <v>1</v>
      </c>
      <c r="C176" s="1" t="s">
        <v>308</v>
      </c>
      <c r="D176" s="61" t="s">
        <v>309</v>
      </c>
      <c r="E176" s="4" t="s">
        <v>24</v>
      </c>
      <c r="F176" s="4"/>
      <c r="G176" s="4"/>
      <c r="H176" s="5"/>
      <c r="I176" s="4"/>
      <c r="J176" s="4"/>
      <c r="K176" s="4"/>
      <c r="L176" s="4"/>
      <c r="M176" s="4"/>
      <c r="N176" s="4"/>
      <c r="O176" s="9">
        <f t="shared" ref="O176:O212" si="462">SUM(F176:N176)</f>
        <v>0</v>
      </c>
      <c r="P176" s="20">
        <v>195000</v>
      </c>
      <c r="Q176" s="25">
        <v>271600</v>
      </c>
      <c r="R176" s="24">
        <v>38800</v>
      </c>
      <c r="S176" s="24">
        <v>514000</v>
      </c>
      <c r="T176" s="20">
        <f>77000+122500+126000+147000+98000</f>
        <v>570500</v>
      </c>
      <c r="U176" s="20">
        <f>693400+135800+67900</f>
        <v>897100</v>
      </c>
      <c r="V176" s="20">
        <v>814800</v>
      </c>
      <c r="W176" s="20">
        <v>805100</v>
      </c>
      <c r="X176" s="174">
        <v>582000</v>
      </c>
      <c r="Y176" s="21">
        <f t="shared" ref="Y176:Y212" si="463">SUM(P176:X176)</f>
        <v>4688900</v>
      </c>
      <c r="Z176" s="25">
        <v>0</v>
      </c>
      <c r="AA176" s="20"/>
      <c r="AB176" s="20"/>
      <c r="AC176" s="20"/>
      <c r="AD176" s="20"/>
      <c r="AE176" s="20"/>
      <c r="AF176" s="21">
        <f t="shared" ref="AF176:AF212" si="464">SUM(Z176:AE176)</f>
        <v>0</v>
      </c>
      <c r="AG176" s="20"/>
      <c r="AH176" s="20"/>
      <c r="AI176" s="20"/>
      <c r="AJ176" s="20"/>
      <c r="AK176" s="20"/>
      <c r="AL176" s="20"/>
      <c r="AM176" s="20"/>
      <c r="AN176" s="20"/>
      <c r="AO176" s="20"/>
      <c r="AP176" s="9">
        <f t="shared" ref="AP176:AP212" si="465">SUM(AG176:AO176)</f>
        <v>0</v>
      </c>
      <c r="AQ176" s="4"/>
      <c r="AR176" s="4"/>
      <c r="AS176" s="4"/>
      <c r="AT176" s="4"/>
      <c r="AU176" s="4"/>
      <c r="AV176" s="4"/>
      <c r="AW176" s="4"/>
      <c r="AX176" s="4"/>
      <c r="AY176" s="4"/>
      <c r="AZ176" s="9">
        <f t="shared" ref="AZ176:AZ212" si="466">SUM(AQ176:AY176)</f>
        <v>0</v>
      </c>
      <c r="BA176" s="25"/>
      <c r="BB176" s="20"/>
      <c r="BC176" s="20"/>
      <c r="BD176" s="20"/>
      <c r="BE176" s="20"/>
      <c r="BF176" s="20"/>
      <c r="BG176" s="21">
        <f t="shared" ref="BG176:BG212" si="467">SUM(BA176:BF176)</f>
        <v>0</v>
      </c>
      <c r="BH176" s="25"/>
      <c r="BI176" s="25"/>
      <c r="BJ176" s="25"/>
      <c r="BK176" s="25"/>
      <c r="BL176" s="20"/>
      <c r="BM176" s="20"/>
      <c r="BN176" s="20"/>
      <c r="BO176" s="20"/>
      <c r="BP176" s="20"/>
      <c r="BQ176" s="21">
        <f t="shared" ref="BQ176:BQ212" si="468">SUM(BH176:BP176)</f>
        <v>0</v>
      </c>
      <c r="BR176" s="4">
        <f t="shared" ref="BR176:BR212" si="469">F176+P176+AG176+AQ176+BH176</f>
        <v>195000</v>
      </c>
      <c r="BS176" s="4">
        <f t="shared" ref="BS176:BS212" si="470">G176+Q176+AH176+AR176+BI176</f>
        <v>271600</v>
      </c>
      <c r="BT176" s="4">
        <f t="shared" ref="BT176:BT212" si="471">H176+R176+AI176+AS176+BJ176</f>
        <v>38800</v>
      </c>
      <c r="BU176" s="4">
        <f t="shared" ref="BU176:BU212" si="472">I176+S176+Z176+AJ176+AT176+BA176+BK176</f>
        <v>514000</v>
      </c>
      <c r="BV176" s="94">
        <f t="shared" ref="BV176:BV212" si="473">J176+T176+AA176+AK176+AU176+BB176+BL176</f>
        <v>570500</v>
      </c>
      <c r="BW176" s="94">
        <f t="shared" ref="BW176:BW212" si="474">K176+U176+AB176+AM176+AV176+BC176+BM176</f>
        <v>897100</v>
      </c>
      <c r="BX176" s="94">
        <f t="shared" ref="BX176:BX212" si="475">L176+V176+AC176+AM176+AW176+BD176+BN176</f>
        <v>814800</v>
      </c>
      <c r="BY176" s="94">
        <f t="shared" ref="BY176:BY212" si="476">M176+W176+AD176+AO176+AX176+BE176+BO176</f>
        <v>805100</v>
      </c>
      <c r="BZ176" s="94">
        <f t="shared" ref="BZ176:BZ212" si="477">N176+X176+AE176+AO176+AY176+BF176+BP176</f>
        <v>582000</v>
      </c>
      <c r="CA176" s="9">
        <f t="shared" ref="CA176:CA212" si="478">SUM(BR176:BZ176)</f>
        <v>4688900</v>
      </c>
    </row>
    <row r="177" spans="1:79">
      <c r="A177" s="186"/>
      <c r="B177" s="8">
        <v>2</v>
      </c>
      <c r="C177" s="1" t="s">
        <v>310</v>
      </c>
      <c r="D177" s="12" t="s">
        <v>448</v>
      </c>
      <c r="E177" s="4" t="s">
        <v>24</v>
      </c>
      <c r="F177" s="4">
        <v>155000</v>
      </c>
      <c r="G177" s="4">
        <v>881000</v>
      </c>
      <c r="H177" s="4">
        <f>110000+110000+330000</f>
        <v>550000</v>
      </c>
      <c r="I177" s="4">
        <f>160000+20000</f>
        <v>180000</v>
      </c>
      <c r="J177" s="4"/>
      <c r="K177" s="4"/>
      <c r="L177" s="4"/>
      <c r="M177" s="4"/>
      <c r="N177" s="4"/>
      <c r="O177" s="9">
        <f t="shared" si="462"/>
        <v>1766000</v>
      </c>
      <c r="P177" s="20"/>
      <c r="Q177" s="25">
        <v>1020900</v>
      </c>
      <c r="R177" s="24">
        <v>621200</v>
      </c>
      <c r="S177" s="24">
        <v>240000</v>
      </c>
      <c r="T177" s="20"/>
      <c r="U177" s="20"/>
      <c r="V177" s="20"/>
      <c r="W177" s="20"/>
      <c r="X177" s="20"/>
      <c r="Y177" s="21">
        <f t="shared" si="463"/>
        <v>1882100</v>
      </c>
      <c r="Z177" s="25">
        <v>1155000</v>
      </c>
      <c r="AA177" s="20">
        <f>105000+311500+315000+315000+210000</f>
        <v>1256500</v>
      </c>
      <c r="AB177" s="20">
        <f>1387200+296000+148000</f>
        <v>1831200</v>
      </c>
      <c r="AC177" s="20">
        <v>1539000</v>
      </c>
      <c r="AD177" s="20">
        <v>2028000</v>
      </c>
      <c r="AE177" s="175">
        <v>1248000</v>
      </c>
      <c r="AF177" s="21">
        <f t="shared" si="464"/>
        <v>9057700</v>
      </c>
      <c r="AG177" s="20"/>
      <c r="AH177" s="20"/>
      <c r="AI177" s="20"/>
      <c r="AJ177" s="20"/>
      <c r="AK177" s="20"/>
      <c r="AL177" s="20"/>
      <c r="AM177" s="20"/>
      <c r="AN177" s="20"/>
      <c r="AO177" s="20"/>
      <c r="AP177" s="9">
        <f t="shared" si="465"/>
        <v>0</v>
      </c>
      <c r="AQ177" s="4"/>
      <c r="AR177" s="4"/>
      <c r="AS177" s="4"/>
      <c r="AT177" s="4"/>
      <c r="AU177" s="4"/>
      <c r="AV177" s="4"/>
      <c r="AW177" s="4"/>
      <c r="AX177" s="4"/>
      <c r="AY177" s="4"/>
      <c r="AZ177" s="9">
        <f t="shared" si="466"/>
        <v>0</v>
      </c>
      <c r="BA177" s="25"/>
      <c r="BB177" s="20"/>
      <c r="BC177" s="20"/>
      <c r="BD177" s="20"/>
      <c r="BE177" s="20"/>
      <c r="BF177" s="20"/>
      <c r="BG177" s="21">
        <f t="shared" si="467"/>
        <v>0</v>
      </c>
      <c r="BH177" s="25"/>
      <c r="BI177" s="25">
        <v>100000</v>
      </c>
      <c r="BJ177" s="25">
        <f>218150+257600</f>
        <v>475750</v>
      </c>
      <c r="BK177" s="25"/>
      <c r="BL177" s="20"/>
      <c r="BM177" s="20"/>
      <c r="BN177" s="20"/>
      <c r="BO177" s="20"/>
      <c r="BP177" s="20"/>
      <c r="BQ177" s="21">
        <f t="shared" si="468"/>
        <v>575750</v>
      </c>
      <c r="BR177" s="4">
        <f t="shared" si="469"/>
        <v>155000</v>
      </c>
      <c r="BS177" s="4">
        <f t="shared" si="470"/>
        <v>2001900</v>
      </c>
      <c r="BT177" s="4">
        <f t="shared" si="471"/>
        <v>1646950</v>
      </c>
      <c r="BU177" s="4">
        <f t="shared" si="472"/>
        <v>1575000</v>
      </c>
      <c r="BV177" s="94">
        <f t="shared" si="473"/>
        <v>1256500</v>
      </c>
      <c r="BW177" s="94">
        <f t="shared" si="474"/>
        <v>1831200</v>
      </c>
      <c r="BX177" s="94">
        <f t="shared" si="475"/>
        <v>1539000</v>
      </c>
      <c r="BY177" s="94">
        <f t="shared" si="476"/>
        <v>2028000</v>
      </c>
      <c r="BZ177" s="94">
        <f t="shared" si="477"/>
        <v>1248000</v>
      </c>
      <c r="CA177" s="9">
        <f t="shared" si="478"/>
        <v>13281550</v>
      </c>
    </row>
    <row r="178" spans="1:79" ht="30">
      <c r="A178" s="186"/>
      <c r="B178" s="8">
        <v>3</v>
      </c>
      <c r="C178" s="2" t="s">
        <v>312</v>
      </c>
      <c r="D178" s="13" t="s">
        <v>313</v>
      </c>
      <c r="E178" s="4" t="s">
        <v>24</v>
      </c>
      <c r="F178" s="4"/>
      <c r="G178" s="4"/>
      <c r="H178" s="4"/>
      <c r="I178" s="4"/>
      <c r="J178" s="4"/>
      <c r="K178" s="4"/>
      <c r="L178" s="4"/>
      <c r="M178" s="4"/>
      <c r="N178" s="4"/>
      <c r="O178" s="9">
        <f t="shared" si="462"/>
        <v>0</v>
      </c>
      <c r="P178" s="20"/>
      <c r="Q178" s="25"/>
      <c r="R178" s="24"/>
      <c r="S178" s="24"/>
      <c r="T178" s="20"/>
      <c r="U178" s="20"/>
      <c r="V178" s="20"/>
      <c r="W178" s="20"/>
      <c r="X178" s="20"/>
      <c r="Y178" s="21">
        <f t="shared" si="463"/>
        <v>0</v>
      </c>
      <c r="Z178" s="25">
        <v>0</v>
      </c>
      <c r="AA178" s="20"/>
      <c r="AB178" s="20"/>
      <c r="AC178" s="20"/>
      <c r="AD178" s="20"/>
      <c r="AE178" s="20"/>
      <c r="AF178" s="21">
        <f t="shared" si="464"/>
        <v>0</v>
      </c>
      <c r="AG178" s="20"/>
      <c r="AH178" s="20"/>
      <c r="AI178" s="20"/>
      <c r="AJ178" s="20"/>
      <c r="AK178" s="20"/>
      <c r="AL178" s="20"/>
      <c r="AM178" s="20"/>
      <c r="AN178" s="20"/>
      <c r="AO178" s="20"/>
      <c r="AP178" s="9">
        <f t="shared" si="465"/>
        <v>0</v>
      </c>
      <c r="AQ178" s="4"/>
      <c r="AR178" s="4"/>
      <c r="AS178" s="4"/>
      <c r="AT178" s="4"/>
      <c r="AU178" s="4"/>
      <c r="AV178" s="4"/>
      <c r="AW178" s="4"/>
      <c r="AX178" s="4"/>
      <c r="AY178" s="4"/>
      <c r="AZ178" s="9">
        <f t="shared" si="466"/>
        <v>0</v>
      </c>
      <c r="BA178" s="25"/>
      <c r="BB178" s="20"/>
      <c r="BC178" s="20"/>
      <c r="BD178" s="20"/>
      <c r="BE178" s="20"/>
      <c r="BF178" s="20"/>
      <c r="BG178" s="21">
        <f t="shared" si="467"/>
        <v>0</v>
      </c>
      <c r="BH178" s="25"/>
      <c r="BI178" s="25">
        <v>100000</v>
      </c>
      <c r="BJ178" s="25">
        <v>276000</v>
      </c>
      <c r="BK178" s="25"/>
      <c r="BL178" s="20"/>
      <c r="BM178" s="20"/>
      <c r="BN178" s="20"/>
      <c r="BO178" s="20"/>
      <c r="BP178" s="20"/>
      <c r="BQ178" s="21">
        <f t="shared" si="468"/>
        <v>376000</v>
      </c>
      <c r="BR178" s="4">
        <f t="shared" si="469"/>
        <v>0</v>
      </c>
      <c r="BS178" s="4">
        <f t="shared" si="470"/>
        <v>100000</v>
      </c>
      <c r="BT178" s="4">
        <f t="shared" si="471"/>
        <v>276000</v>
      </c>
      <c r="BU178" s="4">
        <f t="shared" si="472"/>
        <v>0</v>
      </c>
      <c r="BV178" s="94">
        <f t="shared" si="473"/>
        <v>0</v>
      </c>
      <c r="BW178" s="94">
        <f t="shared" si="474"/>
        <v>0</v>
      </c>
      <c r="BX178" s="94">
        <f t="shared" si="475"/>
        <v>0</v>
      </c>
      <c r="BY178" s="94">
        <f t="shared" si="476"/>
        <v>0</v>
      </c>
      <c r="BZ178" s="94">
        <f t="shared" si="477"/>
        <v>0</v>
      </c>
      <c r="CA178" s="9">
        <f t="shared" si="478"/>
        <v>376000</v>
      </c>
    </row>
    <row r="179" spans="1:79">
      <c r="A179" s="186"/>
      <c r="B179" s="8">
        <v>4</v>
      </c>
      <c r="C179" s="1" t="s">
        <v>314</v>
      </c>
      <c r="D179" s="12" t="s">
        <v>26</v>
      </c>
      <c r="E179" s="4" t="s">
        <v>24</v>
      </c>
      <c r="F179" s="4"/>
      <c r="G179" s="4">
        <v>155000</v>
      </c>
      <c r="H179" s="4">
        <f>368500+47500+82500</f>
        <v>498500</v>
      </c>
      <c r="I179" s="4">
        <f>100000+120000</f>
        <v>220000</v>
      </c>
      <c r="J179" s="4"/>
      <c r="K179" s="4"/>
      <c r="L179" s="4"/>
      <c r="M179" s="4"/>
      <c r="N179" s="4"/>
      <c r="O179" s="9">
        <f t="shared" si="462"/>
        <v>873500</v>
      </c>
      <c r="P179" s="20"/>
      <c r="Q179" s="25">
        <v>607050</v>
      </c>
      <c r="R179" s="24">
        <v>506100</v>
      </c>
      <c r="S179" s="24">
        <v>180000</v>
      </c>
      <c r="T179" s="20"/>
      <c r="U179" s="20"/>
      <c r="V179" s="20"/>
      <c r="W179" s="20"/>
      <c r="X179" s="20"/>
      <c r="Y179" s="21">
        <f t="shared" si="463"/>
        <v>1293150</v>
      </c>
      <c r="Z179" s="25">
        <v>921500</v>
      </c>
      <c r="AA179" s="20">
        <f>310500+309000+305500+307500+203500</f>
        <v>1436000</v>
      </c>
      <c r="AB179" s="20">
        <f>1352500+280800+140000</f>
        <v>1773300</v>
      </c>
      <c r="AC179" s="20">
        <v>1692000</v>
      </c>
      <c r="AD179" s="20">
        <v>1713000</v>
      </c>
      <c r="AE179" s="175">
        <v>1222000</v>
      </c>
      <c r="AF179" s="21">
        <f t="shared" si="464"/>
        <v>8757800</v>
      </c>
      <c r="AG179" s="20"/>
      <c r="AH179" s="20"/>
      <c r="AI179" s="20"/>
      <c r="AJ179" s="20"/>
      <c r="AK179" s="20"/>
      <c r="AL179" s="20"/>
      <c r="AM179" s="20"/>
      <c r="AN179" s="20"/>
      <c r="AO179" s="20"/>
      <c r="AP179" s="9">
        <f t="shared" si="465"/>
        <v>0</v>
      </c>
      <c r="AQ179" s="4"/>
      <c r="AR179" s="4"/>
      <c r="AS179" s="4"/>
      <c r="AT179" s="4"/>
      <c r="AU179" s="4"/>
      <c r="AV179" s="4"/>
      <c r="AW179" s="4"/>
      <c r="AX179" s="4"/>
      <c r="AY179" s="4"/>
      <c r="AZ179" s="9">
        <f t="shared" si="466"/>
        <v>0</v>
      </c>
      <c r="BA179" s="25"/>
      <c r="BB179" s="20"/>
      <c r="BC179" s="20"/>
      <c r="BD179" s="20"/>
      <c r="BE179" s="20"/>
      <c r="BF179" s="20"/>
      <c r="BG179" s="21">
        <f t="shared" si="467"/>
        <v>0</v>
      </c>
      <c r="BH179" s="25"/>
      <c r="BI179" s="25"/>
      <c r="BJ179" s="25"/>
      <c r="BK179" s="25"/>
      <c r="BL179" s="20"/>
      <c r="BM179" s="20"/>
      <c r="BN179" s="20"/>
      <c r="BO179" s="20"/>
      <c r="BP179" s="20"/>
      <c r="BQ179" s="21">
        <f t="shared" si="468"/>
        <v>0</v>
      </c>
      <c r="BR179" s="4">
        <f t="shared" si="469"/>
        <v>0</v>
      </c>
      <c r="BS179" s="4">
        <f t="shared" si="470"/>
        <v>762050</v>
      </c>
      <c r="BT179" s="4">
        <f t="shared" si="471"/>
        <v>1004600</v>
      </c>
      <c r="BU179" s="4">
        <f t="shared" si="472"/>
        <v>1321500</v>
      </c>
      <c r="BV179" s="94">
        <f t="shared" si="473"/>
        <v>1436000</v>
      </c>
      <c r="BW179" s="94">
        <f t="shared" si="474"/>
        <v>1773300</v>
      </c>
      <c r="BX179" s="94">
        <f t="shared" si="475"/>
        <v>1692000</v>
      </c>
      <c r="BY179" s="94">
        <f t="shared" si="476"/>
        <v>1713000</v>
      </c>
      <c r="BZ179" s="94">
        <f t="shared" si="477"/>
        <v>1222000</v>
      </c>
      <c r="CA179" s="9">
        <f t="shared" si="478"/>
        <v>10924450</v>
      </c>
    </row>
    <row r="180" spans="1:79">
      <c r="A180" s="186"/>
      <c r="B180" s="8">
        <v>5</v>
      </c>
      <c r="C180" s="1" t="s">
        <v>315</v>
      </c>
      <c r="D180" s="12" t="s">
        <v>316</v>
      </c>
      <c r="E180" s="4" t="s">
        <v>24</v>
      </c>
      <c r="F180" s="4"/>
      <c r="G180" s="4"/>
      <c r="H180" s="4">
        <v>155000</v>
      </c>
      <c r="I180" s="4">
        <f>64000+12000</f>
        <v>76000</v>
      </c>
      <c r="J180" s="4"/>
      <c r="K180" s="4"/>
      <c r="L180" s="4"/>
      <c r="M180" s="4"/>
      <c r="N180" s="4"/>
      <c r="O180" s="9">
        <f t="shared" si="462"/>
        <v>231000</v>
      </c>
      <c r="P180" s="20"/>
      <c r="Q180" s="25">
        <v>195000</v>
      </c>
      <c r="R180" s="24">
        <v>377200</v>
      </c>
      <c r="S180" s="24">
        <v>140000</v>
      </c>
      <c r="T180" s="20"/>
      <c r="U180" s="20"/>
      <c r="V180" s="20"/>
      <c r="W180" s="20"/>
      <c r="X180" s="20"/>
      <c r="Y180" s="21">
        <f t="shared" si="463"/>
        <v>712200</v>
      </c>
      <c r="Z180" s="25">
        <v>612500</v>
      </c>
      <c r="AA180" s="20">
        <f>56000+175000+189000+189000+126000</f>
        <v>735000</v>
      </c>
      <c r="AB180" s="20">
        <f>705600+126000+63000</f>
        <v>894600</v>
      </c>
      <c r="AC180" s="20">
        <v>756000</v>
      </c>
      <c r="AD180" s="20">
        <v>1055600</v>
      </c>
      <c r="AE180" s="175">
        <v>665600</v>
      </c>
      <c r="AF180" s="21">
        <f t="shared" si="464"/>
        <v>4719300</v>
      </c>
      <c r="AG180" s="20"/>
      <c r="AH180" s="20"/>
      <c r="AI180" s="20"/>
      <c r="AJ180" s="20"/>
      <c r="AK180" s="20"/>
      <c r="AL180" s="20"/>
      <c r="AM180" s="20"/>
      <c r="AN180" s="20"/>
      <c r="AO180" s="20"/>
      <c r="AP180" s="9">
        <f t="shared" si="465"/>
        <v>0</v>
      </c>
      <c r="AQ180" s="4"/>
      <c r="AR180" s="4"/>
      <c r="AS180" s="4"/>
      <c r="AT180" s="4"/>
      <c r="AU180" s="4"/>
      <c r="AV180" s="4"/>
      <c r="AW180" s="4"/>
      <c r="AX180" s="4"/>
      <c r="AY180" s="4"/>
      <c r="AZ180" s="9">
        <f t="shared" si="466"/>
        <v>0</v>
      </c>
      <c r="BA180" s="25"/>
      <c r="BB180" s="20"/>
      <c r="BC180" s="20"/>
      <c r="BD180" s="20"/>
      <c r="BE180" s="20"/>
      <c r="BF180" s="20"/>
      <c r="BG180" s="21">
        <f t="shared" si="467"/>
        <v>0</v>
      </c>
      <c r="BH180" s="25"/>
      <c r="BI180" s="25">
        <v>100000</v>
      </c>
      <c r="BJ180" s="25">
        <v>276000</v>
      </c>
      <c r="BK180" s="25"/>
      <c r="BL180" s="20"/>
      <c r="BM180" s="20"/>
      <c r="BN180" s="20"/>
      <c r="BO180" s="20"/>
      <c r="BP180" s="20"/>
      <c r="BQ180" s="21">
        <f t="shared" si="468"/>
        <v>376000</v>
      </c>
      <c r="BR180" s="4">
        <f t="shared" si="469"/>
        <v>0</v>
      </c>
      <c r="BS180" s="4">
        <f t="shared" si="470"/>
        <v>295000</v>
      </c>
      <c r="BT180" s="4">
        <f t="shared" si="471"/>
        <v>808200</v>
      </c>
      <c r="BU180" s="4">
        <f t="shared" si="472"/>
        <v>828500</v>
      </c>
      <c r="BV180" s="94">
        <f t="shared" si="473"/>
        <v>735000</v>
      </c>
      <c r="BW180" s="94">
        <f t="shared" si="474"/>
        <v>894600</v>
      </c>
      <c r="BX180" s="94">
        <f t="shared" si="475"/>
        <v>756000</v>
      </c>
      <c r="BY180" s="94">
        <f t="shared" si="476"/>
        <v>1055600</v>
      </c>
      <c r="BZ180" s="94">
        <f t="shared" si="477"/>
        <v>665600</v>
      </c>
      <c r="CA180" s="9">
        <f t="shared" si="478"/>
        <v>6038500</v>
      </c>
    </row>
    <row r="181" spans="1:79" ht="47.25">
      <c r="A181" s="186"/>
      <c r="B181" s="8">
        <v>6</v>
      </c>
      <c r="C181" s="44" t="s">
        <v>317</v>
      </c>
      <c r="D181" s="62" t="s">
        <v>318</v>
      </c>
      <c r="E181" s="4" t="s">
        <v>24</v>
      </c>
      <c r="F181" s="4"/>
      <c r="G181" s="4"/>
      <c r="H181" s="4"/>
      <c r="I181" s="4"/>
      <c r="J181" s="4"/>
      <c r="K181" s="4"/>
      <c r="L181" s="4"/>
      <c r="M181" s="4"/>
      <c r="N181" s="4"/>
      <c r="O181" s="9">
        <f t="shared" si="462"/>
        <v>0</v>
      </c>
      <c r="P181" s="20"/>
      <c r="Q181" s="25"/>
      <c r="R181" s="24"/>
      <c r="S181" s="24"/>
      <c r="T181" s="20"/>
      <c r="U181" s="20"/>
      <c r="V181" s="20"/>
      <c r="W181" s="20"/>
      <c r="X181" s="20"/>
      <c r="Y181" s="21">
        <f t="shared" si="463"/>
        <v>0</v>
      </c>
      <c r="Z181" s="25">
        <v>0</v>
      </c>
      <c r="AA181" s="20"/>
      <c r="AB181" s="20"/>
      <c r="AC181" s="20"/>
      <c r="AD181" s="20"/>
      <c r="AE181" s="20"/>
      <c r="AF181" s="21">
        <f t="shared" si="464"/>
        <v>0</v>
      </c>
      <c r="AG181" s="20"/>
      <c r="AH181" s="20"/>
      <c r="AI181" s="20"/>
      <c r="AJ181" s="20"/>
      <c r="AK181" s="20"/>
      <c r="AL181" s="20"/>
      <c r="AM181" s="20"/>
      <c r="AN181" s="20"/>
      <c r="AO181" s="20"/>
      <c r="AP181" s="9">
        <f t="shared" si="465"/>
        <v>0</v>
      </c>
      <c r="AQ181" s="76"/>
      <c r="AR181" s="76"/>
      <c r="AS181" s="76">
        <v>290000</v>
      </c>
      <c r="AT181" s="76"/>
      <c r="AU181" s="4"/>
      <c r="AV181" s="4"/>
      <c r="AW181" s="4">
        <v>875000</v>
      </c>
      <c r="AX181" s="4">
        <f>570000+190000+200000+200000+200000+400000+600000</f>
        <v>2360000</v>
      </c>
      <c r="AY181" s="4">
        <v>1600000</v>
      </c>
      <c r="AZ181" s="9">
        <f t="shared" si="466"/>
        <v>5125000</v>
      </c>
      <c r="BA181" s="25"/>
      <c r="BB181" s="20"/>
      <c r="BC181" s="20"/>
      <c r="BD181" s="20"/>
      <c r="BE181" s="20"/>
      <c r="BF181" s="20"/>
      <c r="BG181" s="21">
        <f t="shared" si="467"/>
        <v>0</v>
      </c>
      <c r="BH181" s="25"/>
      <c r="BI181" s="25"/>
      <c r="BJ181" s="25"/>
      <c r="BK181" s="25"/>
      <c r="BL181" s="20"/>
      <c r="BM181" s="20"/>
      <c r="BN181" s="20"/>
      <c r="BO181" s="20"/>
      <c r="BP181" s="20"/>
      <c r="BQ181" s="21">
        <f t="shared" si="468"/>
        <v>0</v>
      </c>
      <c r="BR181" s="4">
        <f t="shared" si="469"/>
        <v>0</v>
      </c>
      <c r="BS181" s="4">
        <f t="shared" si="470"/>
        <v>0</v>
      </c>
      <c r="BT181" s="4">
        <f t="shared" si="471"/>
        <v>290000</v>
      </c>
      <c r="BU181" s="4">
        <f t="shared" si="472"/>
        <v>0</v>
      </c>
      <c r="BV181" s="94">
        <f t="shared" si="473"/>
        <v>0</v>
      </c>
      <c r="BW181" s="94">
        <f t="shared" si="474"/>
        <v>0</v>
      </c>
      <c r="BX181" s="94">
        <f t="shared" si="475"/>
        <v>875000</v>
      </c>
      <c r="BY181" s="94">
        <f t="shared" si="476"/>
        <v>2360000</v>
      </c>
      <c r="BZ181" s="94">
        <f t="shared" si="477"/>
        <v>1600000</v>
      </c>
      <c r="CA181" s="9">
        <f t="shared" si="478"/>
        <v>5125000</v>
      </c>
    </row>
    <row r="182" spans="1:79">
      <c r="A182" s="186"/>
      <c r="B182" s="8">
        <v>7</v>
      </c>
      <c r="C182" s="1" t="s">
        <v>319</v>
      </c>
      <c r="D182" s="12" t="s">
        <v>320</v>
      </c>
      <c r="E182" s="4" t="s">
        <v>24</v>
      </c>
      <c r="F182" s="4"/>
      <c r="G182" s="4">
        <v>155000</v>
      </c>
      <c r="H182" s="4"/>
      <c r="I182" s="4"/>
      <c r="J182" s="4"/>
      <c r="K182" s="4"/>
      <c r="L182" s="4"/>
      <c r="M182" s="4"/>
      <c r="N182" s="4"/>
      <c r="O182" s="9">
        <f t="shared" si="462"/>
        <v>155000</v>
      </c>
      <c r="P182" s="20"/>
      <c r="Q182" s="20">
        <v>345350</v>
      </c>
      <c r="R182" s="24">
        <v>155200</v>
      </c>
      <c r="S182" s="24"/>
      <c r="T182" s="20"/>
      <c r="U182" s="20"/>
      <c r="V182" s="20">
        <v>291000</v>
      </c>
      <c r="W182" s="20"/>
      <c r="X182" s="20"/>
      <c r="Y182" s="21">
        <f t="shared" si="463"/>
        <v>791550</v>
      </c>
      <c r="Z182" s="25">
        <v>0</v>
      </c>
      <c r="AA182" s="20"/>
      <c r="AB182" s="20"/>
      <c r="AC182" s="20">
        <v>312000</v>
      </c>
      <c r="AD182" s="20">
        <v>1716000</v>
      </c>
      <c r="AE182" s="175">
        <v>1248000</v>
      </c>
      <c r="AF182" s="21">
        <f t="shared" si="464"/>
        <v>3276000</v>
      </c>
      <c r="AG182" s="20"/>
      <c r="AH182" s="20"/>
      <c r="AI182" s="20"/>
      <c r="AJ182" s="20"/>
      <c r="AK182" s="20"/>
      <c r="AL182" s="20"/>
      <c r="AM182" s="20"/>
      <c r="AN182" s="20"/>
      <c r="AO182" s="20"/>
      <c r="AP182" s="9">
        <f t="shared" si="465"/>
        <v>0</v>
      </c>
      <c r="AQ182" s="4"/>
      <c r="AR182" s="4"/>
      <c r="AS182" s="4"/>
      <c r="AT182" s="4"/>
      <c r="AU182" s="4"/>
      <c r="AV182" s="4"/>
      <c r="AW182" s="4"/>
      <c r="AX182" s="4"/>
      <c r="AY182" s="4"/>
      <c r="AZ182" s="9">
        <f t="shared" si="466"/>
        <v>0</v>
      </c>
      <c r="BA182" s="25"/>
      <c r="BB182" s="20"/>
      <c r="BC182" s="20"/>
      <c r="BD182" s="20"/>
      <c r="BE182" s="20"/>
      <c r="BF182" s="20"/>
      <c r="BG182" s="21">
        <f t="shared" si="467"/>
        <v>0</v>
      </c>
      <c r="BH182" s="25"/>
      <c r="BI182" s="25"/>
      <c r="BJ182" s="25"/>
      <c r="BK182" s="25"/>
      <c r="BL182" s="20"/>
      <c r="BM182" s="20"/>
      <c r="BN182" s="20"/>
      <c r="BO182" s="20"/>
      <c r="BP182" s="20"/>
      <c r="BQ182" s="21">
        <f t="shared" si="468"/>
        <v>0</v>
      </c>
      <c r="BR182" s="4">
        <f t="shared" si="469"/>
        <v>0</v>
      </c>
      <c r="BS182" s="4">
        <f t="shared" si="470"/>
        <v>500350</v>
      </c>
      <c r="BT182" s="4">
        <f t="shared" si="471"/>
        <v>155200</v>
      </c>
      <c r="BU182" s="4">
        <f t="shared" si="472"/>
        <v>0</v>
      </c>
      <c r="BV182" s="94">
        <f t="shared" si="473"/>
        <v>0</v>
      </c>
      <c r="BW182" s="94">
        <f t="shared" si="474"/>
        <v>0</v>
      </c>
      <c r="BX182" s="94">
        <f t="shared" si="475"/>
        <v>603000</v>
      </c>
      <c r="BY182" s="94">
        <f t="shared" si="476"/>
        <v>1716000</v>
      </c>
      <c r="BZ182" s="94">
        <f t="shared" si="477"/>
        <v>1248000</v>
      </c>
      <c r="CA182" s="9">
        <f t="shared" si="478"/>
        <v>4222550</v>
      </c>
    </row>
    <row r="183" spans="1:79">
      <c r="A183" s="186"/>
      <c r="B183" s="8">
        <v>8</v>
      </c>
      <c r="C183" s="1" t="s">
        <v>321</v>
      </c>
      <c r="D183" s="12" t="s">
        <v>313</v>
      </c>
      <c r="E183" s="4" t="s">
        <v>24</v>
      </c>
      <c r="F183" s="4"/>
      <c r="G183" s="4">
        <v>255000</v>
      </c>
      <c r="H183" s="4">
        <f>52000+60500+209000+77000</f>
        <v>398500</v>
      </c>
      <c r="I183" s="4">
        <f>140000+20000</f>
        <v>160000</v>
      </c>
      <c r="J183" s="4"/>
      <c r="K183" s="4"/>
      <c r="L183" s="4"/>
      <c r="M183" s="4"/>
      <c r="N183" s="4"/>
      <c r="O183" s="9">
        <f t="shared" si="462"/>
        <v>813500</v>
      </c>
      <c r="P183" s="20"/>
      <c r="Q183" s="25">
        <v>392250</v>
      </c>
      <c r="R183" s="24">
        <v>664450</v>
      </c>
      <c r="S183" s="24">
        <v>270000</v>
      </c>
      <c r="T183" s="20"/>
      <c r="U183" s="20"/>
      <c r="V183" s="20"/>
      <c r="W183" s="20"/>
      <c r="X183" s="20"/>
      <c r="Y183" s="21">
        <f t="shared" si="463"/>
        <v>1326700</v>
      </c>
      <c r="Z183" s="25">
        <v>1155000</v>
      </c>
      <c r="AA183" s="20">
        <f>105000+315000+315000+315000+210000</f>
        <v>1260000</v>
      </c>
      <c r="AB183" s="20">
        <f>1364000+312000+156000</f>
        <v>1832000</v>
      </c>
      <c r="AC183" s="20">
        <v>1872000</v>
      </c>
      <c r="AD183" s="20">
        <v>1716000</v>
      </c>
      <c r="AE183" s="175">
        <v>1248000</v>
      </c>
      <c r="AF183" s="21">
        <f t="shared" si="464"/>
        <v>9083000</v>
      </c>
      <c r="AG183" s="20"/>
      <c r="AH183" s="20"/>
      <c r="AI183" s="20"/>
      <c r="AJ183" s="20"/>
      <c r="AK183" s="20"/>
      <c r="AL183" s="20"/>
      <c r="AM183" s="20"/>
      <c r="AN183" s="20"/>
      <c r="AO183" s="20"/>
      <c r="AP183" s="9">
        <f t="shared" si="465"/>
        <v>0</v>
      </c>
      <c r="AQ183" s="4"/>
      <c r="AR183" s="4"/>
      <c r="AS183" s="4"/>
      <c r="AT183" s="4"/>
      <c r="AU183" s="4"/>
      <c r="AV183" s="4"/>
      <c r="AW183" s="4"/>
      <c r="AX183" s="4"/>
      <c r="AY183" s="4"/>
      <c r="AZ183" s="9">
        <f t="shared" si="466"/>
        <v>0</v>
      </c>
      <c r="BA183" s="25"/>
      <c r="BB183" s="20"/>
      <c r="BC183" s="20"/>
      <c r="BD183" s="20"/>
      <c r="BE183" s="20"/>
      <c r="BF183" s="20"/>
      <c r="BG183" s="21">
        <f t="shared" si="467"/>
        <v>0</v>
      </c>
      <c r="BH183" s="25"/>
      <c r="BI183" s="25">
        <v>100000</v>
      </c>
      <c r="BJ183" s="25">
        <v>276000</v>
      </c>
      <c r="BK183" s="25"/>
      <c r="BL183" s="20"/>
      <c r="BM183" s="20"/>
      <c r="BN183" s="20"/>
      <c r="BO183" s="20"/>
      <c r="BP183" s="20"/>
      <c r="BQ183" s="21">
        <f t="shared" si="468"/>
        <v>376000</v>
      </c>
      <c r="BR183" s="4">
        <f t="shared" si="469"/>
        <v>0</v>
      </c>
      <c r="BS183" s="4">
        <f t="shared" si="470"/>
        <v>747250</v>
      </c>
      <c r="BT183" s="4">
        <f t="shared" si="471"/>
        <v>1338950</v>
      </c>
      <c r="BU183" s="4">
        <f t="shared" si="472"/>
        <v>1585000</v>
      </c>
      <c r="BV183" s="94">
        <f t="shared" si="473"/>
        <v>1260000</v>
      </c>
      <c r="BW183" s="94">
        <f t="shared" si="474"/>
        <v>1832000</v>
      </c>
      <c r="BX183" s="94">
        <f t="shared" si="475"/>
        <v>1872000</v>
      </c>
      <c r="BY183" s="94">
        <f t="shared" si="476"/>
        <v>1716000</v>
      </c>
      <c r="BZ183" s="94">
        <f t="shared" si="477"/>
        <v>1248000</v>
      </c>
      <c r="CA183" s="9">
        <f t="shared" si="478"/>
        <v>11599200</v>
      </c>
    </row>
    <row r="184" spans="1:79" ht="47.25">
      <c r="A184" s="186"/>
      <c r="B184" s="8">
        <v>9</v>
      </c>
      <c r="C184" s="1" t="s">
        <v>322</v>
      </c>
      <c r="D184" s="12" t="s">
        <v>323</v>
      </c>
      <c r="E184" s="4" t="s">
        <v>24</v>
      </c>
      <c r="F184" s="4">
        <v>155000</v>
      </c>
      <c r="G184" s="4">
        <v>137500</v>
      </c>
      <c r="H184" s="4">
        <f>115500+38500+44000+33000</f>
        <v>231000</v>
      </c>
      <c r="I184" s="4"/>
      <c r="J184" s="4"/>
      <c r="K184" s="4"/>
      <c r="L184" s="4"/>
      <c r="M184" s="4"/>
      <c r="N184" s="4"/>
      <c r="O184" s="9">
        <f t="shared" si="462"/>
        <v>523500</v>
      </c>
      <c r="P184" s="20">
        <v>195000</v>
      </c>
      <c r="Q184" s="25">
        <v>359450</v>
      </c>
      <c r="R184" s="24">
        <v>55200</v>
      </c>
      <c r="S184" s="24"/>
      <c r="T184" s="20"/>
      <c r="U184" s="20"/>
      <c r="V184" s="20"/>
      <c r="W184" s="20"/>
      <c r="X184" s="20"/>
      <c r="Y184" s="21">
        <f t="shared" si="463"/>
        <v>609650</v>
      </c>
      <c r="Z184" s="25">
        <v>0</v>
      </c>
      <c r="AA184" s="20"/>
      <c r="AB184" s="20"/>
      <c r="AC184" s="20"/>
      <c r="AD184" s="20"/>
      <c r="AE184" s="20"/>
      <c r="AF184" s="21">
        <f t="shared" si="464"/>
        <v>0</v>
      </c>
      <c r="AG184" s="20">
        <v>290000</v>
      </c>
      <c r="AH184" s="20"/>
      <c r="AI184" s="4">
        <v>1218000</v>
      </c>
      <c r="AJ184" s="22"/>
      <c r="AK184" s="22"/>
      <c r="AL184" s="22"/>
      <c r="AM184" s="22">
        <f>540000+630000+210000</f>
        <v>1380000</v>
      </c>
      <c r="AN184" s="4">
        <f>630000+210000+210000+210000+210000+420000+630000</f>
        <v>2520000</v>
      </c>
      <c r="AO184" s="4">
        <v>1680000</v>
      </c>
      <c r="AP184" s="9">
        <f t="shared" si="465"/>
        <v>7088000</v>
      </c>
      <c r="AQ184" s="4"/>
      <c r="AR184" s="4"/>
      <c r="AS184" s="4"/>
      <c r="AT184" s="4"/>
      <c r="AU184" s="4"/>
      <c r="AV184" s="4"/>
      <c r="AW184" s="4"/>
      <c r="AX184" s="4"/>
      <c r="AY184" s="4"/>
      <c r="AZ184" s="9">
        <f t="shared" si="466"/>
        <v>0</v>
      </c>
      <c r="BA184" s="25"/>
      <c r="BB184" s="20"/>
      <c r="BC184" s="20"/>
      <c r="BD184" s="20"/>
      <c r="BE184" s="20"/>
      <c r="BF184" s="4"/>
      <c r="BG184" s="21">
        <f t="shared" si="467"/>
        <v>0</v>
      </c>
      <c r="BH184" s="25"/>
      <c r="BI184" s="25"/>
      <c r="BJ184" s="25"/>
      <c r="BK184" s="25"/>
      <c r="BL184" s="20"/>
      <c r="BM184" s="20"/>
      <c r="BN184" s="20"/>
      <c r="BO184" s="20"/>
      <c r="BP184" s="20"/>
      <c r="BQ184" s="21">
        <f t="shared" si="468"/>
        <v>0</v>
      </c>
      <c r="BR184" s="4">
        <f t="shared" si="469"/>
        <v>640000</v>
      </c>
      <c r="BS184" s="4">
        <f t="shared" si="470"/>
        <v>496950</v>
      </c>
      <c r="BT184" s="4">
        <f t="shared" si="471"/>
        <v>1504200</v>
      </c>
      <c r="BU184" s="4">
        <f t="shared" si="472"/>
        <v>0</v>
      </c>
      <c r="BV184" s="94">
        <f t="shared" si="473"/>
        <v>0</v>
      </c>
      <c r="BW184" s="94">
        <f t="shared" si="474"/>
        <v>1380000</v>
      </c>
      <c r="BX184" s="94">
        <f t="shared" si="475"/>
        <v>1380000</v>
      </c>
      <c r="BY184" s="94">
        <f t="shared" si="476"/>
        <v>1680000</v>
      </c>
      <c r="BZ184" s="94">
        <f t="shared" si="477"/>
        <v>1680000</v>
      </c>
      <c r="CA184" s="9">
        <f t="shared" si="478"/>
        <v>8761150</v>
      </c>
    </row>
    <row r="185" spans="1:79">
      <c r="A185" s="186"/>
      <c r="B185" s="8">
        <v>10</v>
      </c>
      <c r="C185" s="1" t="s">
        <v>324</v>
      </c>
      <c r="D185" s="12" t="s">
        <v>26</v>
      </c>
      <c r="E185" s="4" t="s">
        <v>24</v>
      </c>
      <c r="F185" s="4"/>
      <c r="G185" s="4"/>
      <c r="H185" s="4"/>
      <c r="I185" s="4"/>
      <c r="J185" s="4"/>
      <c r="K185" s="4"/>
      <c r="L185" s="4"/>
      <c r="M185" s="4"/>
      <c r="N185" s="4"/>
      <c r="O185" s="9">
        <f t="shared" si="462"/>
        <v>0</v>
      </c>
      <c r="P185" s="20"/>
      <c r="Q185" s="25"/>
      <c r="R185" s="24"/>
      <c r="S185" s="24"/>
      <c r="T185" s="20"/>
      <c r="U185" s="20"/>
      <c r="V185" s="20"/>
      <c r="W185" s="20"/>
      <c r="X185" s="20"/>
      <c r="Y185" s="21">
        <f t="shared" si="463"/>
        <v>0</v>
      </c>
      <c r="Z185" s="25">
        <v>0</v>
      </c>
      <c r="AA185" s="20"/>
      <c r="AB185" s="20"/>
      <c r="AC185" s="20"/>
      <c r="AD185" s="20"/>
      <c r="AE185" s="20"/>
      <c r="AF185" s="21">
        <f t="shared" si="464"/>
        <v>0</v>
      </c>
      <c r="AG185" s="20">
        <v>290000</v>
      </c>
      <c r="AH185" s="20"/>
      <c r="AI185" s="4">
        <v>252000</v>
      </c>
      <c r="AJ185" s="22"/>
      <c r="AK185" s="22"/>
      <c r="AL185" s="22"/>
      <c r="AM185" s="22"/>
      <c r="AN185" s="4"/>
      <c r="AO185" s="4"/>
      <c r="AP185" s="9">
        <f t="shared" si="465"/>
        <v>542000</v>
      </c>
      <c r="AQ185" s="4"/>
      <c r="AR185" s="4"/>
      <c r="AS185" s="4"/>
      <c r="AT185" s="4"/>
      <c r="AU185" s="4"/>
      <c r="AV185" s="4"/>
      <c r="AW185" s="4"/>
      <c r="AX185" s="4"/>
      <c r="AY185" s="4"/>
      <c r="AZ185" s="9">
        <f t="shared" si="466"/>
        <v>0</v>
      </c>
      <c r="BA185" s="25"/>
      <c r="BB185" s="20"/>
      <c r="BC185" s="20"/>
      <c r="BD185" s="20"/>
      <c r="BE185" s="20"/>
      <c r="BF185" s="4"/>
      <c r="BG185" s="21">
        <f t="shared" si="467"/>
        <v>0</v>
      </c>
      <c r="BH185" s="25"/>
      <c r="BI185" s="25"/>
      <c r="BJ185" s="25"/>
      <c r="BK185" s="25"/>
      <c r="BL185" s="20"/>
      <c r="BM185" s="20"/>
      <c r="BN185" s="20"/>
      <c r="BO185" s="20"/>
      <c r="BP185" s="20"/>
      <c r="BQ185" s="21">
        <f t="shared" si="468"/>
        <v>0</v>
      </c>
      <c r="BR185" s="4">
        <f t="shared" si="469"/>
        <v>290000</v>
      </c>
      <c r="BS185" s="4">
        <f t="shared" si="470"/>
        <v>0</v>
      </c>
      <c r="BT185" s="4">
        <f t="shared" si="471"/>
        <v>252000</v>
      </c>
      <c r="BU185" s="4">
        <f t="shared" si="472"/>
        <v>0</v>
      </c>
      <c r="BV185" s="94">
        <f t="shared" si="473"/>
        <v>0</v>
      </c>
      <c r="BW185" s="94">
        <f t="shared" si="474"/>
        <v>0</v>
      </c>
      <c r="BX185" s="94">
        <f t="shared" si="475"/>
        <v>0</v>
      </c>
      <c r="BY185" s="94">
        <f t="shared" si="476"/>
        <v>0</v>
      </c>
      <c r="BZ185" s="94">
        <f t="shared" si="477"/>
        <v>0</v>
      </c>
      <c r="CA185" s="9">
        <f t="shared" si="478"/>
        <v>542000</v>
      </c>
    </row>
    <row r="186" spans="1:79">
      <c r="A186" s="186"/>
      <c r="B186" s="8">
        <v>11</v>
      </c>
      <c r="C186" s="1" t="s">
        <v>325</v>
      </c>
      <c r="D186" s="61" t="s">
        <v>326</v>
      </c>
      <c r="E186" s="4" t="s">
        <v>24</v>
      </c>
      <c r="F186" s="4"/>
      <c r="G186" s="4"/>
      <c r="H186" s="4"/>
      <c r="I186" s="4"/>
      <c r="J186" s="4"/>
      <c r="K186" s="4"/>
      <c r="L186" s="4"/>
      <c r="M186" s="4"/>
      <c r="N186" s="4"/>
      <c r="O186" s="9">
        <f t="shared" si="462"/>
        <v>0</v>
      </c>
      <c r="P186" s="20">
        <v>195000</v>
      </c>
      <c r="Q186" s="25">
        <v>557300</v>
      </c>
      <c r="R186" s="24">
        <v>216700</v>
      </c>
      <c r="S186" s="24">
        <v>96000</v>
      </c>
      <c r="T186" s="20"/>
      <c r="U186" s="20"/>
      <c r="V186" s="20"/>
      <c r="W186" s="20"/>
      <c r="X186" s="20"/>
      <c r="Y186" s="21">
        <f t="shared" si="463"/>
        <v>1065000</v>
      </c>
      <c r="Z186" s="25">
        <v>0</v>
      </c>
      <c r="AA186" s="20"/>
      <c r="AB186" s="20"/>
      <c r="AC186" s="20"/>
      <c r="AD186" s="20"/>
      <c r="AE186" s="20"/>
      <c r="AF186" s="21">
        <f t="shared" si="464"/>
        <v>0</v>
      </c>
      <c r="AG186" s="20">
        <v>290000</v>
      </c>
      <c r="AH186" s="22">
        <v>931000</v>
      </c>
      <c r="AI186" s="4">
        <v>112000</v>
      </c>
      <c r="AJ186" s="73">
        <v>720000</v>
      </c>
      <c r="AK186" s="73">
        <f>1125000+225000+225000+150000</f>
        <v>1725000</v>
      </c>
      <c r="AL186" s="73">
        <f>1244000+560000</f>
        <v>1804000</v>
      </c>
      <c r="AM186" s="73">
        <f>420000+420000+140000+140000+280000+140000</f>
        <v>1540000</v>
      </c>
      <c r="AN186" s="4">
        <f>420000+280000+140000+140000+280000+406000</f>
        <v>1666000</v>
      </c>
      <c r="AO186" s="4">
        <v>1001000</v>
      </c>
      <c r="AP186" s="9">
        <f t="shared" si="465"/>
        <v>9789000</v>
      </c>
      <c r="AQ186" s="4"/>
      <c r="AR186" s="4"/>
      <c r="AS186" s="4"/>
      <c r="AT186" s="4"/>
      <c r="AU186" s="4"/>
      <c r="AV186" s="4"/>
      <c r="AW186" s="4"/>
      <c r="AX186" s="4"/>
      <c r="AY186" s="4"/>
      <c r="AZ186" s="9">
        <f t="shared" si="466"/>
        <v>0</v>
      </c>
      <c r="BA186" s="25"/>
      <c r="BB186" s="20"/>
      <c r="BC186" s="20"/>
      <c r="BD186" s="20"/>
      <c r="BE186" s="20"/>
      <c r="BF186" s="4"/>
      <c r="BG186" s="21">
        <f t="shared" si="467"/>
        <v>0</v>
      </c>
      <c r="BH186" s="25"/>
      <c r="BI186" s="25"/>
      <c r="BJ186" s="25"/>
      <c r="BK186" s="25"/>
      <c r="BL186" s="20"/>
      <c r="BM186" s="20"/>
      <c r="BN186" s="20"/>
      <c r="BO186" s="20"/>
      <c r="BP186" s="20"/>
      <c r="BQ186" s="21">
        <f t="shared" si="468"/>
        <v>0</v>
      </c>
      <c r="BR186" s="4">
        <f t="shared" si="469"/>
        <v>485000</v>
      </c>
      <c r="BS186" s="4">
        <f t="shared" si="470"/>
        <v>1488300</v>
      </c>
      <c r="BT186" s="4">
        <f t="shared" si="471"/>
        <v>328700</v>
      </c>
      <c r="BU186" s="4">
        <f t="shared" si="472"/>
        <v>816000</v>
      </c>
      <c r="BV186" s="94">
        <f t="shared" si="473"/>
        <v>1725000</v>
      </c>
      <c r="BW186" s="94">
        <f t="shared" si="474"/>
        <v>1540000</v>
      </c>
      <c r="BX186" s="94">
        <f t="shared" si="475"/>
        <v>1540000</v>
      </c>
      <c r="BY186" s="94">
        <f t="shared" si="476"/>
        <v>1001000</v>
      </c>
      <c r="BZ186" s="94">
        <f t="shared" si="477"/>
        <v>1001000</v>
      </c>
      <c r="CA186" s="9">
        <f t="shared" si="478"/>
        <v>9925000</v>
      </c>
    </row>
    <row r="187" spans="1:79">
      <c r="A187" s="186"/>
      <c r="B187" s="8">
        <v>12</v>
      </c>
      <c r="C187" s="1" t="s">
        <v>327</v>
      </c>
      <c r="D187" s="12" t="s">
        <v>313</v>
      </c>
      <c r="E187" s="4" t="s">
        <v>24</v>
      </c>
      <c r="F187" s="4"/>
      <c r="G187" s="4">
        <v>155000</v>
      </c>
      <c r="H187" s="4">
        <f>155000+64000+60000</f>
        <v>279000</v>
      </c>
      <c r="I187" s="4">
        <f>80000+20000</f>
        <v>100000</v>
      </c>
      <c r="J187" s="4"/>
      <c r="K187" s="4"/>
      <c r="L187" s="4"/>
      <c r="M187" s="4"/>
      <c r="N187" s="4"/>
      <c r="O187" s="9">
        <f t="shared" si="462"/>
        <v>534000</v>
      </c>
      <c r="P187" s="20"/>
      <c r="Q187" s="20">
        <v>258750</v>
      </c>
      <c r="R187" s="24">
        <v>388150</v>
      </c>
      <c r="S187" s="24">
        <v>150000</v>
      </c>
      <c r="T187" s="20"/>
      <c r="U187" s="20"/>
      <c r="V187" s="20"/>
      <c r="W187" s="20"/>
      <c r="X187" s="20"/>
      <c r="Y187" s="21">
        <f t="shared" si="463"/>
        <v>796900</v>
      </c>
      <c r="Z187" s="25">
        <v>945000</v>
      </c>
      <c r="AA187" s="20">
        <f>294000+315000+315000+315000+210000</f>
        <v>1449000</v>
      </c>
      <c r="AB187" s="20">
        <f>1379000+296000+148000</f>
        <v>1823000</v>
      </c>
      <c r="AC187" s="20">
        <v>1840000</v>
      </c>
      <c r="AD187" s="20">
        <v>1716000</v>
      </c>
      <c r="AE187" s="175">
        <v>1248000</v>
      </c>
      <c r="AF187" s="21">
        <f t="shared" si="464"/>
        <v>9021000</v>
      </c>
      <c r="AG187" s="20"/>
      <c r="AH187" s="20"/>
      <c r="AI187" s="4"/>
      <c r="AJ187" s="20"/>
      <c r="AK187" s="20"/>
      <c r="AL187" s="20"/>
      <c r="AM187" s="20"/>
      <c r="AN187" s="20"/>
      <c r="AO187" s="20"/>
      <c r="AP187" s="9">
        <f t="shared" si="465"/>
        <v>0</v>
      </c>
      <c r="AQ187" s="4"/>
      <c r="AR187" s="4"/>
      <c r="AS187" s="4"/>
      <c r="AT187" s="4"/>
      <c r="AU187" s="4"/>
      <c r="AV187" s="4"/>
      <c r="AW187" s="4"/>
      <c r="AX187" s="4"/>
      <c r="AY187" s="4"/>
      <c r="AZ187" s="9">
        <f t="shared" si="466"/>
        <v>0</v>
      </c>
      <c r="BA187" s="25"/>
      <c r="BB187" s="20"/>
      <c r="BC187" s="20"/>
      <c r="BD187" s="20"/>
      <c r="BE187" s="20"/>
      <c r="BF187" s="20"/>
      <c r="BG187" s="21">
        <f t="shared" si="467"/>
        <v>0</v>
      </c>
      <c r="BH187" s="25"/>
      <c r="BI187" s="25"/>
      <c r="BJ187" s="25"/>
      <c r="BK187" s="25"/>
      <c r="BL187" s="20"/>
      <c r="BM187" s="20"/>
      <c r="BN187" s="20"/>
      <c r="BO187" s="20"/>
      <c r="BP187" s="20"/>
      <c r="BQ187" s="21">
        <f t="shared" si="468"/>
        <v>0</v>
      </c>
      <c r="BR187" s="4">
        <f t="shared" si="469"/>
        <v>0</v>
      </c>
      <c r="BS187" s="4">
        <f t="shared" si="470"/>
        <v>413750</v>
      </c>
      <c r="BT187" s="4">
        <f t="shared" si="471"/>
        <v>667150</v>
      </c>
      <c r="BU187" s="4">
        <f t="shared" si="472"/>
        <v>1195000</v>
      </c>
      <c r="BV187" s="94">
        <f t="shared" si="473"/>
        <v>1449000</v>
      </c>
      <c r="BW187" s="94">
        <f t="shared" si="474"/>
        <v>1823000</v>
      </c>
      <c r="BX187" s="94">
        <f t="shared" si="475"/>
        <v>1840000</v>
      </c>
      <c r="BY187" s="94">
        <f t="shared" si="476"/>
        <v>1716000</v>
      </c>
      <c r="BZ187" s="94">
        <f t="shared" si="477"/>
        <v>1248000</v>
      </c>
      <c r="CA187" s="9">
        <f t="shared" si="478"/>
        <v>10351900</v>
      </c>
    </row>
    <row r="188" spans="1:79">
      <c r="A188" s="186"/>
      <c r="B188" s="8">
        <v>13</v>
      </c>
      <c r="C188" s="1" t="s">
        <v>329</v>
      </c>
      <c r="D188" s="12" t="s">
        <v>330</v>
      </c>
      <c r="E188" s="4" t="s">
        <v>24</v>
      </c>
      <c r="F188" s="4">
        <v>155000</v>
      </c>
      <c r="G188" s="4">
        <v>1039000</v>
      </c>
      <c r="H188" s="4">
        <f>220000+297000+80000</f>
        <v>597000</v>
      </c>
      <c r="I188" s="4">
        <f>60000+40000</f>
        <v>100000</v>
      </c>
      <c r="J188" s="4"/>
      <c r="K188" s="4"/>
      <c r="L188" s="4"/>
      <c r="M188" s="4"/>
      <c r="N188" s="4"/>
      <c r="O188" s="9">
        <f t="shared" si="462"/>
        <v>1891000</v>
      </c>
      <c r="P188" s="20">
        <v>195000</v>
      </c>
      <c r="Q188" s="25">
        <v>1164700</v>
      </c>
      <c r="R188" s="24">
        <v>483750</v>
      </c>
      <c r="S188" s="24">
        <v>150000</v>
      </c>
      <c r="T188" s="20"/>
      <c r="U188" s="20"/>
      <c r="V188" s="20"/>
      <c r="W188" s="20"/>
      <c r="X188" s="20"/>
      <c r="Y188" s="21">
        <f t="shared" si="463"/>
        <v>1993450</v>
      </c>
      <c r="Z188" s="25">
        <v>0</v>
      </c>
      <c r="AA188" s="20"/>
      <c r="AB188" s="20"/>
      <c r="AC188" s="20"/>
      <c r="AD188" s="20"/>
      <c r="AE188" s="20"/>
      <c r="AF188" s="21">
        <f t="shared" si="464"/>
        <v>0</v>
      </c>
      <c r="AG188" s="20"/>
      <c r="AH188" s="22">
        <v>899000</v>
      </c>
      <c r="AI188" s="4">
        <v>870000</v>
      </c>
      <c r="AJ188" s="32">
        <v>300000</v>
      </c>
      <c r="AK188" s="32"/>
      <c r="AL188" s="32"/>
      <c r="AM188" s="32"/>
      <c r="AN188" s="32"/>
      <c r="AO188" s="32"/>
      <c r="AP188" s="9">
        <f t="shared" si="465"/>
        <v>2069000</v>
      </c>
      <c r="AQ188" s="76"/>
      <c r="AR188" s="76">
        <v>1010000</v>
      </c>
      <c r="AS188" s="76">
        <v>1670000</v>
      </c>
      <c r="AT188" s="76">
        <v>250000</v>
      </c>
      <c r="AU188" s="4"/>
      <c r="AV188" s="4"/>
      <c r="AW188" s="4"/>
      <c r="AX188" s="4"/>
      <c r="AY188" s="4"/>
      <c r="AZ188" s="9">
        <f t="shared" si="466"/>
        <v>2930000</v>
      </c>
      <c r="BA188" s="24">
        <v>900000</v>
      </c>
      <c r="BB188" s="20">
        <f>300000+300000+300000+300000+200000</f>
        <v>1400000</v>
      </c>
      <c r="BC188" s="20">
        <f>1970000+765000</f>
        <v>2735000</v>
      </c>
      <c r="BD188" s="20">
        <f>255000+765000+510000+255000+255000+510000+255000</f>
        <v>2805000</v>
      </c>
      <c r="BE188" s="20">
        <f>765000+255000+255000+255000+255000+510000+510000+255000</f>
        <v>3060000</v>
      </c>
      <c r="BF188" s="32">
        <v>2040000</v>
      </c>
      <c r="BG188" s="21">
        <f t="shared" si="467"/>
        <v>12940000</v>
      </c>
      <c r="BH188" s="25"/>
      <c r="BI188" s="24">
        <f>100000+276000</f>
        <v>376000</v>
      </c>
      <c r="BJ188" s="25"/>
      <c r="BK188" s="25"/>
      <c r="BL188" s="20"/>
      <c r="BM188" s="20"/>
      <c r="BN188" s="20"/>
      <c r="BO188" s="20"/>
      <c r="BP188" s="20"/>
      <c r="BQ188" s="21">
        <f t="shared" si="468"/>
        <v>376000</v>
      </c>
      <c r="BR188" s="4">
        <f t="shared" si="469"/>
        <v>350000</v>
      </c>
      <c r="BS188" s="4">
        <f t="shared" si="470"/>
        <v>4488700</v>
      </c>
      <c r="BT188" s="4">
        <f t="shared" si="471"/>
        <v>3620750</v>
      </c>
      <c r="BU188" s="4">
        <f t="shared" si="472"/>
        <v>1700000</v>
      </c>
      <c r="BV188" s="94">
        <f t="shared" si="473"/>
        <v>1400000</v>
      </c>
      <c r="BW188" s="94">
        <f t="shared" si="474"/>
        <v>2735000</v>
      </c>
      <c r="BX188" s="94">
        <f t="shared" si="475"/>
        <v>2805000</v>
      </c>
      <c r="BY188" s="94">
        <f t="shared" si="476"/>
        <v>3060000</v>
      </c>
      <c r="BZ188" s="94">
        <f t="shared" si="477"/>
        <v>2040000</v>
      </c>
      <c r="CA188" s="9">
        <f t="shared" si="478"/>
        <v>22199450</v>
      </c>
    </row>
    <row r="189" spans="1:79" ht="31.5">
      <c r="A189" s="186"/>
      <c r="B189" s="8">
        <v>14</v>
      </c>
      <c r="C189" s="1" t="s">
        <v>331</v>
      </c>
      <c r="D189" s="5" t="s">
        <v>421</v>
      </c>
      <c r="E189" s="4" t="s">
        <v>24</v>
      </c>
      <c r="F189" s="4"/>
      <c r="G189" s="4"/>
      <c r="H189" s="4"/>
      <c r="I189" s="4"/>
      <c r="J189" s="4"/>
      <c r="K189" s="4"/>
      <c r="L189" s="4"/>
      <c r="M189" s="4"/>
      <c r="N189" s="4"/>
      <c r="O189" s="9">
        <f t="shared" si="462"/>
        <v>0</v>
      </c>
      <c r="P189" s="20"/>
      <c r="Q189" s="25">
        <v>195000</v>
      </c>
      <c r="R189" s="24">
        <v>275000</v>
      </c>
      <c r="S189" s="24">
        <v>1010000</v>
      </c>
      <c r="T189" s="20">
        <f>70000+210000+210000+210000+140000</f>
        <v>840000</v>
      </c>
      <c r="U189" s="20">
        <f>797050+195500+99700</f>
        <v>1092250</v>
      </c>
      <c r="V189" s="20">
        <v>1444850</v>
      </c>
      <c r="W189" s="20">
        <v>1585950</v>
      </c>
      <c r="X189" s="174">
        <v>1139750</v>
      </c>
      <c r="Y189" s="21">
        <f t="shared" si="463"/>
        <v>7582800</v>
      </c>
      <c r="Z189" s="25">
        <v>0</v>
      </c>
      <c r="AA189" s="20"/>
      <c r="AB189" s="20"/>
      <c r="AC189" s="20"/>
      <c r="AD189" s="20"/>
      <c r="AE189" s="20"/>
      <c r="AF189" s="21">
        <f t="shared" si="464"/>
        <v>0</v>
      </c>
      <c r="AG189" s="20"/>
      <c r="AH189" s="20"/>
      <c r="AI189" s="4"/>
      <c r="AJ189" s="20"/>
      <c r="AK189" s="20"/>
      <c r="AL189" s="20"/>
      <c r="AM189" s="20"/>
      <c r="AN189" s="20"/>
      <c r="AO189" s="20"/>
      <c r="AP189" s="9">
        <f t="shared" si="465"/>
        <v>0</v>
      </c>
      <c r="AQ189" s="4"/>
      <c r="AR189" s="4"/>
      <c r="AS189" s="4"/>
      <c r="AT189" s="4"/>
      <c r="AU189" s="4"/>
      <c r="AV189" s="4"/>
      <c r="AW189" s="4"/>
      <c r="AX189" s="4"/>
      <c r="AY189" s="4"/>
      <c r="AZ189" s="9">
        <f t="shared" si="466"/>
        <v>0</v>
      </c>
      <c r="BA189" s="25"/>
      <c r="BB189" s="20"/>
      <c r="BC189" s="20"/>
      <c r="BD189" s="20"/>
      <c r="BE189" s="20"/>
      <c r="BF189" s="20"/>
      <c r="BG189" s="21">
        <f t="shared" si="467"/>
        <v>0</v>
      </c>
      <c r="BH189" s="25"/>
      <c r="BI189" s="25">
        <v>100000</v>
      </c>
      <c r="BJ189" s="25">
        <v>239200</v>
      </c>
      <c r="BK189" s="25"/>
      <c r="BL189" s="20"/>
      <c r="BM189" s="20"/>
      <c r="BN189" s="20"/>
      <c r="BO189" s="20"/>
      <c r="BP189" s="20"/>
      <c r="BQ189" s="21">
        <f t="shared" si="468"/>
        <v>339200</v>
      </c>
      <c r="BR189" s="4">
        <f t="shared" si="469"/>
        <v>0</v>
      </c>
      <c r="BS189" s="4">
        <f t="shared" si="470"/>
        <v>295000</v>
      </c>
      <c r="BT189" s="4">
        <f t="shared" si="471"/>
        <v>514200</v>
      </c>
      <c r="BU189" s="4">
        <f t="shared" si="472"/>
        <v>1010000</v>
      </c>
      <c r="BV189" s="94">
        <f t="shared" si="473"/>
        <v>840000</v>
      </c>
      <c r="BW189" s="94">
        <f t="shared" si="474"/>
        <v>1092250</v>
      </c>
      <c r="BX189" s="94">
        <f t="shared" si="475"/>
        <v>1444850</v>
      </c>
      <c r="BY189" s="94">
        <f t="shared" si="476"/>
        <v>1585950</v>
      </c>
      <c r="BZ189" s="94">
        <f t="shared" si="477"/>
        <v>1139750</v>
      </c>
      <c r="CA189" s="9">
        <f t="shared" si="478"/>
        <v>7922000</v>
      </c>
    </row>
    <row r="190" spans="1:79">
      <c r="A190" s="186"/>
      <c r="B190" s="8">
        <v>15</v>
      </c>
      <c r="C190" s="1" t="s">
        <v>332</v>
      </c>
      <c r="D190" s="4" t="s">
        <v>333</v>
      </c>
      <c r="E190" s="4" t="s">
        <v>24</v>
      </c>
      <c r="F190" s="4"/>
      <c r="G190" s="4">
        <v>741983</v>
      </c>
      <c r="H190" s="4">
        <f>88000+110000+220000</f>
        <v>418000</v>
      </c>
      <c r="I190" s="4"/>
      <c r="J190" s="4"/>
      <c r="K190" s="4"/>
      <c r="L190" s="4">
        <v>180000</v>
      </c>
      <c r="M190" s="4"/>
      <c r="N190" s="4"/>
      <c r="O190" s="9">
        <f t="shared" si="462"/>
        <v>1339983</v>
      </c>
      <c r="P190" s="20"/>
      <c r="Q190" s="25">
        <v>1012650</v>
      </c>
      <c r="R190" s="24">
        <v>477000</v>
      </c>
      <c r="S190" s="24"/>
      <c r="T190" s="20"/>
      <c r="U190" s="20"/>
      <c r="V190" s="20">
        <v>270000</v>
      </c>
      <c r="W190" s="20"/>
      <c r="X190" s="20"/>
      <c r="Y190" s="21">
        <f t="shared" si="463"/>
        <v>1759650</v>
      </c>
      <c r="Z190" s="25">
        <v>0</v>
      </c>
      <c r="AA190" s="20"/>
      <c r="AB190" s="20"/>
      <c r="AC190" s="20"/>
      <c r="AD190" s="20"/>
      <c r="AE190" s="20"/>
      <c r="AF190" s="21">
        <f t="shared" si="464"/>
        <v>0</v>
      </c>
      <c r="AG190" s="20"/>
      <c r="AH190" s="22">
        <v>1078065</v>
      </c>
      <c r="AI190" s="4">
        <v>2130000</v>
      </c>
      <c r="AJ190" s="32"/>
      <c r="AK190" s="32"/>
      <c r="AL190" s="32"/>
      <c r="AM190" s="32">
        <v>300000</v>
      </c>
      <c r="AN190" s="32"/>
      <c r="AO190" s="32"/>
      <c r="AP190" s="9">
        <f t="shared" si="465"/>
        <v>3508065</v>
      </c>
      <c r="AQ190" s="4"/>
      <c r="AR190" s="4"/>
      <c r="AS190" s="4"/>
      <c r="AT190" s="4"/>
      <c r="AU190" s="4"/>
      <c r="AV190" s="4"/>
      <c r="AW190" s="4"/>
      <c r="AX190" s="4"/>
      <c r="AY190" s="4"/>
      <c r="AZ190" s="9">
        <f t="shared" si="466"/>
        <v>0</v>
      </c>
      <c r="BA190" s="25"/>
      <c r="BB190" s="20"/>
      <c r="BC190" s="20"/>
      <c r="BD190" s="20"/>
      <c r="BE190" s="20"/>
      <c r="BF190" s="32"/>
      <c r="BG190" s="21">
        <f t="shared" si="467"/>
        <v>0</v>
      </c>
      <c r="BH190" s="25"/>
      <c r="BI190" s="25"/>
      <c r="BJ190" s="25"/>
      <c r="BK190" s="25"/>
      <c r="BL190" s="20"/>
      <c r="BM190" s="20"/>
      <c r="BN190" s="20"/>
      <c r="BO190" s="20"/>
      <c r="BP190" s="20"/>
      <c r="BQ190" s="21">
        <f t="shared" si="468"/>
        <v>0</v>
      </c>
      <c r="BR190" s="4">
        <f t="shared" si="469"/>
        <v>0</v>
      </c>
      <c r="BS190" s="4">
        <f t="shared" si="470"/>
        <v>2832698</v>
      </c>
      <c r="BT190" s="4">
        <f t="shared" si="471"/>
        <v>3025000</v>
      </c>
      <c r="BU190" s="4">
        <f t="shared" si="472"/>
        <v>0</v>
      </c>
      <c r="BV190" s="94">
        <f t="shared" si="473"/>
        <v>0</v>
      </c>
      <c r="BW190" s="94">
        <f t="shared" si="474"/>
        <v>300000</v>
      </c>
      <c r="BX190" s="94">
        <f t="shared" si="475"/>
        <v>750000</v>
      </c>
      <c r="BY190" s="94">
        <f t="shared" si="476"/>
        <v>0</v>
      </c>
      <c r="BZ190" s="94">
        <f t="shared" si="477"/>
        <v>0</v>
      </c>
      <c r="CA190" s="9">
        <f t="shared" si="478"/>
        <v>6907698</v>
      </c>
    </row>
    <row r="191" spans="1:79">
      <c r="A191" s="186"/>
      <c r="B191" s="8">
        <v>16</v>
      </c>
      <c r="C191" s="1" t="s">
        <v>334</v>
      </c>
      <c r="D191" s="4" t="s">
        <v>335</v>
      </c>
      <c r="E191" s="4" t="s">
        <v>24</v>
      </c>
      <c r="F191" s="4"/>
      <c r="G191" s="4">
        <v>155000</v>
      </c>
      <c r="H191" s="4"/>
      <c r="I191" s="4"/>
      <c r="J191" s="4"/>
      <c r="K191" s="4"/>
      <c r="L191" s="4"/>
      <c r="M191" s="4"/>
      <c r="N191" s="4"/>
      <c r="O191" s="9">
        <f t="shared" si="462"/>
        <v>155000</v>
      </c>
      <c r="P191" s="20"/>
      <c r="Q191" s="25">
        <v>841750</v>
      </c>
      <c r="R191" s="20"/>
      <c r="S191" s="20"/>
      <c r="T191" s="20"/>
      <c r="U191" s="20"/>
      <c r="V191" s="20"/>
      <c r="W191" s="20"/>
      <c r="X191" s="20"/>
      <c r="Y191" s="21">
        <f t="shared" si="463"/>
        <v>841750</v>
      </c>
      <c r="Z191" s="25">
        <v>0</v>
      </c>
      <c r="AA191" s="20"/>
      <c r="AB191" s="20"/>
      <c r="AC191" s="20"/>
      <c r="AD191" s="20"/>
      <c r="AE191" s="20"/>
      <c r="AF191" s="21">
        <f t="shared" si="464"/>
        <v>0</v>
      </c>
      <c r="AG191" s="20"/>
      <c r="AH191" s="20"/>
      <c r="AI191" s="20"/>
      <c r="AJ191" s="20"/>
      <c r="AK191" s="20"/>
      <c r="AL191" s="20"/>
      <c r="AM191" s="20"/>
      <c r="AN191" s="20"/>
      <c r="AO191" s="20"/>
      <c r="AP191" s="9">
        <f t="shared" si="465"/>
        <v>0</v>
      </c>
      <c r="AQ191" s="4"/>
      <c r="AR191" s="4"/>
      <c r="AS191" s="4"/>
      <c r="AT191" s="4"/>
      <c r="AU191" s="4"/>
      <c r="AV191" s="4"/>
      <c r="AW191" s="4"/>
      <c r="AX191" s="4"/>
      <c r="AY191" s="4"/>
      <c r="AZ191" s="9">
        <f t="shared" si="466"/>
        <v>0</v>
      </c>
      <c r="BA191" s="25"/>
      <c r="BB191" s="20"/>
      <c r="BC191" s="20"/>
      <c r="BD191" s="20"/>
      <c r="BE191" s="20"/>
      <c r="BF191" s="20"/>
      <c r="BG191" s="21">
        <f t="shared" si="467"/>
        <v>0</v>
      </c>
      <c r="BH191" s="25"/>
      <c r="BI191" s="25">
        <v>100000</v>
      </c>
      <c r="BJ191" s="25"/>
      <c r="BK191" s="25"/>
      <c r="BL191" s="20"/>
      <c r="BM191" s="20"/>
      <c r="BN191" s="20"/>
      <c r="BO191" s="20"/>
      <c r="BP191" s="20"/>
      <c r="BQ191" s="21">
        <f t="shared" si="468"/>
        <v>100000</v>
      </c>
      <c r="BR191" s="4">
        <f t="shared" si="469"/>
        <v>0</v>
      </c>
      <c r="BS191" s="4">
        <f t="shared" si="470"/>
        <v>1096750</v>
      </c>
      <c r="BT191" s="4">
        <f t="shared" si="471"/>
        <v>0</v>
      </c>
      <c r="BU191" s="4">
        <f t="shared" si="472"/>
        <v>0</v>
      </c>
      <c r="BV191" s="94">
        <f t="shared" si="473"/>
        <v>0</v>
      </c>
      <c r="BW191" s="94">
        <f t="shared" si="474"/>
        <v>0</v>
      </c>
      <c r="BX191" s="94">
        <f t="shared" si="475"/>
        <v>0</v>
      </c>
      <c r="BY191" s="94">
        <f t="shared" si="476"/>
        <v>0</v>
      </c>
      <c r="BZ191" s="94">
        <f t="shared" si="477"/>
        <v>0</v>
      </c>
      <c r="CA191" s="9">
        <f t="shared" si="478"/>
        <v>1096750</v>
      </c>
    </row>
    <row r="192" spans="1:79">
      <c r="A192" s="186"/>
      <c r="B192" s="8">
        <v>17</v>
      </c>
      <c r="C192" s="1" t="s">
        <v>336</v>
      </c>
      <c r="D192" s="4" t="s">
        <v>26</v>
      </c>
      <c r="E192" s="4" t="s">
        <v>24</v>
      </c>
      <c r="F192" s="4">
        <v>155000</v>
      </c>
      <c r="G192" s="4">
        <v>412000</v>
      </c>
      <c r="H192" s="4">
        <f>38500+209000</f>
        <v>247500</v>
      </c>
      <c r="I192" s="4"/>
      <c r="J192" s="4"/>
      <c r="K192" s="4"/>
      <c r="L192" s="4"/>
      <c r="M192" s="4"/>
      <c r="N192" s="4"/>
      <c r="O192" s="9">
        <f t="shared" si="462"/>
        <v>814500</v>
      </c>
      <c r="P192" s="20">
        <v>195000</v>
      </c>
      <c r="Q192" s="25">
        <v>689400</v>
      </c>
      <c r="R192" s="24">
        <v>235500</v>
      </c>
      <c r="S192" s="25"/>
      <c r="T192" s="20"/>
      <c r="U192" s="20"/>
      <c r="V192" s="20"/>
      <c r="W192" s="20"/>
      <c r="X192" s="20"/>
      <c r="Y192" s="21">
        <f t="shared" si="463"/>
        <v>1119900</v>
      </c>
      <c r="Z192" s="25">
        <v>0</v>
      </c>
      <c r="AA192" s="20"/>
      <c r="AB192" s="20">
        <f>1288000+280500+140000</f>
        <v>1708500</v>
      </c>
      <c r="AC192" s="20">
        <v>1725000</v>
      </c>
      <c r="AD192" s="20">
        <v>1624000</v>
      </c>
      <c r="AE192" s="175">
        <v>1164800</v>
      </c>
      <c r="AF192" s="21">
        <f t="shared" si="464"/>
        <v>6222300</v>
      </c>
      <c r="AG192" s="20"/>
      <c r="AH192" s="20"/>
      <c r="AI192" s="20"/>
      <c r="AJ192" s="20"/>
      <c r="AK192" s="20"/>
      <c r="AL192" s="20"/>
      <c r="AM192" s="20"/>
      <c r="AN192" s="20"/>
      <c r="AO192" s="20"/>
      <c r="AP192" s="9">
        <f t="shared" si="465"/>
        <v>0</v>
      </c>
      <c r="AQ192" s="4"/>
      <c r="AR192" s="4"/>
      <c r="AS192" s="4"/>
      <c r="AT192" s="4"/>
      <c r="AU192" s="4"/>
      <c r="AV192" s="4"/>
      <c r="AW192" s="4"/>
      <c r="AX192" s="4"/>
      <c r="AY192" s="4"/>
      <c r="AZ192" s="9">
        <f t="shared" si="466"/>
        <v>0</v>
      </c>
      <c r="BA192" s="25"/>
      <c r="BB192" s="20"/>
      <c r="BC192" s="20"/>
      <c r="BD192" s="20"/>
      <c r="BE192" s="20"/>
      <c r="BF192" s="20"/>
      <c r="BG192" s="21">
        <f t="shared" si="467"/>
        <v>0</v>
      </c>
      <c r="BH192" s="25"/>
      <c r="BI192" s="25">
        <v>100000</v>
      </c>
      <c r="BJ192" s="25">
        <v>432000</v>
      </c>
      <c r="BK192" s="25"/>
      <c r="BL192" s="20"/>
      <c r="BM192" s="20"/>
      <c r="BN192" s="20"/>
      <c r="BO192" s="20"/>
      <c r="BP192" s="20"/>
      <c r="BQ192" s="21">
        <f t="shared" si="468"/>
        <v>532000</v>
      </c>
      <c r="BR192" s="4">
        <f t="shared" si="469"/>
        <v>350000</v>
      </c>
      <c r="BS192" s="4">
        <f t="shared" si="470"/>
        <v>1201400</v>
      </c>
      <c r="BT192" s="4">
        <f t="shared" si="471"/>
        <v>915000</v>
      </c>
      <c r="BU192" s="4">
        <f t="shared" si="472"/>
        <v>0</v>
      </c>
      <c r="BV192" s="94">
        <f t="shared" si="473"/>
        <v>0</v>
      </c>
      <c r="BW192" s="94">
        <f t="shared" si="474"/>
        <v>1708500</v>
      </c>
      <c r="BX192" s="94">
        <f t="shared" si="475"/>
        <v>1725000</v>
      </c>
      <c r="BY192" s="94">
        <f t="shared" si="476"/>
        <v>1624000</v>
      </c>
      <c r="BZ192" s="94">
        <f t="shared" si="477"/>
        <v>1164800</v>
      </c>
      <c r="CA192" s="9">
        <f t="shared" si="478"/>
        <v>8688700</v>
      </c>
    </row>
    <row r="193" spans="1:79">
      <c r="A193" s="186"/>
      <c r="B193" s="8">
        <v>18</v>
      </c>
      <c r="C193" s="1" t="s">
        <v>337</v>
      </c>
      <c r="D193" s="5" t="s">
        <v>335</v>
      </c>
      <c r="E193" s="4" t="s">
        <v>24</v>
      </c>
      <c r="F193" s="4"/>
      <c r="G193" s="4"/>
      <c r="H193" s="4"/>
      <c r="I193" s="4"/>
      <c r="J193" s="4"/>
      <c r="K193" s="4"/>
      <c r="L193" s="4"/>
      <c r="M193" s="4"/>
      <c r="N193" s="4"/>
      <c r="O193" s="9">
        <f t="shared" si="462"/>
        <v>0</v>
      </c>
      <c r="P193" s="20"/>
      <c r="Q193" s="25">
        <v>195000</v>
      </c>
      <c r="R193" s="20"/>
      <c r="S193" s="20"/>
      <c r="T193" s="20"/>
      <c r="U193" s="20"/>
      <c r="V193" s="20"/>
      <c r="W193" s="20"/>
      <c r="X193" s="20"/>
      <c r="Y193" s="21">
        <f t="shared" si="463"/>
        <v>195000</v>
      </c>
      <c r="Z193" s="25">
        <v>0</v>
      </c>
      <c r="AA193" s="20"/>
      <c r="AB193" s="20"/>
      <c r="AC193" s="20"/>
      <c r="AD193" s="20"/>
      <c r="AE193" s="20"/>
      <c r="AF193" s="21">
        <f t="shared" si="464"/>
        <v>0</v>
      </c>
      <c r="AG193" s="20"/>
      <c r="AH193" s="20"/>
      <c r="AI193" s="20"/>
      <c r="AJ193" s="20"/>
      <c r="AK193" s="20"/>
      <c r="AL193" s="20"/>
      <c r="AM193" s="20"/>
      <c r="AN193" s="20"/>
      <c r="AO193" s="20"/>
      <c r="AP193" s="9">
        <f t="shared" si="465"/>
        <v>0</v>
      </c>
      <c r="AQ193" s="4"/>
      <c r="AR193" s="4"/>
      <c r="AS193" s="4"/>
      <c r="AT193" s="4"/>
      <c r="AU193" s="4"/>
      <c r="AV193" s="4"/>
      <c r="AW193" s="4"/>
      <c r="AX193" s="4"/>
      <c r="AY193" s="4"/>
      <c r="AZ193" s="9">
        <f t="shared" si="466"/>
        <v>0</v>
      </c>
      <c r="BA193" s="25"/>
      <c r="BB193" s="20"/>
      <c r="BC193" s="20"/>
      <c r="BD193" s="20"/>
      <c r="BE193" s="20"/>
      <c r="BF193" s="20"/>
      <c r="BG193" s="21">
        <f t="shared" si="467"/>
        <v>0</v>
      </c>
      <c r="BH193" s="25"/>
      <c r="BI193" s="25"/>
      <c r="BJ193" s="25"/>
      <c r="BK193" s="25"/>
      <c r="BL193" s="20"/>
      <c r="BM193" s="20"/>
      <c r="BN193" s="20"/>
      <c r="BO193" s="20"/>
      <c r="BP193" s="20"/>
      <c r="BQ193" s="21">
        <f t="shared" si="468"/>
        <v>0</v>
      </c>
      <c r="BR193" s="4">
        <f t="shared" si="469"/>
        <v>0</v>
      </c>
      <c r="BS193" s="4">
        <f t="shared" si="470"/>
        <v>195000</v>
      </c>
      <c r="BT193" s="4">
        <f t="shared" si="471"/>
        <v>0</v>
      </c>
      <c r="BU193" s="4">
        <f t="shared" si="472"/>
        <v>0</v>
      </c>
      <c r="BV193" s="94">
        <f t="shared" si="473"/>
        <v>0</v>
      </c>
      <c r="BW193" s="94">
        <f t="shared" si="474"/>
        <v>0</v>
      </c>
      <c r="BX193" s="94">
        <f t="shared" si="475"/>
        <v>0</v>
      </c>
      <c r="BY193" s="94">
        <f t="shared" si="476"/>
        <v>0</v>
      </c>
      <c r="BZ193" s="94">
        <f t="shared" si="477"/>
        <v>0</v>
      </c>
      <c r="CA193" s="9">
        <f t="shared" si="478"/>
        <v>195000</v>
      </c>
    </row>
    <row r="194" spans="1:79" ht="31.5">
      <c r="A194" s="186"/>
      <c r="B194" s="8">
        <v>19</v>
      </c>
      <c r="C194" s="1" t="s">
        <v>471</v>
      </c>
      <c r="D194" s="4" t="s">
        <v>26</v>
      </c>
      <c r="E194" s="4" t="s">
        <v>24</v>
      </c>
      <c r="F194" s="4">
        <v>155000</v>
      </c>
      <c r="G194" s="4">
        <v>343000</v>
      </c>
      <c r="H194" s="4">
        <f>77000+38500</f>
        <v>115500</v>
      </c>
      <c r="I194" s="4">
        <f>126000+14000</f>
        <v>140000</v>
      </c>
      <c r="J194" s="4"/>
      <c r="K194" s="4"/>
      <c r="L194" s="4"/>
      <c r="M194" s="4"/>
      <c r="N194" s="4"/>
      <c r="O194" s="9">
        <f t="shared" si="462"/>
        <v>753500</v>
      </c>
      <c r="P194" s="20">
        <v>195000</v>
      </c>
      <c r="Q194" s="25">
        <v>835150</v>
      </c>
      <c r="R194" s="24">
        <v>494400</v>
      </c>
      <c r="S194" s="25">
        <v>150000</v>
      </c>
      <c r="T194" s="20"/>
      <c r="U194" s="20"/>
      <c r="V194" s="20"/>
      <c r="W194" s="20"/>
      <c r="X194" s="20"/>
      <c r="Y194" s="21">
        <f t="shared" si="463"/>
        <v>1674550</v>
      </c>
      <c r="Z194" s="25">
        <v>946000</v>
      </c>
      <c r="AA194" s="20">
        <f>101000+301500+200000+100500+300000+201000</f>
        <v>1204000</v>
      </c>
      <c r="AB194" s="20">
        <f>1359200+295600+147800</f>
        <v>1802600</v>
      </c>
      <c r="AC194" s="20">
        <v>1767000</v>
      </c>
      <c r="AD194" s="20">
        <v>1775600</v>
      </c>
      <c r="AE194" s="175">
        <v>1248000</v>
      </c>
      <c r="AF194" s="21">
        <f t="shared" si="464"/>
        <v>8743200</v>
      </c>
      <c r="AG194" s="20"/>
      <c r="AH194" s="20"/>
      <c r="AI194" s="20"/>
      <c r="AJ194" s="20"/>
      <c r="AK194" s="20"/>
      <c r="AL194" s="20"/>
      <c r="AM194" s="20"/>
      <c r="AN194" s="20"/>
      <c r="AO194" s="20"/>
      <c r="AP194" s="9">
        <f t="shared" si="465"/>
        <v>0</v>
      </c>
      <c r="AQ194" s="4"/>
      <c r="AR194" s="4"/>
      <c r="AS194" s="4"/>
      <c r="AT194" s="4"/>
      <c r="AU194" s="4"/>
      <c r="AV194" s="4"/>
      <c r="AW194" s="4"/>
      <c r="AX194" s="4"/>
      <c r="AY194" s="4"/>
      <c r="AZ194" s="9">
        <f t="shared" si="466"/>
        <v>0</v>
      </c>
      <c r="BA194" s="25"/>
      <c r="BB194" s="20"/>
      <c r="BC194" s="20"/>
      <c r="BD194" s="20"/>
      <c r="BE194" s="20"/>
      <c r="BF194" s="20"/>
      <c r="BG194" s="21">
        <f t="shared" si="467"/>
        <v>0</v>
      </c>
      <c r="BH194" s="25"/>
      <c r="BI194" s="25"/>
      <c r="BJ194" s="25"/>
      <c r="BK194" s="25"/>
      <c r="BL194" s="20"/>
      <c r="BM194" s="20"/>
      <c r="BN194" s="20"/>
      <c r="BO194" s="20"/>
      <c r="BP194" s="20"/>
      <c r="BQ194" s="21">
        <f t="shared" si="468"/>
        <v>0</v>
      </c>
      <c r="BR194" s="4">
        <f t="shared" si="469"/>
        <v>350000</v>
      </c>
      <c r="BS194" s="4">
        <f t="shared" si="470"/>
        <v>1178150</v>
      </c>
      <c r="BT194" s="4">
        <f t="shared" si="471"/>
        <v>609900</v>
      </c>
      <c r="BU194" s="4">
        <f t="shared" si="472"/>
        <v>1236000</v>
      </c>
      <c r="BV194" s="94">
        <f t="shared" si="473"/>
        <v>1204000</v>
      </c>
      <c r="BW194" s="94">
        <f t="shared" si="474"/>
        <v>1802600</v>
      </c>
      <c r="BX194" s="94">
        <f t="shared" si="475"/>
        <v>1767000</v>
      </c>
      <c r="BY194" s="94">
        <f t="shared" si="476"/>
        <v>1775600</v>
      </c>
      <c r="BZ194" s="94">
        <f t="shared" si="477"/>
        <v>1248000</v>
      </c>
      <c r="CA194" s="9">
        <f t="shared" si="478"/>
        <v>11171250</v>
      </c>
    </row>
    <row r="195" spans="1:79">
      <c r="A195" s="186"/>
      <c r="B195" s="8">
        <v>20</v>
      </c>
      <c r="C195" s="1" t="s">
        <v>339</v>
      </c>
      <c r="D195" s="4" t="s">
        <v>335</v>
      </c>
      <c r="E195" s="4" t="s">
        <v>24</v>
      </c>
      <c r="F195" s="4"/>
      <c r="G195" s="4">
        <v>155000</v>
      </c>
      <c r="H195" s="4">
        <f>397500+88000</f>
        <v>485500</v>
      </c>
      <c r="I195" s="4">
        <v>420000</v>
      </c>
      <c r="J195" s="4">
        <f>210000+210000+210000+210000+140000</f>
        <v>980000</v>
      </c>
      <c r="K195" s="4">
        <f>1000000+220000+110000</f>
        <v>1330000</v>
      </c>
      <c r="L195" s="4">
        <v>1281500</v>
      </c>
      <c r="M195" s="4">
        <v>1210000</v>
      </c>
      <c r="N195" s="94">
        <v>863500</v>
      </c>
      <c r="O195" s="9">
        <f t="shared" si="462"/>
        <v>6725500</v>
      </c>
      <c r="P195" s="20"/>
      <c r="Q195" s="20"/>
      <c r="R195" s="20"/>
      <c r="S195" s="20"/>
      <c r="T195" s="20"/>
      <c r="U195" s="20"/>
      <c r="V195" s="20"/>
      <c r="W195" s="20"/>
      <c r="X195" s="20"/>
      <c r="Y195" s="21">
        <f t="shared" si="463"/>
        <v>0</v>
      </c>
      <c r="Z195" s="25">
        <v>0</v>
      </c>
      <c r="AA195" s="20"/>
      <c r="AB195" s="20"/>
      <c r="AC195" s="20"/>
      <c r="AD195" s="20"/>
      <c r="AE195" s="20"/>
      <c r="AF195" s="21">
        <f t="shared" si="464"/>
        <v>0</v>
      </c>
      <c r="AG195" s="20"/>
      <c r="AH195" s="20"/>
      <c r="AI195" s="20"/>
      <c r="AJ195" s="20"/>
      <c r="AK195" s="20"/>
      <c r="AL195" s="20"/>
      <c r="AM195" s="20"/>
      <c r="AN195" s="20"/>
      <c r="AO195" s="20"/>
      <c r="AP195" s="9">
        <f t="shared" si="465"/>
        <v>0</v>
      </c>
      <c r="AQ195" s="4"/>
      <c r="AR195" s="4"/>
      <c r="AS195" s="4"/>
      <c r="AT195" s="4"/>
      <c r="AU195" s="4"/>
      <c r="AV195" s="4"/>
      <c r="AW195" s="4"/>
      <c r="AX195" s="4"/>
      <c r="AY195" s="4"/>
      <c r="AZ195" s="9">
        <f t="shared" si="466"/>
        <v>0</v>
      </c>
      <c r="BA195" s="25"/>
      <c r="BB195" s="20"/>
      <c r="BC195" s="20"/>
      <c r="BD195" s="20"/>
      <c r="BE195" s="20"/>
      <c r="BF195" s="20"/>
      <c r="BG195" s="21">
        <f t="shared" si="467"/>
        <v>0</v>
      </c>
      <c r="BH195" s="25"/>
      <c r="BI195" s="25"/>
      <c r="BJ195" s="25">
        <v>100000</v>
      </c>
      <c r="BK195" s="25">
        <v>150000</v>
      </c>
      <c r="BL195" s="20"/>
      <c r="BM195" s="20"/>
      <c r="BN195" s="20"/>
      <c r="BO195" s="20"/>
      <c r="BP195" s="20"/>
      <c r="BQ195" s="21">
        <f t="shared" si="468"/>
        <v>250000</v>
      </c>
      <c r="BR195" s="4">
        <f t="shared" si="469"/>
        <v>0</v>
      </c>
      <c r="BS195" s="4">
        <f t="shared" si="470"/>
        <v>155000</v>
      </c>
      <c r="BT195" s="4">
        <f t="shared" si="471"/>
        <v>585500</v>
      </c>
      <c r="BU195" s="4">
        <f t="shared" si="472"/>
        <v>570000</v>
      </c>
      <c r="BV195" s="94">
        <f t="shared" si="473"/>
        <v>980000</v>
      </c>
      <c r="BW195" s="94">
        <f t="shared" si="474"/>
        <v>1330000</v>
      </c>
      <c r="BX195" s="94">
        <f t="shared" si="475"/>
        <v>1281500</v>
      </c>
      <c r="BY195" s="94">
        <f t="shared" si="476"/>
        <v>1210000</v>
      </c>
      <c r="BZ195" s="94">
        <f t="shared" si="477"/>
        <v>863500</v>
      </c>
      <c r="CA195" s="9">
        <f t="shared" si="478"/>
        <v>6975500</v>
      </c>
    </row>
    <row r="196" spans="1:79">
      <c r="A196" s="186"/>
      <c r="B196" s="8">
        <v>21</v>
      </c>
      <c r="C196" s="1" t="s">
        <v>340</v>
      </c>
      <c r="D196" s="4" t="s">
        <v>341</v>
      </c>
      <c r="E196" s="4" t="s">
        <v>24</v>
      </c>
      <c r="F196" s="4">
        <v>155000</v>
      </c>
      <c r="G196" s="4">
        <v>762000</v>
      </c>
      <c r="H196" s="4">
        <f>93500+187000+291500</f>
        <v>572000</v>
      </c>
      <c r="I196" s="4">
        <v>225500</v>
      </c>
      <c r="J196" s="4"/>
      <c r="K196" s="4"/>
      <c r="L196" s="4"/>
      <c r="M196" s="4"/>
      <c r="N196" s="4"/>
      <c r="O196" s="9">
        <f t="shared" si="462"/>
        <v>1714500</v>
      </c>
      <c r="P196" s="20">
        <v>195000</v>
      </c>
      <c r="Q196" s="25">
        <v>953000</v>
      </c>
      <c r="R196" s="24">
        <v>722650</v>
      </c>
      <c r="S196" s="25">
        <v>270000</v>
      </c>
      <c r="T196" s="20"/>
      <c r="U196" s="20"/>
      <c r="V196" s="20"/>
      <c r="W196" s="20"/>
      <c r="X196" s="20"/>
      <c r="Y196" s="21">
        <f t="shared" si="463"/>
        <v>2140650</v>
      </c>
      <c r="Z196" s="25">
        <v>0</v>
      </c>
      <c r="AA196" s="20"/>
      <c r="AB196" s="20"/>
      <c r="AC196" s="20"/>
      <c r="AD196" s="20"/>
      <c r="AE196" s="20"/>
      <c r="AF196" s="21">
        <f t="shared" si="464"/>
        <v>0</v>
      </c>
      <c r="AG196" s="20"/>
      <c r="AH196" s="20"/>
      <c r="AI196" s="20"/>
      <c r="AJ196" s="20"/>
      <c r="AK196" s="20"/>
      <c r="AL196" s="20"/>
      <c r="AM196" s="20"/>
      <c r="AN196" s="20"/>
      <c r="AO196" s="20"/>
      <c r="AP196" s="9">
        <f t="shared" si="465"/>
        <v>0</v>
      </c>
      <c r="AQ196" s="76"/>
      <c r="AR196" s="76">
        <v>290000</v>
      </c>
      <c r="AS196" s="76">
        <v>800000</v>
      </c>
      <c r="AT196" s="76">
        <v>925000</v>
      </c>
      <c r="AU196" s="4">
        <f>225000+225000+225000+225000+150000</f>
        <v>1050000</v>
      </c>
      <c r="AV196" s="4">
        <f>1565000+400000</f>
        <v>1965000</v>
      </c>
      <c r="AW196" s="4">
        <f>1000000+400000+200000+200000+400000+200000+200000</f>
        <v>2600000</v>
      </c>
      <c r="AX196" s="4">
        <f>580000+200000+200000+200000+200000+400000+600000</f>
        <v>2380000</v>
      </c>
      <c r="AY196" s="4">
        <v>1600000</v>
      </c>
      <c r="AZ196" s="9">
        <f t="shared" si="466"/>
        <v>11610000</v>
      </c>
      <c r="BA196" s="25"/>
      <c r="BB196" s="20"/>
      <c r="BC196" s="20"/>
      <c r="BD196" s="20"/>
      <c r="BE196" s="20"/>
      <c r="BF196" s="20"/>
      <c r="BG196" s="21">
        <f t="shared" si="467"/>
        <v>0</v>
      </c>
      <c r="BH196" s="25"/>
      <c r="BI196" s="25"/>
      <c r="BJ196" s="25"/>
      <c r="BK196" s="25"/>
      <c r="BL196" s="20"/>
      <c r="BM196" s="20"/>
      <c r="BN196" s="20"/>
      <c r="BO196" s="20"/>
      <c r="BP196" s="20"/>
      <c r="BQ196" s="21">
        <f t="shared" si="468"/>
        <v>0</v>
      </c>
      <c r="BR196" s="4">
        <f t="shared" si="469"/>
        <v>350000</v>
      </c>
      <c r="BS196" s="4">
        <f t="shared" si="470"/>
        <v>2005000</v>
      </c>
      <c r="BT196" s="4">
        <f t="shared" si="471"/>
        <v>2094650</v>
      </c>
      <c r="BU196" s="4">
        <f t="shared" si="472"/>
        <v>1420500</v>
      </c>
      <c r="BV196" s="94">
        <f t="shared" si="473"/>
        <v>1050000</v>
      </c>
      <c r="BW196" s="94">
        <f t="shared" si="474"/>
        <v>1965000</v>
      </c>
      <c r="BX196" s="94">
        <f t="shared" si="475"/>
        <v>2600000</v>
      </c>
      <c r="BY196" s="94">
        <f t="shared" si="476"/>
        <v>2380000</v>
      </c>
      <c r="BZ196" s="94">
        <f t="shared" si="477"/>
        <v>1600000</v>
      </c>
      <c r="CA196" s="9">
        <f t="shared" si="478"/>
        <v>15465150</v>
      </c>
    </row>
    <row r="197" spans="1:79" ht="31.5">
      <c r="A197" s="186"/>
      <c r="B197" s="8">
        <v>22</v>
      </c>
      <c r="C197" s="1" t="s">
        <v>342</v>
      </c>
      <c r="D197" s="4" t="s">
        <v>343</v>
      </c>
      <c r="E197" s="4" t="s">
        <v>24</v>
      </c>
      <c r="F197" s="4"/>
      <c r="G197" s="4">
        <v>155000</v>
      </c>
      <c r="H197" s="4">
        <f>341000+214500</f>
        <v>555500</v>
      </c>
      <c r="I197" s="4">
        <v>180000</v>
      </c>
      <c r="J197" s="4"/>
      <c r="K197" s="4"/>
      <c r="L197" s="4"/>
      <c r="M197" s="4"/>
      <c r="N197" s="4"/>
      <c r="O197" s="9">
        <f t="shared" si="462"/>
        <v>890500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1">
        <f t="shared" si="463"/>
        <v>0</v>
      </c>
      <c r="Z197" s="25">
        <v>0</v>
      </c>
      <c r="AA197" s="20"/>
      <c r="AB197" s="20"/>
      <c r="AC197" s="20"/>
      <c r="AD197" s="20"/>
      <c r="AE197" s="20"/>
      <c r="AF197" s="21">
        <f t="shared" si="464"/>
        <v>0</v>
      </c>
      <c r="AG197" s="20"/>
      <c r="AH197" s="20"/>
      <c r="AI197" s="20"/>
      <c r="AJ197" s="20"/>
      <c r="AK197" s="20"/>
      <c r="AL197" s="20"/>
      <c r="AM197" s="20"/>
      <c r="AN197" s="20"/>
      <c r="AO197" s="20"/>
      <c r="AP197" s="9">
        <f t="shared" si="465"/>
        <v>0</v>
      </c>
      <c r="AQ197" s="76"/>
      <c r="AR197" s="76">
        <v>1140000</v>
      </c>
      <c r="AS197" s="76">
        <v>670000</v>
      </c>
      <c r="AT197" s="76">
        <v>975000</v>
      </c>
      <c r="AU197" s="4">
        <f>225000+225000+225000+225000+150000</f>
        <v>1050000</v>
      </c>
      <c r="AV197" s="4">
        <v>2145000</v>
      </c>
      <c r="AW197" s="4">
        <f>600000+800000+600000+200000+200000</f>
        <v>2400000</v>
      </c>
      <c r="AX197" s="4">
        <f>400000+200000+200000+200000+200000+400000+600000</f>
        <v>2200000</v>
      </c>
      <c r="AY197" s="4">
        <v>1600000</v>
      </c>
      <c r="AZ197" s="9">
        <f t="shared" si="466"/>
        <v>12180000</v>
      </c>
      <c r="BA197" s="25"/>
      <c r="BB197" s="20"/>
      <c r="BC197" s="20"/>
      <c r="BD197" s="20"/>
      <c r="BE197" s="20"/>
      <c r="BF197" s="20"/>
      <c r="BG197" s="21">
        <f t="shared" si="467"/>
        <v>0</v>
      </c>
      <c r="BH197" s="25"/>
      <c r="BI197" s="25"/>
      <c r="BJ197" s="25"/>
      <c r="BK197" s="25"/>
      <c r="BL197" s="20"/>
      <c r="BM197" s="20"/>
      <c r="BN197" s="20"/>
      <c r="BO197" s="20"/>
      <c r="BP197" s="20"/>
      <c r="BQ197" s="21">
        <f t="shared" si="468"/>
        <v>0</v>
      </c>
      <c r="BR197" s="4">
        <f t="shared" si="469"/>
        <v>0</v>
      </c>
      <c r="BS197" s="4">
        <f t="shared" si="470"/>
        <v>1295000</v>
      </c>
      <c r="BT197" s="4">
        <f t="shared" si="471"/>
        <v>1225500</v>
      </c>
      <c r="BU197" s="4">
        <f t="shared" si="472"/>
        <v>1155000</v>
      </c>
      <c r="BV197" s="94">
        <f t="shared" si="473"/>
        <v>1050000</v>
      </c>
      <c r="BW197" s="94">
        <f t="shared" si="474"/>
        <v>2145000</v>
      </c>
      <c r="BX197" s="94">
        <f t="shared" si="475"/>
        <v>2400000</v>
      </c>
      <c r="BY197" s="94">
        <f t="shared" si="476"/>
        <v>2200000</v>
      </c>
      <c r="BZ197" s="94">
        <f t="shared" si="477"/>
        <v>1600000</v>
      </c>
      <c r="CA197" s="9">
        <f t="shared" si="478"/>
        <v>13070500</v>
      </c>
    </row>
    <row r="198" spans="1:79" ht="47.25">
      <c r="A198" s="186"/>
      <c r="B198" s="8">
        <v>23</v>
      </c>
      <c r="C198" s="1" t="s">
        <v>344</v>
      </c>
      <c r="D198" s="4" t="s">
        <v>345</v>
      </c>
      <c r="E198" s="4" t="s">
        <v>24</v>
      </c>
      <c r="F198" s="4"/>
      <c r="G198" s="4"/>
      <c r="H198" s="4">
        <v>155000</v>
      </c>
      <c r="I198" s="4"/>
      <c r="J198" s="4"/>
      <c r="K198" s="4"/>
      <c r="L198" s="4"/>
      <c r="M198" s="4"/>
      <c r="N198" s="4"/>
      <c r="O198" s="9">
        <f t="shared" si="462"/>
        <v>155000</v>
      </c>
      <c r="P198" s="20"/>
      <c r="Q198" s="20">
        <v>195000</v>
      </c>
      <c r="R198" s="20"/>
      <c r="S198" s="20"/>
      <c r="T198" s="20"/>
      <c r="U198" s="20"/>
      <c r="V198" s="20">
        <v>310400</v>
      </c>
      <c r="W198" s="20"/>
      <c r="X198" s="20"/>
      <c r="Y198" s="21">
        <f t="shared" si="463"/>
        <v>505400</v>
      </c>
      <c r="Z198" s="25">
        <v>0</v>
      </c>
      <c r="AA198" s="20"/>
      <c r="AB198" s="20"/>
      <c r="AC198" s="20"/>
      <c r="AD198" s="20"/>
      <c r="AE198" s="20"/>
      <c r="AF198" s="21">
        <f t="shared" si="464"/>
        <v>0</v>
      </c>
      <c r="AG198" s="20"/>
      <c r="AH198" s="20"/>
      <c r="AI198" s="20"/>
      <c r="AJ198" s="20"/>
      <c r="AK198" s="20"/>
      <c r="AL198" s="20"/>
      <c r="AM198" s="20"/>
      <c r="AN198" s="20"/>
      <c r="AO198" s="20"/>
      <c r="AP198" s="9">
        <f t="shared" si="465"/>
        <v>0</v>
      </c>
      <c r="AQ198" s="4"/>
      <c r="AR198" s="4"/>
      <c r="AS198" s="4"/>
      <c r="AT198" s="4"/>
      <c r="AU198" s="4"/>
      <c r="AV198" s="4"/>
      <c r="AW198" s="4"/>
      <c r="AX198" s="4"/>
      <c r="AY198" s="4"/>
      <c r="AZ198" s="9">
        <f t="shared" si="466"/>
        <v>0</v>
      </c>
      <c r="BA198" s="25"/>
      <c r="BB198" s="20"/>
      <c r="BC198" s="20"/>
      <c r="BD198" s="20"/>
      <c r="BE198" s="20"/>
      <c r="BF198" s="20"/>
      <c r="BG198" s="21">
        <f t="shared" si="467"/>
        <v>0</v>
      </c>
      <c r="BH198" s="25"/>
      <c r="BI198" s="25"/>
      <c r="BJ198" s="25"/>
      <c r="BK198" s="25"/>
      <c r="BL198" s="20"/>
      <c r="BM198" s="20"/>
      <c r="BN198" s="20"/>
      <c r="BO198" s="20"/>
      <c r="BP198" s="20"/>
      <c r="BQ198" s="21">
        <f t="shared" si="468"/>
        <v>0</v>
      </c>
      <c r="BR198" s="4">
        <f t="shared" si="469"/>
        <v>0</v>
      </c>
      <c r="BS198" s="4">
        <f t="shared" si="470"/>
        <v>195000</v>
      </c>
      <c r="BT198" s="4">
        <f t="shared" si="471"/>
        <v>155000</v>
      </c>
      <c r="BU198" s="4">
        <f t="shared" si="472"/>
        <v>0</v>
      </c>
      <c r="BV198" s="94">
        <f t="shared" si="473"/>
        <v>0</v>
      </c>
      <c r="BW198" s="94">
        <f t="shared" si="474"/>
        <v>0</v>
      </c>
      <c r="BX198" s="94">
        <f t="shared" si="475"/>
        <v>310400</v>
      </c>
      <c r="BY198" s="94">
        <f t="shared" si="476"/>
        <v>0</v>
      </c>
      <c r="BZ198" s="94">
        <f t="shared" si="477"/>
        <v>0</v>
      </c>
      <c r="CA198" s="9">
        <f t="shared" si="478"/>
        <v>660400</v>
      </c>
    </row>
    <row r="199" spans="1:79">
      <c r="A199" s="186"/>
      <c r="B199" s="8">
        <v>24</v>
      </c>
      <c r="C199" s="1" t="s">
        <v>346</v>
      </c>
      <c r="D199" s="4" t="s">
        <v>347</v>
      </c>
      <c r="E199" s="4" t="s">
        <v>24</v>
      </c>
      <c r="F199" s="4">
        <v>155000</v>
      </c>
      <c r="G199" s="4">
        <v>927000</v>
      </c>
      <c r="H199" s="4">
        <f>209000+313500</f>
        <v>522500</v>
      </c>
      <c r="I199" s="4">
        <f>160000+20000</f>
        <v>180000</v>
      </c>
      <c r="J199" s="4"/>
      <c r="K199" s="4"/>
      <c r="L199" s="4"/>
      <c r="M199" s="4"/>
      <c r="N199" s="4"/>
      <c r="O199" s="9">
        <f t="shared" si="462"/>
        <v>1784500</v>
      </c>
      <c r="P199" s="20"/>
      <c r="Q199" s="20">
        <v>195000</v>
      </c>
      <c r="R199" s="24">
        <v>297250</v>
      </c>
      <c r="S199" s="25">
        <v>142000</v>
      </c>
      <c r="T199" s="20"/>
      <c r="U199" s="20"/>
      <c r="V199" s="20"/>
      <c r="W199" s="20"/>
      <c r="X199" s="20"/>
      <c r="Y199" s="21">
        <f t="shared" si="463"/>
        <v>634250</v>
      </c>
      <c r="Z199" s="25">
        <v>0</v>
      </c>
      <c r="AA199" s="20"/>
      <c r="AB199" s="20"/>
      <c r="AC199" s="20"/>
      <c r="AD199" s="20"/>
      <c r="AE199" s="20"/>
      <c r="AF199" s="21">
        <f t="shared" si="464"/>
        <v>0</v>
      </c>
      <c r="AG199" s="20">
        <v>290000</v>
      </c>
      <c r="AH199" s="22">
        <v>1323000</v>
      </c>
      <c r="AI199" s="4">
        <v>741000</v>
      </c>
      <c r="AJ199" s="32">
        <v>300000</v>
      </c>
      <c r="AK199" s="32"/>
      <c r="AL199" s="32"/>
      <c r="AM199" s="32"/>
      <c r="AN199" s="32"/>
      <c r="AO199" s="32"/>
      <c r="AP199" s="9">
        <f t="shared" si="465"/>
        <v>2654000</v>
      </c>
      <c r="AQ199" s="76"/>
      <c r="AR199" s="76">
        <v>1340000</v>
      </c>
      <c r="AS199" s="76">
        <v>980000</v>
      </c>
      <c r="AT199" s="76">
        <v>250000</v>
      </c>
      <c r="AU199" s="4"/>
      <c r="AV199" s="4"/>
      <c r="AW199" s="4"/>
      <c r="AX199" s="4"/>
      <c r="AY199" s="4"/>
      <c r="AZ199" s="9">
        <f t="shared" si="466"/>
        <v>2570000</v>
      </c>
      <c r="BA199" s="24">
        <v>890000</v>
      </c>
      <c r="BB199" s="20">
        <f>300000+300000+280000+285000+190000</f>
        <v>1355000</v>
      </c>
      <c r="BC199" s="20">
        <f>1633500+612000</f>
        <v>2245500</v>
      </c>
      <c r="BD199" s="20">
        <f>204000+612000+408000+204000+204000+416500+212500</f>
        <v>2261000</v>
      </c>
      <c r="BE199" s="20">
        <f>535500+212500+212500+212500+212500+425000+425000+212500</f>
        <v>2448000</v>
      </c>
      <c r="BF199" s="32">
        <v>1921000</v>
      </c>
      <c r="BG199" s="21">
        <f t="shared" si="467"/>
        <v>11120500</v>
      </c>
      <c r="BH199" s="25"/>
      <c r="BI199" s="25">
        <v>100000</v>
      </c>
      <c r="BJ199" s="25">
        <v>220800</v>
      </c>
      <c r="BK199" s="25"/>
      <c r="BL199" s="20"/>
      <c r="BM199" s="20"/>
      <c r="BN199" s="20"/>
      <c r="BO199" s="20"/>
      <c r="BP199" s="20"/>
      <c r="BQ199" s="21">
        <f t="shared" si="468"/>
        <v>320800</v>
      </c>
      <c r="BR199" s="4">
        <f t="shared" si="469"/>
        <v>445000</v>
      </c>
      <c r="BS199" s="4">
        <f t="shared" si="470"/>
        <v>3885000</v>
      </c>
      <c r="BT199" s="4">
        <f t="shared" si="471"/>
        <v>2761550</v>
      </c>
      <c r="BU199" s="4">
        <f t="shared" si="472"/>
        <v>1762000</v>
      </c>
      <c r="BV199" s="94">
        <f t="shared" si="473"/>
        <v>1355000</v>
      </c>
      <c r="BW199" s="94">
        <f t="shared" si="474"/>
        <v>2245500</v>
      </c>
      <c r="BX199" s="94">
        <f t="shared" si="475"/>
        <v>2261000</v>
      </c>
      <c r="BY199" s="94">
        <f t="shared" si="476"/>
        <v>2448000</v>
      </c>
      <c r="BZ199" s="94">
        <f t="shared" si="477"/>
        <v>1921000</v>
      </c>
      <c r="CA199" s="9">
        <f t="shared" si="478"/>
        <v>19084050</v>
      </c>
    </row>
    <row r="200" spans="1:79">
      <c r="A200" s="186"/>
      <c r="B200" s="8">
        <v>25</v>
      </c>
      <c r="C200" s="1" t="s">
        <v>348</v>
      </c>
      <c r="D200" s="5" t="s">
        <v>422</v>
      </c>
      <c r="E200" s="4" t="s">
        <v>24</v>
      </c>
      <c r="F200" s="4"/>
      <c r="G200" s="4"/>
      <c r="H200" s="4"/>
      <c r="I200" s="4"/>
      <c r="J200" s="4"/>
      <c r="K200" s="4"/>
      <c r="L200" s="4"/>
      <c r="M200" s="4"/>
      <c r="N200" s="4"/>
      <c r="O200" s="9">
        <f t="shared" si="462"/>
        <v>0</v>
      </c>
      <c r="P200" s="20"/>
      <c r="Q200" s="20">
        <v>195000</v>
      </c>
      <c r="R200" s="24"/>
      <c r="S200" s="25"/>
      <c r="T200" s="20"/>
      <c r="U200" s="20">
        <f>638500+76800</f>
        <v>715300</v>
      </c>
      <c r="V200" s="20"/>
      <c r="W200" s="20"/>
      <c r="X200" s="20"/>
      <c r="Y200" s="21">
        <f t="shared" si="463"/>
        <v>910300</v>
      </c>
      <c r="Z200" s="25">
        <v>0</v>
      </c>
      <c r="AA200" s="20"/>
      <c r="AB200" s="20"/>
      <c r="AC200" s="20"/>
      <c r="AD200" s="20"/>
      <c r="AE200" s="20"/>
      <c r="AF200" s="21">
        <f t="shared" si="464"/>
        <v>0</v>
      </c>
      <c r="AG200" s="20"/>
      <c r="AH200" s="20"/>
      <c r="AI200" s="20"/>
      <c r="AJ200" s="20"/>
      <c r="AK200" s="20"/>
      <c r="AL200" s="20"/>
      <c r="AM200" s="20"/>
      <c r="AN200" s="20"/>
      <c r="AO200" s="20"/>
      <c r="AP200" s="9">
        <f t="shared" si="465"/>
        <v>0</v>
      </c>
      <c r="AQ200" s="4"/>
      <c r="AR200" s="4"/>
      <c r="AS200" s="4"/>
      <c r="AT200" s="4"/>
      <c r="AU200" s="4"/>
      <c r="AV200" s="4"/>
      <c r="AW200" s="4"/>
      <c r="AX200" s="4"/>
      <c r="AY200" s="4"/>
      <c r="AZ200" s="9">
        <f t="shared" si="466"/>
        <v>0</v>
      </c>
      <c r="BA200" s="25"/>
      <c r="BB200" s="20"/>
      <c r="BC200" s="20"/>
      <c r="BD200" s="20"/>
      <c r="BE200" s="20"/>
      <c r="BF200" s="20"/>
      <c r="BG200" s="21">
        <f t="shared" si="467"/>
        <v>0</v>
      </c>
      <c r="BH200" s="25"/>
      <c r="BI200" s="25"/>
      <c r="BJ200" s="25"/>
      <c r="BK200" s="25"/>
      <c r="BL200" s="20"/>
      <c r="BM200" s="20"/>
      <c r="BN200" s="20"/>
      <c r="BO200" s="20"/>
      <c r="BP200" s="20"/>
      <c r="BQ200" s="21">
        <f t="shared" si="468"/>
        <v>0</v>
      </c>
      <c r="BR200" s="4">
        <f t="shared" si="469"/>
        <v>0</v>
      </c>
      <c r="BS200" s="4">
        <f t="shared" si="470"/>
        <v>195000</v>
      </c>
      <c r="BT200" s="4">
        <f t="shared" si="471"/>
        <v>0</v>
      </c>
      <c r="BU200" s="4">
        <f t="shared" si="472"/>
        <v>0</v>
      </c>
      <c r="BV200" s="94">
        <f t="shared" si="473"/>
        <v>0</v>
      </c>
      <c r="BW200" s="94">
        <f t="shared" si="474"/>
        <v>715300</v>
      </c>
      <c r="BX200" s="94">
        <f t="shared" si="475"/>
        <v>0</v>
      </c>
      <c r="BY200" s="94">
        <f t="shared" si="476"/>
        <v>0</v>
      </c>
      <c r="BZ200" s="94">
        <f t="shared" si="477"/>
        <v>0</v>
      </c>
      <c r="CA200" s="9">
        <f t="shared" si="478"/>
        <v>910300</v>
      </c>
    </row>
    <row r="201" spans="1:79">
      <c r="A201" s="186"/>
      <c r="B201" s="8">
        <v>26</v>
      </c>
      <c r="C201" s="63" t="s">
        <v>349</v>
      </c>
      <c r="D201" s="5" t="s">
        <v>423</v>
      </c>
      <c r="E201" s="4" t="s">
        <v>24</v>
      </c>
      <c r="F201" s="4"/>
      <c r="G201" s="4"/>
      <c r="H201" s="4"/>
      <c r="I201" s="4"/>
      <c r="J201" s="4"/>
      <c r="K201" s="4"/>
      <c r="L201" s="4"/>
      <c r="M201" s="4"/>
      <c r="N201" s="4"/>
      <c r="O201" s="9">
        <f t="shared" si="462"/>
        <v>0</v>
      </c>
      <c r="P201" s="20"/>
      <c r="Q201" s="20">
        <v>258750</v>
      </c>
      <c r="R201" s="24">
        <v>359000</v>
      </c>
      <c r="S201" s="25">
        <v>876000</v>
      </c>
      <c r="T201" s="20">
        <v>742000</v>
      </c>
      <c r="U201" s="20"/>
      <c r="V201" s="20">
        <v>1732550</v>
      </c>
      <c r="W201" s="20">
        <v>1531000</v>
      </c>
      <c r="X201" s="174">
        <v>732350</v>
      </c>
      <c r="Y201" s="21">
        <f t="shared" si="463"/>
        <v>6231650</v>
      </c>
      <c r="Z201" s="25">
        <v>0</v>
      </c>
      <c r="AA201" s="20"/>
      <c r="AB201" s="20"/>
      <c r="AC201" s="20"/>
      <c r="AD201" s="20"/>
      <c r="AE201" s="20"/>
      <c r="AF201" s="21">
        <f t="shared" si="464"/>
        <v>0</v>
      </c>
      <c r="AG201" s="20"/>
      <c r="AH201" s="20"/>
      <c r="AI201" s="20"/>
      <c r="AJ201" s="20"/>
      <c r="AK201" s="20"/>
      <c r="AL201" s="20"/>
      <c r="AM201" s="20"/>
      <c r="AN201" s="20"/>
      <c r="AO201" s="20"/>
      <c r="AP201" s="9">
        <f t="shared" si="465"/>
        <v>0</v>
      </c>
      <c r="AQ201" s="4"/>
      <c r="AR201" s="4"/>
      <c r="AS201" s="4"/>
      <c r="AT201" s="4"/>
      <c r="AU201" s="4"/>
      <c r="AV201" s="4"/>
      <c r="AW201" s="4"/>
      <c r="AX201" s="4"/>
      <c r="AY201" s="4"/>
      <c r="AZ201" s="9">
        <f t="shared" si="466"/>
        <v>0</v>
      </c>
      <c r="BA201" s="25"/>
      <c r="BB201" s="20"/>
      <c r="BC201" s="20"/>
      <c r="BD201" s="20"/>
      <c r="BE201" s="20"/>
      <c r="BF201" s="20"/>
      <c r="BG201" s="21">
        <f t="shared" si="467"/>
        <v>0</v>
      </c>
      <c r="BH201" s="25"/>
      <c r="BI201" s="25"/>
      <c r="BJ201" s="25"/>
      <c r="BK201" s="25"/>
      <c r="BL201" s="20"/>
      <c r="BM201" s="20"/>
      <c r="BN201" s="20"/>
      <c r="BO201" s="20"/>
      <c r="BP201" s="20"/>
      <c r="BQ201" s="21">
        <f t="shared" si="468"/>
        <v>0</v>
      </c>
      <c r="BR201" s="4">
        <f t="shared" si="469"/>
        <v>0</v>
      </c>
      <c r="BS201" s="4">
        <f t="shared" si="470"/>
        <v>258750</v>
      </c>
      <c r="BT201" s="4">
        <f t="shared" si="471"/>
        <v>359000</v>
      </c>
      <c r="BU201" s="4">
        <f t="shared" si="472"/>
        <v>876000</v>
      </c>
      <c r="BV201" s="94">
        <f t="shared" si="473"/>
        <v>742000</v>
      </c>
      <c r="BW201" s="94">
        <f t="shared" si="474"/>
        <v>0</v>
      </c>
      <c r="BX201" s="94">
        <f t="shared" si="475"/>
        <v>1732550</v>
      </c>
      <c r="BY201" s="94">
        <f t="shared" si="476"/>
        <v>1531000</v>
      </c>
      <c r="BZ201" s="94">
        <f t="shared" si="477"/>
        <v>732350</v>
      </c>
      <c r="CA201" s="9">
        <f t="shared" si="478"/>
        <v>6231650</v>
      </c>
    </row>
    <row r="202" spans="1:79">
      <c r="A202" s="186"/>
      <c r="B202" s="8">
        <v>27</v>
      </c>
      <c r="C202" s="2" t="s">
        <v>350</v>
      </c>
      <c r="D202" s="4" t="s">
        <v>347</v>
      </c>
      <c r="E202" s="4" t="s">
        <v>24</v>
      </c>
      <c r="F202" s="4"/>
      <c r="G202" s="4"/>
      <c r="H202" s="4"/>
      <c r="I202" s="4"/>
      <c r="J202" s="4"/>
      <c r="K202" s="4"/>
      <c r="L202" s="4"/>
      <c r="M202" s="4"/>
      <c r="N202" s="4"/>
      <c r="O202" s="9">
        <f t="shared" si="462"/>
        <v>0</v>
      </c>
      <c r="P202" s="20"/>
      <c r="Q202" s="20"/>
      <c r="R202" s="24"/>
      <c r="S202" s="25"/>
      <c r="T202" s="20"/>
      <c r="U202" s="20"/>
      <c r="V202" s="20"/>
      <c r="W202" s="20"/>
      <c r="X202" s="20"/>
      <c r="Y202" s="21">
        <f t="shared" si="463"/>
        <v>0</v>
      </c>
      <c r="Z202" s="25">
        <v>0</v>
      </c>
      <c r="AA202" s="20"/>
      <c r="AB202" s="20"/>
      <c r="AC202" s="20"/>
      <c r="AD202" s="20"/>
      <c r="AE202" s="20"/>
      <c r="AF202" s="21">
        <f t="shared" si="464"/>
        <v>0</v>
      </c>
      <c r="AG202" s="20"/>
      <c r="AH202" s="20"/>
      <c r="AI202" s="20"/>
      <c r="AJ202" s="20"/>
      <c r="AK202" s="20"/>
      <c r="AL202" s="20"/>
      <c r="AM202" s="20"/>
      <c r="AN202" s="20"/>
      <c r="AO202" s="20"/>
      <c r="AP202" s="9">
        <f t="shared" si="465"/>
        <v>0</v>
      </c>
      <c r="AQ202" s="4"/>
      <c r="AR202" s="4"/>
      <c r="AS202" s="4"/>
      <c r="AT202" s="4"/>
      <c r="AU202" s="4"/>
      <c r="AV202" s="4"/>
      <c r="AW202" s="4"/>
      <c r="AX202" s="4"/>
      <c r="AY202" s="4"/>
      <c r="AZ202" s="9">
        <f t="shared" si="466"/>
        <v>0</v>
      </c>
      <c r="BA202" s="25"/>
      <c r="BB202" s="20"/>
      <c r="BC202" s="20"/>
      <c r="BD202" s="20"/>
      <c r="BE202" s="20"/>
      <c r="BF202" s="20"/>
      <c r="BG202" s="21">
        <f t="shared" si="467"/>
        <v>0</v>
      </c>
      <c r="BH202" s="25"/>
      <c r="BI202" s="25">
        <v>100000</v>
      </c>
      <c r="BJ202" s="25">
        <v>540000</v>
      </c>
      <c r="BK202" s="25"/>
      <c r="BL202" s="20"/>
      <c r="BM202" s="20"/>
      <c r="BN202" s="20"/>
      <c r="BO202" s="20"/>
      <c r="BP202" s="20"/>
      <c r="BQ202" s="21">
        <f t="shared" si="468"/>
        <v>640000</v>
      </c>
      <c r="BR202" s="4">
        <f t="shared" si="469"/>
        <v>0</v>
      </c>
      <c r="BS202" s="4">
        <f t="shared" si="470"/>
        <v>100000</v>
      </c>
      <c r="BT202" s="4">
        <f t="shared" si="471"/>
        <v>540000</v>
      </c>
      <c r="BU202" s="4">
        <f t="shared" si="472"/>
        <v>0</v>
      </c>
      <c r="BV202" s="94">
        <f t="shared" si="473"/>
        <v>0</v>
      </c>
      <c r="BW202" s="94">
        <f t="shared" si="474"/>
        <v>0</v>
      </c>
      <c r="BX202" s="94">
        <f t="shared" si="475"/>
        <v>0</v>
      </c>
      <c r="BY202" s="94">
        <f t="shared" si="476"/>
        <v>0</v>
      </c>
      <c r="BZ202" s="94">
        <f t="shared" si="477"/>
        <v>0</v>
      </c>
      <c r="CA202" s="9">
        <f t="shared" si="478"/>
        <v>640000</v>
      </c>
    </row>
    <row r="203" spans="1:79" ht="31.5">
      <c r="A203" s="186"/>
      <c r="B203" s="8">
        <v>28</v>
      </c>
      <c r="C203" s="1" t="s">
        <v>351</v>
      </c>
      <c r="D203" s="5" t="s">
        <v>424</v>
      </c>
      <c r="E203" s="4" t="s">
        <v>24</v>
      </c>
      <c r="F203" s="4"/>
      <c r="G203" s="4"/>
      <c r="H203" s="4"/>
      <c r="I203" s="4"/>
      <c r="J203" s="4"/>
      <c r="K203" s="4"/>
      <c r="L203" s="4"/>
      <c r="M203" s="4"/>
      <c r="N203" s="4"/>
      <c r="O203" s="9">
        <f t="shared" si="462"/>
        <v>0</v>
      </c>
      <c r="P203" s="20"/>
      <c r="Q203" s="20"/>
      <c r="R203" s="24">
        <v>195000</v>
      </c>
      <c r="S203" s="25">
        <v>959500</v>
      </c>
      <c r="T203" s="20">
        <f>140000+210000+171500+210000+140000</f>
        <v>871500</v>
      </c>
      <c r="U203" s="20">
        <f>1087600+267000+133500</f>
        <v>1488100</v>
      </c>
      <c r="V203" s="20">
        <v>1682150</v>
      </c>
      <c r="W203" s="20">
        <v>1600500</v>
      </c>
      <c r="X203" s="174">
        <v>1164000</v>
      </c>
      <c r="Y203" s="21">
        <f t="shared" si="463"/>
        <v>7960750</v>
      </c>
      <c r="Z203" s="25">
        <v>0</v>
      </c>
      <c r="AA203" s="20"/>
      <c r="AB203" s="20"/>
      <c r="AC203" s="20"/>
      <c r="AD203" s="20"/>
      <c r="AE203" s="20"/>
      <c r="AF203" s="21">
        <f t="shared" si="464"/>
        <v>0</v>
      </c>
      <c r="AG203" s="20"/>
      <c r="AH203" s="20"/>
      <c r="AI203" s="20"/>
      <c r="AJ203" s="20"/>
      <c r="AK203" s="20"/>
      <c r="AL203" s="20"/>
      <c r="AM203" s="20"/>
      <c r="AN203" s="20"/>
      <c r="AO203" s="20"/>
      <c r="AP203" s="9">
        <f t="shared" si="465"/>
        <v>0</v>
      </c>
      <c r="AQ203" s="4"/>
      <c r="AR203" s="4"/>
      <c r="AS203" s="4"/>
      <c r="AT203" s="4"/>
      <c r="AU203" s="4"/>
      <c r="AV203" s="4"/>
      <c r="AW203" s="4"/>
      <c r="AX203" s="4"/>
      <c r="AY203" s="4"/>
      <c r="AZ203" s="9">
        <f t="shared" si="466"/>
        <v>0</v>
      </c>
      <c r="BA203" s="25"/>
      <c r="BB203" s="20"/>
      <c r="BC203" s="20"/>
      <c r="BD203" s="20"/>
      <c r="BE203" s="20"/>
      <c r="BF203" s="20"/>
      <c r="BG203" s="21">
        <f t="shared" si="467"/>
        <v>0</v>
      </c>
      <c r="BH203" s="25"/>
      <c r="BI203" s="25"/>
      <c r="BJ203" s="25"/>
      <c r="BK203" s="25"/>
      <c r="BL203" s="20"/>
      <c r="BM203" s="20"/>
      <c r="BN203" s="20"/>
      <c r="BO203" s="20"/>
      <c r="BP203" s="20"/>
      <c r="BQ203" s="21">
        <f t="shared" si="468"/>
        <v>0</v>
      </c>
      <c r="BR203" s="4">
        <f t="shared" si="469"/>
        <v>0</v>
      </c>
      <c r="BS203" s="4">
        <f t="shared" si="470"/>
        <v>0</v>
      </c>
      <c r="BT203" s="4">
        <f t="shared" si="471"/>
        <v>195000</v>
      </c>
      <c r="BU203" s="4">
        <f t="shared" si="472"/>
        <v>959500</v>
      </c>
      <c r="BV203" s="94">
        <f t="shared" si="473"/>
        <v>871500</v>
      </c>
      <c r="BW203" s="94">
        <f t="shared" si="474"/>
        <v>1488100</v>
      </c>
      <c r="BX203" s="94">
        <f t="shared" si="475"/>
        <v>1682150</v>
      </c>
      <c r="BY203" s="94">
        <f t="shared" si="476"/>
        <v>1600500</v>
      </c>
      <c r="BZ203" s="94">
        <f t="shared" si="477"/>
        <v>1164000</v>
      </c>
      <c r="CA203" s="9">
        <f t="shared" si="478"/>
        <v>7960750</v>
      </c>
    </row>
    <row r="204" spans="1:79" ht="31.5">
      <c r="A204" s="186"/>
      <c r="B204" s="8">
        <v>29</v>
      </c>
      <c r="C204" s="1" t="s">
        <v>352</v>
      </c>
      <c r="D204" s="4" t="s">
        <v>309</v>
      </c>
      <c r="E204" s="4" t="s">
        <v>24</v>
      </c>
      <c r="F204" s="4"/>
      <c r="G204" s="4"/>
      <c r="H204" s="4">
        <v>155000</v>
      </c>
      <c r="I204" s="4"/>
      <c r="J204" s="4"/>
      <c r="K204" s="4"/>
      <c r="L204" s="4"/>
      <c r="M204" s="4"/>
      <c r="N204" s="4"/>
      <c r="O204" s="9">
        <f t="shared" si="462"/>
        <v>155000</v>
      </c>
      <c r="P204" s="20"/>
      <c r="Q204" s="20"/>
      <c r="R204" s="20">
        <v>195000</v>
      </c>
      <c r="S204" s="20"/>
      <c r="T204" s="20"/>
      <c r="U204" s="20"/>
      <c r="V204" s="20"/>
      <c r="W204" s="20"/>
      <c r="X204" s="20"/>
      <c r="Y204" s="21">
        <f t="shared" si="463"/>
        <v>195000</v>
      </c>
      <c r="Z204" s="25">
        <v>0</v>
      </c>
      <c r="AA204" s="20"/>
      <c r="AB204" s="20"/>
      <c r="AC204" s="20"/>
      <c r="AD204" s="20"/>
      <c r="AE204" s="20"/>
      <c r="AF204" s="21">
        <f t="shared" si="464"/>
        <v>0</v>
      </c>
      <c r="AG204" s="20"/>
      <c r="AH204" s="20"/>
      <c r="AI204" s="20"/>
      <c r="AJ204" s="20"/>
      <c r="AK204" s="20"/>
      <c r="AL204" s="20"/>
      <c r="AM204" s="20"/>
      <c r="AN204" s="20"/>
      <c r="AO204" s="20"/>
      <c r="AP204" s="9">
        <f t="shared" si="465"/>
        <v>0</v>
      </c>
      <c r="AQ204" s="4"/>
      <c r="AR204" s="4"/>
      <c r="AS204" s="4"/>
      <c r="AT204" s="4"/>
      <c r="AU204" s="4"/>
      <c r="AV204" s="4"/>
      <c r="AW204" s="4"/>
      <c r="AX204" s="4"/>
      <c r="AY204" s="4"/>
      <c r="AZ204" s="9">
        <f t="shared" si="466"/>
        <v>0</v>
      </c>
      <c r="BA204" s="25"/>
      <c r="BB204" s="20"/>
      <c r="BC204" s="20"/>
      <c r="BD204" s="20"/>
      <c r="BE204" s="20"/>
      <c r="BF204" s="20"/>
      <c r="BG204" s="21">
        <f t="shared" si="467"/>
        <v>0</v>
      </c>
      <c r="BH204" s="25"/>
      <c r="BI204" s="25"/>
      <c r="BJ204" s="25">
        <v>100000</v>
      </c>
      <c r="BK204" s="25"/>
      <c r="BL204" s="20"/>
      <c r="BM204" s="20"/>
      <c r="BN204" s="20">
        <v>266800</v>
      </c>
      <c r="BO204" s="20"/>
      <c r="BP204" s="20"/>
      <c r="BQ204" s="21">
        <f t="shared" si="468"/>
        <v>366800</v>
      </c>
      <c r="BR204" s="4">
        <f t="shared" si="469"/>
        <v>0</v>
      </c>
      <c r="BS204" s="4">
        <f t="shared" si="470"/>
        <v>0</v>
      </c>
      <c r="BT204" s="4">
        <f t="shared" si="471"/>
        <v>450000</v>
      </c>
      <c r="BU204" s="4">
        <f t="shared" si="472"/>
        <v>0</v>
      </c>
      <c r="BV204" s="94">
        <f t="shared" si="473"/>
        <v>0</v>
      </c>
      <c r="BW204" s="94">
        <f t="shared" si="474"/>
        <v>0</v>
      </c>
      <c r="BX204" s="94">
        <f t="shared" si="475"/>
        <v>266800</v>
      </c>
      <c r="BY204" s="94">
        <f t="shared" si="476"/>
        <v>0</v>
      </c>
      <c r="BZ204" s="94">
        <f t="shared" si="477"/>
        <v>0</v>
      </c>
      <c r="CA204" s="9">
        <f t="shared" si="478"/>
        <v>716800</v>
      </c>
    </row>
    <row r="205" spans="1:79" ht="31.5">
      <c r="A205" s="186"/>
      <c r="B205" s="8">
        <v>30</v>
      </c>
      <c r="C205" s="1" t="s">
        <v>353</v>
      </c>
      <c r="D205" s="46" t="s">
        <v>354</v>
      </c>
      <c r="E205" s="4" t="s">
        <v>24</v>
      </c>
      <c r="F205" s="4"/>
      <c r="G205" s="4"/>
      <c r="H205" s="4"/>
      <c r="I205" s="4"/>
      <c r="J205" s="4"/>
      <c r="K205" s="4"/>
      <c r="L205" s="4"/>
      <c r="M205" s="4"/>
      <c r="N205" s="4"/>
      <c r="O205" s="9">
        <f t="shared" si="462"/>
        <v>0</v>
      </c>
      <c r="P205" s="20">
        <v>195000</v>
      </c>
      <c r="Q205" s="25">
        <v>1321050</v>
      </c>
      <c r="R205" s="24">
        <v>562600</v>
      </c>
      <c r="S205" s="25">
        <v>490000</v>
      </c>
      <c r="T205" s="20">
        <f>140000+210000+210000+210000+140000</f>
        <v>910000</v>
      </c>
      <c r="U205" s="20">
        <f>930100+334650+111550</f>
        <v>1376300</v>
      </c>
      <c r="V205" s="20">
        <v>1700571</v>
      </c>
      <c r="W205" s="20">
        <v>1600500</v>
      </c>
      <c r="X205" s="174">
        <v>1164000</v>
      </c>
      <c r="Y205" s="21">
        <f t="shared" si="463"/>
        <v>9320021</v>
      </c>
      <c r="Z205" s="25">
        <v>0</v>
      </c>
      <c r="AA205" s="20"/>
      <c r="AB205" s="20"/>
      <c r="AC205" s="20"/>
      <c r="AD205" s="20"/>
      <c r="AE205" s="20"/>
      <c r="AF205" s="21">
        <f t="shared" si="464"/>
        <v>0</v>
      </c>
      <c r="AG205" s="20">
        <v>290000</v>
      </c>
      <c r="AH205" s="22">
        <v>1092000</v>
      </c>
      <c r="AI205" s="4">
        <v>196000</v>
      </c>
      <c r="AJ205" s="32"/>
      <c r="AK205" s="32"/>
      <c r="AL205" s="32"/>
      <c r="AM205" s="32"/>
      <c r="AN205" s="32"/>
      <c r="AO205" s="32"/>
      <c r="AP205" s="9">
        <f t="shared" si="465"/>
        <v>1578000</v>
      </c>
      <c r="AQ205" s="4"/>
      <c r="AR205" s="4"/>
      <c r="AS205" s="4"/>
      <c r="AT205" s="4"/>
      <c r="AU205" s="4"/>
      <c r="AV205" s="4"/>
      <c r="AW205" s="4"/>
      <c r="AX205" s="4"/>
      <c r="AY205" s="4"/>
      <c r="AZ205" s="9">
        <f t="shared" si="466"/>
        <v>0</v>
      </c>
      <c r="BA205" s="25"/>
      <c r="BB205" s="20"/>
      <c r="BC205" s="20"/>
      <c r="BD205" s="20"/>
      <c r="BE205" s="20"/>
      <c r="BF205" s="32"/>
      <c r="BG205" s="21">
        <f t="shared" si="467"/>
        <v>0</v>
      </c>
      <c r="BH205" s="25"/>
      <c r="BI205" s="25"/>
      <c r="BJ205" s="25"/>
      <c r="BK205" s="25"/>
      <c r="BL205" s="20"/>
      <c r="BM205" s="20"/>
      <c r="BN205" s="20"/>
      <c r="BO205" s="20"/>
      <c r="BP205" s="20"/>
      <c r="BQ205" s="21">
        <f t="shared" si="468"/>
        <v>0</v>
      </c>
      <c r="BR205" s="4">
        <f t="shared" si="469"/>
        <v>485000</v>
      </c>
      <c r="BS205" s="4">
        <f t="shared" si="470"/>
        <v>2413050</v>
      </c>
      <c r="BT205" s="4">
        <f t="shared" si="471"/>
        <v>758600</v>
      </c>
      <c r="BU205" s="4">
        <f t="shared" si="472"/>
        <v>490000</v>
      </c>
      <c r="BV205" s="94">
        <f t="shared" si="473"/>
        <v>910000</v>
      </c>
      <c r="BW205" s="94">
        <f t="shared" si="474"/>
        <v>1376300</v>
      </c>
      <c r="BX205" s="94">
        <f t="shared" si="475"/>
        <v>1700571</v>
      </c>
      <c r="BY205" s="94">
        <f t="shared" si="476"/>
        <v>1600500</v>
      </c>
      <c r="BZ205" s="94">
        <f t="shared" si="477"/>
        <v>1164000</v>
      </c>
      <c r="CA205" s="9">
        <f t="shared" si="478"/>
        <v>10898021</v>
      </c>
    </row>
    <row r="206" spans="1:79" ht="31.5">
      <c r="A206" s="186"/>
      <c r="B206" s="8">
        <v>31</v>
      </c>
      <c r="C206" s="1" t="s">
        <v>355</v>
      </c>
      <c r="D206" s="4" t="s">
        <v>335</v>
      </c>
      <c r="E206" s="4" t="s">
        <v>24</v>
      </c>
      <c r="F206" s="4">
        <v>155000</v>
      </c>
      <c r="G206" s="4">
        <v>247000</v>
      </c>
      <c r="H206" s="4"/>
      <c r="I206" s="4"/>
      <c r="J206" s="4"/>
      <c r="K206" s="4"/>
      <c r="L206" s="4"/>
      <c r="M206" s="4"/>
      <c r="N206" s="4"/>
      <c r="O206" s="9">
        <f t="shared" si="462"/>
        <v>402000</v>
      </c>
      <c r="P206" s="20">
        <v>195000</v>
      </c>
      <c r="Q206" s="25">
        <v>1144000</v>
      </c>
      <c r="R206" s="20"/>
      <c r="S206" s="20"/>
      <c r="T206" s="20"/>
      <c r="U206" s="20"/>
      <c r="V206" s="20"/>
      <c r="W206" s="20"/>
      <c r="X206" s="20"/>
      <c r="Y206" s="21">
        <f t="shared" si="463"/>
        <v>1339000</v>
      </c>
      <c r="Z206" s="25">
        <v>0</v>
      </c>
      <c r="AA206" s="20"/>
      <c r="AB206" s="20"/>
      <c r="AC206" s="20"/>
      <c r="AD206" s="20"/>
      <c r="AE206" s="20"/>
      <c r="AF206" s="21">
        <f t="shared" si="464"/>
        <v>0</v>
      </c>
      <c r="AG206" s="20">
        <v>290000</v>
      </c>
      <c r="AH206" s="22">
        <v>177414</v>
      </c>
      <c r="AI206" s="4"/>
      <c r="AJ206" s="20"/>
      <c r="AK206" s="20"/>
      <c r="AL206" s="20"/>
      <c r="AM206" s="20"/>
      <c r="AN206" s="20"/>
      <c r="AO206" s="20"/>
      <c r="AP206" s="9">
        <f t="shared" si="465"/>
        <v>467414</v>
      </c>
      <c r="AQ206" s="76">
        <v>290000</v>
      </c>
      <c r="AR206" s="76">
        <v>990000</v>
      </c>
      <c r="AS206" s="76"/>
      <c r="AT206" s="76"/>
      <c r="AU206" s="4"/>
      <c r="AV206" s="4"/>
      <c r="AW206" s="4"/>
      <c r="AX206" s="4"/>
      <c r="AY206" s="4"/>
      <c r="AZ206" s="9">
        <f t="shared" si="466"/>
        <v>1280000</v>
      </c>
      <c r="BA206" s="25"/>
      <c r="BB206" s="20"/>
      <c r="BC206" s="20"/>
      <c r="BD206" s="20"/>
      <c r="BE206" s="20"/>
      <c r="BF206" s="20"/>
      <c r="BG206" s="21">
        <f t="shared" si="467"/>
        <v>0</v>
      </c>
      <c r="BH206" s="25"/>
      <c r="BI206" s="25">
        <v>100000</v>
      </c>
      <c r="BJ206" s="25"/>
      <c r="BK206" s="25"/>
      <c r="BL206" s="20"/>
      <c r="BM206" s="20"/>
      <c r="BN206" s="20"/>
      <c r="BO206" s="20"/>
      <c r="BP206" s="20"/>
      <c r="BQ206" s="21">
        <f t="shared" si="468"/>
        <v>100000</v>
      </c>
      <c r="BR206" s="4">
        <f t="shared" si="469"/>
        <v>930000</v>
      </c>
      <c r="BS206" s="4">
        <f t="shared" si="470"/>
        <v>2658414</v>
      </c>
      <c r="BT206" s="4">
        <f t="shared" si="471"/>
        <v>0</v>
      </c>
      <c r="BU206" s="4">
        <f t="shared" si="472"/>
        <v>0</v>
      </c>
      <c r="BV206" s="94">
        <f t="shared" si="473"/>
        <v>0</v>
      </c>
      <c r="BW206" s="94">
        <f t="shared" si="474"/>
        <v>0</v>
      </c>
      <c r="BX206" s="94">
        <f t="shared" si="475"/>
        <v>0</v>
      </c>
      <c r="BY206" s="94">
        <f t="shared" si="476"/>
        <v>0</v>
      </c>
      <c r="BZ206" s="94">
        <f t="shared" si="477"/>
        <v>0</v>
      </c>
      <c r="CA206" s="9">
        <f t="shared" si="478"/>
        <v>3588414</v>
      </c>
    </row>
    <row r="207" spans="1:79">
      <c r="A207" s="186"/>
      <c r="B207" s="8">
        <v>32</v>
      </c>
      <c r="C207" s="1" t="s">
        <v>356</v>
      </c>
      <c r="D207" s="4" t="s">
        <v>313</v>
      </c>
      <c r="E207" s="4" t="s">
        <v>24</v>
      </c>
      <c r="F207" s="4"/>
      <c r="G207" s="4"/>
      <c r="H207" s="4">
        <v>155000</v>
      </c>
      <c r="I207" s="4"/>
      <c r="J207" s="4"/>
      <c r="K207" s="4"/>
      <c r="L207" s="4"/>
      <c r="M207" s="4">
        <v>-20489</v>
      </c>
      <c r="N207" s="4"/>
      <c r="O207" s="9">
        <f t="shared" si="462"/>
        <v>134511</v>
      </c>
      <c r="P207" s="20"/>
      <c r="Q207" s="20">
        <v>195000</v>
      </c>
      <c r="R207" s="20"/>
      <c r="S207" s="20"/>
      <c r="T207" s="20"/>
      <c r="U207" s="20"/>
      <c r="V207" s="20"/>
      <c r="W207" s="20"/>
      <c r="X207" s="20"/>
      <c r="Y207" s="21">
        <f t="shared" si="463"/>
        <v>195000</v>
      </c>
      <c r="Z207" s="25">
        <v>0</v>
      </c>
      <c r="AA207" s="20"/>
      <c r="AB207" s="20"/>
      <c r="AC207" s="20"/>
      <c r="AD207" s="20"/>
      <c r="AE207" s="20"/>
      <c r="AF207" s="21">
        <f t="shared" si="464"/>
        <v>0</v>
      </c>
      <c r="AG207" s="20"/>
      <c r="AH207" s="20"/>
      <c r="AI207" s="4"/>
      <c r="AJ207" s="20"/>
      <c r="AK207" s="20"/>
      <c r="AL207" s="20"/>
      <c r="AM207" s="20"/>
      <c r="AN207" s="20"/>
      <c r="AO207" s="20"/>
      <c r="AP207" s="9">
        <f t="shared" si="465"/>
        <v>0</v>
      </c>
      <c r="AQ207" s="4"/>
      <c r="AR207" s="4"/>
      <c r="AS207" s="4"/>
      <c r="AT207" s="4"/>
      <c r="AU207" s="4"/>
      <c r="AV207" s="4"/>
      <c r="AW207" s="4"/>
      <c r="AX207" s="4"/>
      <c r="AY207" s="4"/>
      <c r="AZ207" s="9">
        <f t="shared" si="466"/>
        <v>0</v>
      </c>
      <c r="BA207" s="25"/>
      <c r="BB207" s="20"/>
      <c r="BC207" s="20"/>
      <c r="BD207" s="20"/>
      <c r="BE207" s="20"/>
      <c r="BF207" s="20"/>
      <c r="BG207" s="21">
        <f t="shared" si="467"/>
        <v>0</v>
      </c>
      <c r="BH207" s="25"/>
      <c r="BI207" s="25"/>
      <c r="BJ207" s="25"/>
      <c r="BK207" s="25"/>
      <c r="BL207" s="20"/>
      <c r="BM207" s="20"/>
      <c r="BN207" s="20"/>
      <c r="BO207" s="20"/>
      <c r="BP207" s="20"/>
      <c r="BQ207" s="21">
        <f t="shared" si="468"/>
        <v>0</v>
      </c>
      <c r="BR207" s="4">
        <f t="shared" si="469"/>
        <v>0</v>
      </c>
      <c r="BS207" s="4">
        <f t="shared" si="470"/>
        <v>195000</v>
      </c>
      <c r="BT207" s="4">
        <f t="shared" si="471"/>
        <v>155000</v>
      </c>
      <c r="BU207" s="4">
        <f t="shared" si="472"/>
        <v>0</v>
      </c>
      <c r="BV207" s="94">
        <f t="shared" si="473"/>
        <v>0</v>
      </c>
      <c r="BW207" s="94">
        <f t="shared" si="474"/>
        <v>0</v>
      </c>
      <c r="BX207" s="94">
        <f t="shared" si="475"/>
        <v>0</v>
      </c>
      <c r="BY207" s="94">
        <f t="shared" si="476"/>
        <v>-20489</v>
      </c>
      <c r="BZ207" s="94">
        <f t="shared" si="477"/>
        <v>0</v>
      </c>
      <c r="CA207" s="9">
        <f t="shared" si="478"/>
        <v>329511</v>
      </c>
    </row>
    <row r="208" spans="1:79">
      <c r="A208" s="186"/>
      <c r="B208" s="8">
        <v>33</v>
      </c>
      <c r="C208" s="1" t="s">
        <v>119</v>
      </c>
      <c r="D208" s="4" t="s">
        <v>309</v>
      </c>
      <c r="E208" s="4" t="s">
        <v>24</v>
      </c>
      <c r="F208" s="4"/>
      <c r="G208" s="4">
        <v>155000</v>
      </c>
      <c r="H208" s="4"/>
      <c r="I208" s="4"/>
      <c r="J208" s="4"/>
      <c r="K208" s="4"/>
      <c r="L208" s="4"/>
      <c r="M208" s="4"/>
      <c r="N208" s="4"/>
      <c r="O208" s="9">
        <f t="shared" si="462"/>
        <v>155000</v>
      </c>
      <c r="P208" s="20"/>
      <c r="Q208" s="20"/>
      <c r="R208" s="20"/>
      <c r="S208" s="20"/>
      <c r="T208" s="20"/>
      <c r="U208" s="20"/>
      <c r="V208" s="20"/>
      <c r="W208" s="20"/>
      <c r="X208" s="20"/>
      <c r="Y208" s="21">
        <f t="shared" si="463"/>
        <v>0</v>
      </c>
      <c r="Z208" s="25"/>
      <c r="AA208" s="20"/>
      <c r="AB208" s="20"/>
      <c r="AC208" s="20"/>
      <c r="AD208" s="20"/>
      <c r="AE208" s="20"/>
      <c r="AF208" s="21">
        <f t="shared" si="464"/>
        <v>0</v>
      </c>
      <c r="AG208" s="20"/>
      <c r="AH208" s="20"/>
      <c r="AI208" s="20"/>
      <c r="AJ208" s="20"/>
      <c r="AK208" s="20"/>
      <c r="AL208" s="20"/>
      <c r="AM208" s="20"/>
      <c r="AN208" s="20"/>
      <c r="AO208" s="20"/>
      <c r="AP208" s="9">
        <f t="shared" si="465"/>
        <v>0</v>
      </c>
      <c r="AQ208" s="4"/>
      <c r="AR208" s="4"/>
      <c r="AS208" s="4"/>
      <c r="AT208" s="4"/>
      <c r="AU208" s="4"/>
      <c r="AV208" s="4"/>
      <c r="AW208" s="4"/>
      <c r="AX208" s="4"/>
      <c r="AY208" s="4"/>
      <c r="AZ208" s="9">
        <f t="shared" si="466"/>
        <v>0</v>
      </c>
      <c r="BA208" s="25"/>
      <c r="BB208" s="20"/>
      <c r="BC208" s="20"/>
      <c r="BD208" s="20"/>
      <c r="BE208" s="20"/>
      <c r="BF208" s="20"/>
      <c r="BG208" s="21">
        <f t="shared" si="467"/>
        <v>0</v>
      </c>
      <c r="BH208" s="25"/>
      <c r="BI208" s="25">
        <v>100000</v>
      </c>
      <c r="BJ208" s="25">
        <v>239200</v>
      </c>
      <c r="BK208" s="25"/>
      <c r="BL208" s="20"/>
      <c r="BM208" s="20"/>
      <c r="BN208" s="20"/>
      <c r="BO208" s="20"/>
      <c r="BP208" s="20"/>
      <c r="BQ208" s="21">
        <f t="shared" si="468"/>
        <v>339200</v>
      </c>
      <c r="BR208" s="4">
        <f t="shared" si="469"/>
        <v>0</v>
      </c>
      <c r="BS208" s="4">
        <f t="shared" si="470"/>
        <v>255000</v>
      </c>
      <c r="BT208" s="4">
        <f t="shared" si="471"/>
        <v>239200</v>
      </c>
      <c r="BU208" s="4">
        <f t="shared" si="472"/>
        <v>0</v>
      </c>
      <c r="BV208" s="94">
        <f t="shared" si="473"/>
        <v>0</v>
      </c>
      <c r="BW208" s="94">
        <f t="shared" si="474"/>
        <v>0</v>
      </c>
      <c r="BX208" s="94">
        <f t="shared" si="475"/>
        <v>0</v>
      </c>
      <c r="BY208" s="94">
        <f t="shared" si="476"/>
        <v>0</v>
      </c>
      <c r="BZ208" s="94">
        <f t="shared" si="477"/>
        <v>0</v>
      </c>
      <c r="CA208" s="9">
        <f t="shared" si="478"/>
        <v>494200</v>
      </c>
    </row>
    <row r="209" spans="1:79" ht="31.5">
      <c r="A209" s="186"/>
      <c r="B209" s="8">
        <v>34</v>
      </c>
      <c r="C209" s="1" t="s">
        <v>357</v>
      </c>
      <c r="D209" s="12" t="s">
        <v>358</v>
      </c>
      <c r="E209" s="4" t="s">
        <v>24</v>
      </c>
      <c r="F209" s="4">
        <v>155000</v>
      </c>
      <c r="G209" s="4">
        <v>566000</v>
      </c>
      <c r="H209" s="4">
        <f>88000+93500+308000+20000</f>
        <v>509500</v>
      </c>
      <c r="I209" s="4">
        <f>120000+40000</f>
        <v>160000</v>
      </c>
      <c r="J209" s="4"/>
      <c r="K209" s="4"/>
      <c r="L209" s="4"/>
      <c r="M209" s="4"/>
      <c r="N209" s="4"/>
      <c r="O209" s="9">
        <f t="shared" si="462"/>
        <v>1390500</v>
      </c>
      <c r="P209" s="20">
        <v>195000</v>
      </c>
      <c r="Q209" s="25">
        <v>840750</v>
      </c>
      <c r="R209" s="24">
        <v>537100</v>
      </c>
      <c r="S209" s="25">
        <v>150000</v>
      </c>
      <c r="T209" s="20"/>
      <c r="U209" s="20"/>
      <c r="V209" s="20"/>
      <c r="W209" s="20"/>
      <c r="X209" s="20"/>
      <c r="Y209" s="21">
        <f t="shared" si="463"/>
        <v>1722850</v>
      </c>
      <c r="Z209" s="25">
        <v>0</v>
      </c>
      <c r="AA209" s="20"/>
      <c r="AB209" s="20"/>
      <c r="AC209" s="20"/>
      <c r="AD209" s="20"/>
      <c r="AE209" s="20"/>
      <c r="AF209" s="21">
        <f t="shared" si="464"/>
        <v>0</v>
      </c>
      <c r="AG209" s="20"/>
      <c r="AH209" s="20"/>
      <c r="AI209" s="4"/>
      <c r="AJ209" s="20"/>
      <c r="AK209" s="20"/>
      <c r="AL209" s="20"/>
      <c r="AM209" s="20"/>
      <c r="AN209" s="20"/>
      <c r="AO209" s="20"/>
      <c r="AP209" s="9">
        <f t="shared" si="465"/>
        <v>0</v>
      </c>
      <c r="AQ209" s="76">
        <v>290000</v>
      </c>
      <c r="AR209" s="76">
        <v>1620000</v>
      </c>
      <c r="AS209" s="76">
        <v>1490000</v>
      </c>
      <c r="AT209" s="76">
        <v>925000</v>
      </c>
      <c r="AU209" s="4">
        <f>225000+225000+220000+225000+150000</f>
        <v>1045000</v>
      </c>
      <c r="AV209" s="4">
        <f>1505000+510000</f>
        <v>2015000</v>
      </c>
      <c r="AW209" s="4">
        <f>510000+530000+190000+190000+360000+180000+180000</f>
        <v>2140000</v>
      </c>
      <c r="AX209" s="4">
        <f>390000+200000+200000+200000+200000+400000+600000</f>
        <v>2190000</v>
      </c>
      <c r="AY209" s="4">
        <v>1580000</v>
      </c>
      <c r="AZ209" s="9">
        <f t="shared" si="466"/>
        <v>13295000</v>
      </c>
      <c r="BA209" s="25"/>
      <c r="BB209" s="20"/>
      <c r="BC209" s="20"/>
      <c r="BD209" s="20"/>
      <c r="BE209" s="20"/>
      <c r="BF209" s="20"/>
      <c r="BG209" s="21">
        <f t="shared" si="467"/>
        <v>0</v>
      </c>
      <c r="BH209" s="25"/>
      <c r="BI209" s="25"/>
      <c r="BJ209" s="25"/>
      <c r="BK209" s="25"/>
      <c r="BL209" s="20"/>
      <c r="BM209" s="20"/>
      <c r="BN209" s="20"/>
      <c r="BO209" s="20"/>
      <c r="BP209" s="20"/>
      <c r="BQ209" s="21">
        <f t="shared" si="468"/>
        <v>0</v>
      </c>
      <c r="BR209" s="4">
        <f t="shared" si="469"/>
        <v>640000</v>
      </c>
      <c r="BS209" s="4">
        <f t="shared" si="470"/>
        <v>3026750</v>
      </c>
      <c r="BT209" s="4">
        <f t="shared" si="471"/>
        <v>2536600</v>
      </c>
      <c r="BU209" s="4">
        <f t="shared" si="472"/>
        <v>1235000</v>
      </c>
      <c r="BV209" s="94">
        <f t="shared" si="473"/>
        <v>1045000</v>
      </c>
      <c r="BW209" s="94">
        <f t="shared" si="474"/>
        <v>2015000</v>
      </c>
      <c r="BX209" s="94">
        <f t="shared" si="475"/>
        <v>2140000</v>
      </c>
      <c r="BY209" s="94">
        <f t="shared" si="476"/>
        <v>2190000</v>
      </c>
      <c r="BZ209" s="94">
        <f t="shared" si="477"/>
        <v>1580000</v>
      </c>
      <c r="CA209" s="9">
        <f t="shared" si="478"/>
        <v>16408350</v>
      </c>
    </row>
    <row r="210" spans="1:79" ht="31.5">
      <c r="A210" s="186"/>
      <c r="B210" s="8">
        <v>35</v>
      </c>
      <c r="C210" s="42" t="s">
        <v>492</v>
      </c>
      <c r="D210" s="64" t="s">
        <v>360</v>
      </c>
      <c r="E210" s="4" t="s">
        <v>24</v>
      </c>
      <c r="F210" s="4"/>
      <c r="G210" s="4"/>
      <c r="H210" s="4"/>
      <c r="I210" s="4"/>
      <c r="J210" s="4"/>
      <c r="K210" s="4"/>
      <c r="L210" s="4"/>
      <c r="M210" s="4"/>
      <c r="N210" s="4"/>
      <c r="O210" s="9">
        <f t="shared" si="462"/>
        <v>0</v>
      </c>
      <c r="P210" s="20"/>
      <c r="Q210" s="25"/>
      <c r="R210" s="24"/>
      <c r="S210" s="25"/>
      <c r="T210" s="20"/>
      <c r="U210" s="20"/>
      <c r="V210" s="20"/>
      <c r="W210" s="20"/>
      <c r="X210" s="20"/>
      <c r="Y210" s="21">
        <f t="shared" si="463"/>
        <v>0</v>
      </c>
      <c r="Z210" s="25">
        <v>0</v>
      </c>
      <c r="AA210" s="20"/>
      <c r="AB210" s="20"/>
      <c r="AC210" s="20"/>
      <c r="AD210" s="20"/>
      <c r="AE210" s="20"/>
      <c r="AF210" s="21">
        <f t="shared" si="464"/>
        <v>0</v>
      </c>
      <c r="AG210" s="20"/>
      <c r="AH210" s="22">
        <v>1550000</v>
      </c>
      <c r="AI210" s="4">
        <v>2160000</v>
      </c>
      <c r="AJ210" s="32">
        <v>420000</v>
      </c>
      <c r="AK210" s="32">
        <f>225000+75000+120000+120000+120000+40000</f>
        <v>700000</v>
      </c>
      <c r="AL210" s="32">
        <f>780000+315000</f>
        <v>1095000</v>
      </c>
      <c r="AM210" s="32">
        <f>420000+315000+105000+210000+105000</f>
        <v>1155000</v>
      </c>
      <c r="AN210" s="4">
        <f>308000+217000+119000+119000+238000+119000+238000</f>
        <v>1358000</v>
      </c>
      <c r="AO210" s="4">
        <v>1092000</v>
      </c>
      <c r="AP210" s="9">
        <f t="shared" si="465"/>
        <v>9530000</v>
      </c>
      <c r="AQ210" s="4"/>
      <c r="AR210" s="4"/>
      <c r="AS210" s="4"/>
      <c r="AT210" s="4"/>
      <c r="AU210" s="4"/>
      <c r="AV210" s="4"/>
      <c r="AW210" s="4"/>
      <c r="AX210" s="4"/>
      <c r="AY210" s="4"/>
      <c r="AZ210" s="9">
        <f t="shared" si="466"/>
        <v>0</v>
      </c>
      <c r="BA210" s="25"/>
      <c r="BB210" s="20"/>
      <c r="BC210" s="20"/>
      <c r="BD210" s="20"/>
      <c r="BE210" s="20"/>
      <c r="BF210" s="4"/>
      <c r="BG210" s="21">
        <f t="shared" si="467"/>
        <v>0</v>
      </c>
      <c r="BH210" s="25"/>
      <c r="BI210" s="25"/>
      <c r="BJ210" s="25"/>
      <c r="BK210" s="25"/>
      <c r="BL210" s="20"/>
      <c r="BM210" s="20"/>
      <c r="BN210" s="20"/>
      <c r="BO210" s="20"/>
      <c r="BP210" s="20"/>
      <c r="BQ210" s="21">
        <f t="shared" si="468"/>
        <v>0</v>
      </c>
      <c r="BR210" s="4">
        <f t="shared" si="469"/>
        <v>0</v>
      </c>
      <c r="BS210" s="4">
        <f t="shared" si="470"/>
        <v>1550000</v>
      </c>
      <c r="BT210" s="4">
        <f t="shared" si="471"/>
        <v>2160000</v>
      </c>
      <c r="BU210" s="4">
        <f t="shared" si="472"/>
        <v>420000</v>
      </c>
      <c r="BV210" s="94">
        <f t="shared" si="473"/>
        <v>700000</v>
      </c>
      <c r="BW210" s="94">
        <f t="shared" si="474"/>
        <v>1155000</v>
      </c>
      <c r="BX210" s="94">
        <f t="shared" si="475"/>
        <v>1155000</v>
      </c>
      <c r="BY210" s="94">
        <f t="shared" si="476"/>
        <v>1092000</v>
      </c>
      <c r="BZ210" s="94">
        <f t="shared" si="477"/>
        <v>1092000</v>
      </c>
      <c r="CA210" s="9">
        <f t="shared" si="478"/>
        <v>9324000</v>
      </c>
    </row>
    <row r="211" spans="1:79">
      <c r="A211" s="186"/>
      <c r="B211" s="8">
        <v>36</v>
      </c>
      <c r="C211" s="2" t="s">
        <v>14</v>
      </c>
      <c r="D211" s="13" t="s">
        <v>26</v>
      </c>
      <c r="E211" s="4" t="s">
        <v>24</v>
      </c>
      <c r="F211" s="4"/>
      <c r="G211" s="4"/>
      <c r="H211" s="4"/>
      <c r="I211" s="4"/>
      <c r="J211" s="4"/>
      <c r="K211" s="4"/>
      <c r="L211" s="4"/>
      <c r="M211" s="4"/>
      <c r="N211" s="4"/>
      <c r="O211" s="9">
        <f t="shared" si="462"/>
        <v>0</v>
      </c>
      <c r="P211" s="20"/>
      <c r="Q211" s="25"/>
      <c r="R211" s="24"/>
      <c r="S211" s="25"/>
      <c r="T211" s="20"/>
      <c r="U211" s="20"/>
      <c r="V211" s="20"/>
      <c r="W211" s="20"/>
      <c r="X211" s="20"/>
      <c r="Y211" s="21">
        <f t="shared" si="463"/>
        <v>0</v>
      </c>
      <c r="Z211" s="25">
        <v>0</v>
      </c>
      <c r="AA211" s="20"/>
      <c r="AB211" s="20"/>
      <c r="AC211" s="20"/>
      <c r="AD211" s="20"/>
      <c r="AE211" s="20"/>
      <c r="AF211" s="21">
        <f t="shared" si="464"/>
        <v>0</v>
      </c>
      <c r="AG211" s="20"/>
      <c r="AH211" s="26"/>
      <c r="AI211" s="32"/>
      <c r="AJ211" s="32">
        <v>128000</v>
      </c>
      <c r="AK211" s="32"/>
      <c r="AL211" s="32"/>
      <c r="AM211" s="32"/>
      <c r="AN211" s="32"/>
      <c r="AO211" s="32"/>
      <c r="AP211" s="9">
        <f t="shared" si="465"/>
        <v>128000</v>
      </c>
      <c r="AQ211" s="4"/>
      <c r="AR211" s="4"/>
      <c r="AS211" s="4"/>
      <c r="AT211" s="4"/>
      <c r="AU211" s="4"/>
      <c r="AV211" s="4"/>
      <c r="AW211" s="4"/>
      <c r="AX211" s="4"/>
      <c r="AY211" s="4"/>
      <c r="AZ211" s="9">
        <f t="shared" si="466"/>
        <v>0</v>
      </c>
      <c r="BA211" s="25"/>
      <c r="BB211" s="20"/>
      <c r="BC211" s="20"/>
      <c r="BD211" s="20"/>
      <c r="BE211" s="20"/>
      <c r="BF211" s="32"/>
      <c r="BG211" s="21">
        <f t="shared" si="467"/>
        <v>0</v>
      </c>
      <c r="BH211" s="25"/>
      <c r="BI211" s="25">
        <v>100000</v>
      </c>
      <c r="BJ211" s="25"/>
      <c r="BK211" s="25"/>
      <c r="BL211" s="20"/>
      <c r="BM211" s="20"/>
      <c r="BN211" s="20"/>
      <c r="BO211" s="20"/>
      <c r="BP211" s="20"/>
      <c r="BQ211" s="21">
        <f t="shared" si="468"/>
        <v>100000</v>
      </c>
      <c r="BR211" s="4">
        <f t="shared" si="469"/>
        <v>0</v>
      </c>
      <c r="BS211" s="4">
        <f t="shared" si="470"/>
        <v>100000</v>
      </c>
      <c r="BT211" s="4">
        <f t="shared" si="471"/>
        <v>0</v>
      </c>
      <c r="BU211" s="4">
        <f t="shared" si="472"/>
        <v>128000</v>
      </c>
      <c r="BV211" s="94">
        <f t="shared" si="473"/>
        <v>0</v>
      </c>
      <c r="BW211" s="94">
        <f t="shared" si="474"/>
        <v>0</v>
      </c>
      <c r="BX211" s="94">
        <f t="shared" si="475"/>
        <v>0</v>
      </c>
      <c r="BY211" s="94">
        <f t="shared" si="476"/>
        <v>0</v>
      </c>
      <c r="BZ211" s="94">
        <f t="shared" si="477"/>
        <v>0</v>
      </c>
      <c r="CA211" s="9">
        <f t="shared" si="478"/>
        <v>228000</v>
      </c>
    </row>
    <row r="212" spans="1:79" ht="18.75">
      <c r="A212" s="187"/>
      <c r="B212" s="8">
        <v>37</v>
      </c>
      <c r="C212" s="1" t="s">
        <v>361</v>
      </c>
      <c r="D212" s="91" t="s">
        <v>425</v>
      </c>
      <c r="E212" s="4" t="s">
        <v>24</v>
      </c>
      <c r="F212" s="4"/>
      <c r="G212" s="4"/>
      <c r="H212" s="4"/>
      <c r="I212" s="4"/>
      <c r="J212" s="4"/>
      <c r="K212" s="4"/>
      <c r="L212" s="4"/>
      <c r="M212" s="4"/>
      <c r="N212" s="4"/>
      <c r="O212" s="9">
        <f t="shared" si="462"/>
        <v>0</v>
      </c>
      <c r="P212" s="20"/>
      <c r="Q212" s="25"/>
      <c r="R212" s="24">
        <v>627400</v>
      </c>
      <c r="S212" s="25">
        <v>950000</v>
      </c>
      <c r="T212" s="20">
        <f>70000+207000+208500+208500+139000</f>
        <v>833000</v>
      </c>
      <c r="U212" s="20">
        <f>1196900+271600+135800</f>
        <v>1604300</v>
      </c>
      <c r="V212" s="20">
        <v>1561700</v>
      </c>
      <c r="W212" s="20">
        <v>1746000</v>
      </c>
      <c r="X212" s="174">
        <v>1026200</v>
      </c>
      <c r="Y212" s="21">
        <f t="shared" si="463"/>
        <v>8348600</v>
      </c>
      <c r="Z212" s="25">
        <v>0</v>
      </c>
      <c r="AA212" s="20"/>
      <c r="AB212" s="20"/>
      <c r="AC212" s="20"/>
      <c r="AD212" s="20"/>
      <c r="AE212" s="20"/>
      <c r="AF212" s="21">
        <f t="shared" si="464"/>
        <v>0</v>
      </c>
      <c r="AG212" s="20"/>
      <c r="AH212" s="20"/>
      <c r="AI212" s="20"/>
      <c r="AJ212" s="20"/>
      <c r="AK212" s="20"/>
      <c r="AL212" s="20"/>
      <c r="AM212" s="20"/>
      <c r="AN212" s="20"/>
      <c r="AO212" s="20"/>
      <c r="AP212" s="9">
        <f t="shared" si="465"/>
        <v>0</v>
      </c>
      <c r="AQ212" s="4"/>
      <c r="AR212" s="4"/>
      <c r="AS212" s="4"/>
      <c r="AT212" s="4"/>
      <c r="AU212" s="4"/>
      <c r="AV212" s="4"/>
      <c r="AW212" s="4"/>
      <c r="AX212" s="4"/>
      <c r="AY212" s="4"/>
      <c r="AZ212" s="9">
        <f t="shared" si="466"/>
        <v>0</v>
      </c>
      <c r="BA212" s="25"/>
      <c r="BB212" s="20"/>
      <c r="BC212" s="20"/>
      <c r="BD212" s="20"/>
      <c r="BE212" s="20"/>
      <c r="BF212" s="20"/>
      <c r="BG212" s="21">
        <f t="shared" si="467"/>
        <v>0</v>
      </c>
      <c r="BH212" s="25"/>
      <c r="BI212" s="25"/>
      <c r="BJ212" s="25"/>
      <c r="BK212" s="25"/>
      <c r="BL212" s="20"/>
      <c r="BM212" s="20"/>
      <c r="BN212" s="20"/>
      <c r="BO212" s="20"/>
      <c r="BP212" s="20"/>
      <c r="BQ212" s="21">
        <f t="shared" si="468"/>
        <v>0</v>
      </c>
      <c r="BR212" s="4">
        <f t="shared" si="469"/>
        <v>0</v>
      </c>
      <c r="BS212" s="4">
        <f t="shared" si="470"/>
        <v>0</v>
      </c>
      <c r="BT212" s="4">
        <f t="shared" si="471"/>
        <v>627400</v>
      </c>
      <c r="BU212" s="4">
        <f t="shared" si="472"/>
        <v>950000</v>
      </c>
      <c r="BV212" s="94">
        <f t="shared" si="473"/>
        <v>833000</v>
      </c>
      <c r="BW212" s="94">
        <f t="shared" si="474"/>
        <v>1604300</v>
      </c>
      <c r="BX212" s="94">
        <f t="shared" si="475"/>
        <v>1561700</v>
      </c>
      <c r="BY212" s="94">
        <f t="shared" si="476"/>
        <v>1746000</v>
      </c>
      <c r="BZ212" s="94">
        <f t="shared" si="477"/>
        <v>1026200</v>
      </c>
      <c r="CA212" s="9">
        <f t="shared" si="478"/>
        <v>8348600</v>
      </c>
    </row>
    <row r="213" spans="1:79" s="38" customFormat="1">
      <c r="A213" s="34"/>
      <c r="B213" s="34"/>
      <c r="C213" s="35" t="s">
        <v>362</v>
      </c>
      <c r="D213" s="37"/>
      <c r="E213" s="37"/>
      <c r="F213" s="37">
        <f>SUM(F176:F212)</f>
        <v>1395000</v>
      </c>
      <c r="G213" s="37">
        <f t="shared" ref="G213:CA213" si="479">SUM(G176:G212)</f>
        <v>7396483</v>
      </c>
      <c r="H213" s="37">
        <f t="shared" si="479"/>
        <v>6600000</v>
      </c>
      <c r="I213" s="37">
        <f t="shared" si="479"/>
        <v>2141500</v>
      </c>
      <c r="J213" s="37">
        <f t="shared" si="479"/>
        <v>980000</v>
      </c>
      <c r="K213" s="37">
        <f t="shared" si="479"/>
        <v>1330000</v>
      </c>
      <c r="L213" s="37">
        <f t="shared" si="479"/>
        <v>1461500</v>
      </c>
      <c r="M213" s="37">
        <f t="shared" si="479"/>
        <v>1189511</v>
      </c>
      <c r="N213" s="37">
        <f t="shared" si="479"/>
        <v>863500</v>
      </c>
      <c r="O213" s="37">
        <f t="shared" si="479"/>
        <v>23357494</v>
      </c>
      <c r="P213" s="37">
        <f t="shared" ref="P213:U213" si="480">SUM(P176:P212)</f>
        <v>1950000</v>
      </c>
      <c r="Q213" s="37">
        <f t="shared" si="480"/>
        <v>14238850</v>
      </c>
      <c r="R213" s="37">
        <f t="shared" si="480"/>
        <v>8484650</v>
      </c>
      <c r="S213" s="37">
        <f t="shared" si="480"/>
        <v>6737500</v>
      </c>
      <c r="T213" s="37">
        <f t="shared" si="480"/>
        <v>4767000</v>
      </c>
      <c r="U213" s="37">
        <f t="shared" si="480"/>
        <v>7173350</v>
      </c>
      <c r="V213" s="37">
        <f>SUM(V176:V212)</f>
        <v>9808021</v>
      </c>
      <c r="W213" s="37">
        <f>SUM(W176:W212)</f>
        <v>8869050</v>
      </c>
      <c r="X213" s="37">
        <f>SUM(X176:X212)</f>
        <v>5808300</v>
      </c>
      <c r="Y213" s="37">
        <f t="shared" ref="Y213:AP213" si="481">SUM(Y176:Y212)</f>
        <v>67836721</v>
      </c>
      <c r="Z213" s="37">
        <f t="shared" si="481"/>
        <v>5735000</v>
      </c>
      <c r="AA213" s="37">
        <f t="shared" si="481"/>
        <v>7340500</v>
      </c>
      <c r="AB213" s="37">
        <f t="shared" si="481"/>
        <v>11665200</v>
      </c>
      <c r="AC213" s="37">
        <f t="shared" si="481"/>
        <v>11503000</v>
      </c>
      <c r="AD213" s="37">
        <f t="shared" si="481"/>
        <v>13344200</v>
      </c>
      <c r="AE213" s="37">
        <f t="shared" si="481"/>
        <v>9292400</v>
      </c>
      <c r="AF213" s="37">
        <f t="shared" si="481"/>
        <v>58880300</v>
      </c>
      <c r="AG213" s="37">
        <f t="shared" si="481"/>
        <v>1740000</v>
      </c>
      <c r="AH213" s="37">
        <f t="shared" si="481"/>
        <v>7050479</v>
      </c>
      <c r="AI213" s="37">
        <f t="shared" si="481"/>
        <v>7679000</v>
      </c>
      <c r="AJ213" s="37">
        <f t="shared" si="481"/>
        <v>1868000</v>
      </c>
      <c r="AK213" s="37">
        <f t="shared" si="481"/>
        <v>2425000</v>
      </c>
      <c r="AL213" s="37">
        <f t="shared" si="481"/>
        <v>2899000</v>
      </c>
      <c r="AM213" s="37">
        <f t="shared" si="481"/>
        <v>4375000</v>
      </c>
      <c r="AN213" s="37">
        <f t="shared" si="481"/>
        <v>5544000</v>
      </c>
      <c r="AO213" s="37">
        <f t="shared" si="481"/>
        <v>3773000</v>
      </c>
      <c r="AP213" s="37">
        <f t="shared" si="481"/>
        <v>37353479</v>
      </c>
      <c r="AQ213" s="37">
        <f t="shared" si="479"/>
        <v>580000</v>
      </c>
      <c r="AR213" s="37">
        <f t="shared" si="479"/>
        <v>6390000</v>
      </c>
      <c r="AS213" s="37">
        <f t="shared" si="479"/>
        <v>5900000</v>
      </c>
      <c r="AT213" s="37">
        <f t="shared" si="479"/>
        <v>3325000</v>
      </c>
      <c r="AU213" s="37">
        <f t="shared" si="479"/>
        <v>3145000</v>
      </c>
      <c r="AV213" s="37">
        <f t="shared" si="479"/>
        <v>6125000</v>
      </c>
      <c r="AW213" s="37">
        <f t="shared" si="479"/>
        <v>8015000</v>
      </c>
      <c r="AX213" s="37">
        <f t="shared" si="479"/>
        <v>9130000</v>
      </c>
      <c r="AY213" s="37">
        <f t="shared" si="479"/>
        <v>6380000</v>
      </c>
      <c r="AZ213" s="37">
        <f t="shared" si="479"/>
        <v>48990000</v>
      </c>
      <c r="BA213" s="37">
        <f t="shared" si="479"/>
        <v>1790000</v>
      </c>
      <c r="BB213" s="37">
        <f t="shared" si="479"/>
        <v>2755000</v>
      </c>
      <c r="BC213" s="37">
        <f t="shared" si="479"/>
        <v>4980500</v>
      </c>
      <c r="BD213" s="37">
        <f t="shared" si="479"/>
        <v>5066000</v>
      </c>
      <c r="BE213" s="37">
        <f t="shared" si="479"/>
        <v>5508000</v>
      </c>
      <c r="BF213" s="37">
        <f t="shared" si="479"/>
        <v>3961000</v>
      </c>
      <c r="BG213" s="37">
        <f t="shared" si="479"/>
        <v>24060500</v>
      </c>
      <c r="BH213" s="37">
        <f t="shared" si="479"/>
        <v>0</v>
      </c>
      <c r="BI213" s="37">
        <f t="shared" si="479"/>
        <v>1576000</v>
      </c>
      <c r="BJ213" s="37">
        <f t="shared" si="479"/>
        <v>3174950</v>
      </c>
      <c r="BK213" s="37">
        <f t="shared" si="479"/>
        <v>150000</v>
      </c>
      <c r="BL213" s="37">
        <f t="shared" si="479"/>
        <v>0</v>
      </c>
      <c r="BM213" s="37">
        <f t="shared" si="479"/>
        <v>0</v>
      </c>
      <c r="BN213" s="37">
        <f t="shared" si="479"/>
        <v>266800</v>
      </c>
      <c r="BO213" s="37">
        <f t="shared" si="479"/>
        <v>0</v>
      </c>
      <c r="BP213" s="37">
        <f t="shared" si="479"/>
        <v>0</v>
      </c>
      <c r="BQ213" s="37">
        <f t="shared" si="479"/>
        <v>5167750</v>
      </c>
      <c r="BR213" s="37">
        <f t="shared" si="479"/>
        <v>5665000</v>
      </c>
      <c r="BS213" s="37">
        <f t="shared" si="479"/>
        <v>36651812</v>
      </c>
      <c r="BT213" s="37">
        <f t="shared" si="479"/>
        <v>31838600</v>
      </c>
      <c r="BU213" s="37">
        <f t="shared" si="479"/>
        <v>21747000</v>
      </c>
      <c r="BV213" s="37">
        <f t="shared" si="479"/>
        <v>21412500</v>
      </c>
      <c r="BW213" s="144">
        <f>SUM(BW176:BW212)</f>
        <v>35649050</v>
      </c>
      <c r="BX213" s="37">
        <f t="shared" ref="BX213:BY213" si="482">SUM(BX176:BX212)</f>
        <v>40495321</v>
      </c>
      <c r="BY213" s="37">
        <f t="shared" si="482"/>
        <v>41813761</v>
      </c>
      <c r="BZ213" s="144">
        <f>SUM(BZ176:BZ212)</f>
        <v>30078200</v>
      </c>
      <c r="CA213" s="37">
        <f t="shared" si="479"/>
        <v>265351244</v>
      </c>
    </row>
    <row r="214" spans="1:79" ht="31.5">
      <c r="A214" s="168" t="s">
        <v>62</v>
      </c>
      <c r="B214" s="8">
        <v>1</v>
      </c>
      <c r="C214" s="1" t="s">
        <v>8</v>
      </c>
      <c r="D214" s="5" t="s">
        <v>426</v>
      </c>
      <c r="E214" s="4" t="s">
        <v>62</v>
      </c>
      <c r="F214" s="4"/>
      <c r="G214" s="4"/>
      <c r="H214" s="5"/>
      <c r="I214" s="4"/>
      <c r="J214" s="4"/>
      <c r="K214" s="4"/>
      <c r="L214" s="4"/>
      <c r="M214" s="4"/>
      <c r="N214" s="4"/>
      <c r="O214" s="9">
        <f>SUM(F214:N214)</f>
        <v>0</v>
      </c>
      <c r="P214" s="20"/>
      <c r="Q214" s="25">
        <v>195000</v>
      </c>
      <c r="R214" s="20"/>
      <c r="S214" s="20">
        <v>42000</v>
      </c>
      <c r="T214" s="20"/>
      <c r="U214" s="20"/>
      <c r="V214" s="20"/>
      <c r="W214" s="20"/>
      <c r="X214" s="20"/>
      <c r="Y214" s="21">
        <f>SUM(P214:X214)</f>
        <v>237000</v>
      </c>
      <c r="Z214" s="25"/>
      <c r="AA214" s="20"/>
      <c r="AB214" s="20"/>
      <c r="AC214" s="20"/>
      <c r="AD214" s="20"/>
      <c r="AE214" s="20"/>
      <c r="AF214" s="21">
        <f>SUM(Z214:AE214)</f>
        <v>0</v>
      </c>
      <c r="AG214" s="20"/>
      <c r="AH214" s="20"/>
      <c r="AI214" s="20"/>
      <c r="AJ214" s="20"/>
      <c r="AK214" s="20"/>
      <c r="AL214" s="20"/>
      <c r="AM214" s="20"/>
      <c r="AN214" s="20"/>
      <c r="AO214" s="20"/>
      <c r="AP214" s="9">
        <f>SUM(AG214:AO214)</f>
        <v>0</v>
      </c>
      <c r="AQ214" s="76"/>
      <c r="AR214" s="76"/>
      <c r="AS214" s="76">
        <v>351999</v>
      </c>
      <c r="AT214" s="76">
        <v>450000</v>
      </c>
      <c r="AU214" s="4">
        <f>1050000+75000+225000+225000+150000</f>
        <v>1725000</v>
      </c>
      <c r="AV214" s="4">
        <v>1485000</v>
      </c>
      <c r="AW214" s="4">
        <f>320000+960000+160000+150000+300000+150000</f>
        <v>2040000</v>
      </c>
      <c r="AX214" s="4">
        <f>300000+600000+150000+140000+270000+260000</f>
        <v>1720000</v>
      </c>
      <c r="AY214" s="4">
        <v>1040000</v>
      </c>
      <c r="AZ214" s="9">
        <f>SUM(AQ214:AY214)</f>
        <v>8811999</v>
      </c>
      <c r="BA214" s="25"/>
      <c r="BB214" s="20"/>
      <c r="BC214" s="20"/>
      <c r="BD214" s="20"/>
      <c r="BE214" s="20"/>
      <c r="BF214" s="20"/>
      <c r="BG214" s="21">
        <f>SUM(BA214:BF214)</f>
        <v>0</v>
      </c>
      <c r="BH214" s="25"/>
      <c r="BI214" s="25"/>
      <c r="BJ214" s="25"/>
      <c r="BK214" s="25"/>
      <c r="BL214" s="20"/>
      <c r="BM214" s="20"/>
      <c r="BN214" s="20"/>
      <c r="BO214" s="20"/>
      <c r="BP214" s="20"/>
      <c r="BQ214" s="21">
        <f>SUM(BH214:BP214)</f>
        <v>0</v>
      </c>
      <c r="BR214" s="4">
        <f>F214+P214+AG214+AQ214+BH214</f>
        <v>0</v>
      </c>
      <c r="BS214" s="4">
        <f>G214+Q214+AH214+AR214+BI214</f>
        <v>195000</v>
      </c>
      <c r="BT214" s="4">
        <f>H214+R214+AI214+AS214+BJ214</f>
        <v>351999</v>
      </c>
      <c r="BU214" s="4">
        <f>I214+S214+Z214+AJ214+AT214+BA214+BK214</f>
        <v>492000</v>
      </c>
      <c r="BV214" s="94">
        <f>J214+T214+AA214+AK214+AU214+BB214+BL214</f>
        <v>1725000</v>
      </c>
      <c r="BW214" s="94">
        <f>K214+U214+AB214+AM214+AV214+BC214+BM214</f>
        <v>1485000</v>
      </c>
      <c r="BX214" s="94">
        <f>L214+V214+AC214+AM214+AW214+BD214+BN214</f>
        <v>2040000</v>
      </c>
      <c r="BY214" s="94">
        <f>M214+W214+AD214+AO214+AX214+BE214+BO214</f>
        <v>1720000</v>
      </c>
      <c r="BZ214" s="94">
        <f>N214+X214+AE214+AO214+AY214+BF214+BP214</f>
        <v>1040000</v>
      </c>
      <c r="CA214" s="9">
        <f>SUM(BR214:BZ214)</f>
        <v>9048999</v>
      </c>
    </row>
    <row r="215" spans="1:79" s="38" customFormat="1">
      <c r="A215" s="34"/>
      <c r="B215" s="34"/>
      <c r="C215" s="35" t="s">
        <v>363</v>
      </c>
      <c r="D215" s="37"/>
      <c r="E215" s="37"/>
      <c r="F215" s="37">
        <f>SUM(F214)</f>
        <v>0</v>
      </c>
      <c r="G215" s="37">
        <f t="shared" ref="G215:CA215" si="483">SUM(G214)</f>
        <v>0</v>
      </c>
      <c r="H215" s="37">
        <f t="shared" si="483"/>
        <v>0</v>
      </c>
      <c r="I215" s="37">
        <f t="shared" si="483"/>
        <v>0</v>
      </c>
      <c r="J215" s="37">
        <f t="shared" si="483"/>
        <v>0</v>
      </c>
      <c r="K215" s="37">
        <f t="shared" si="483"/>
        <v>0</v>
      </c>
      <c r="L215" s="37">
        <f t="shared" si="483"/>
        <v>0</v>
      </c>
      <c r="M215" s="37">
        <f t="shared" si="483"/>
        <v>0</v>
      </c>
      <c r="N215" s="37">
        <f t="shared" si="483"/>
        <v>0</v>
      </c>
      <c r="O215" s="37">
        <f t="shared" si="483"/>
        <v>0</v>
      </c>
      <c r="P215" s="37">
        <f t="shared" ref="P215:AP215" si="484">SUM(P214)</f>
        <v>0</v>
      </c>
      <c r="Q215" s="37">
        <f t="shared" si="484"/>
        <v>195000</v>
      </c>
      <c r="R215" s="37">
        <f t="shared" si="484"/>
        <v>0</v>
      </c>
      <c r="S215" s="37">
        <f t="shared" si="484"/>
        <v>42000</v>
      </c>
      <c r="T215" s="37">
        <f t="shared" si="484"/>
        <v>0</v>
      </c>
      <c r="U215" s="37">
        <f t="shared" si="484"/>
        <v>0</v>
      </c>
      <c r="V215" s="37">
        <f t="shared" si="484"/>
        <v>0</v>
      </c>
      <c r="W215" s="37">
        <f t="shared" si="484"/>
        <v>0</v>
      </c>
      <c r="X215" s="37">
        <f t="shared" si="484"/>
        <v>0</v>
      </c>
      <c r="Y215" s="37">
        <f t="shared" si="484"/>
        <v>237000</v>
      </c>
      <c r="Z215" s="37">
        <f t="shared" si="484"/>
        <v>0</v>
      </c>
      <c r="AA215" s="37">
        <f t="shared" si="484"/>
        <v>0</v>
      </c>
      <c r="AB215" s="37">
        <f t="shared" si="484"/>
        <v>0</v>
      </c>
      <c r="AC215" s="37">
        <f t="shared" si="484"/>
        <v>0</v>
      </c>
      <c r="AD215" s="37">
        <f t="shared" si="484"/>
        <v>0</v>
      </c>
      <c r="AE215" s="37">
        <f t="shared" si="484"/>
        <v>0</v>
      </c>
      <c r="AF215" s="37">
        <f t="shared" si="484"/>
        <v>0</v>
      </c>
      <c r="AG215" s="37">
        <f t="shared" si="484"/>
        <v>0</v>
      </c>
      <c r="AH215" s="37">
        <f t="shared" si="484"/>
        <v>0</v>
      </c>
      <c r="AI215" s="37">
        <f t="shared" si="484"/>
        <v>0</v>
      </c>
      <c r="AJ215" s="37">
        <f t="shared" si="484"/>
        <v>0</v>
      </c>
      <c r="AK215" s="37">
        <f t="shared" si="484"/>
        <v>0</v>
      </c>
      <c r="AL215" s="37">
        <f t="shared" si="484"/>
        <v>0</v>
      </c>
      <c r="AM215" s="37">
        <f t="shared" si="484"/>
        <v>0</v>
      </c>
      <c r="AN215" s="37">
        <f t="shared" si="484"/>
        <v>0</v>
      </c>
      <c r="AO215" s="37">
        <f t="shared" si="484"/>
        <v>0</v>
      </c>
      <c r="AP215" s="37">
        <f t="shared" si="484"/>
        <v>0</v>
      </c>
      <c r="AQ215" s="37">
        <f t="shared" si="483"/>
        <v>0</v>
      </c>
      <c r="AR215" s="37">
        <f t="shared" si="483"/>
        <v>0</v>
      </c>
      <c r="AS215" s="37">
        <f t="shared" si="483"/>
        <v>351999</v>
      </c>
      <c r="AT215" s="37">
        <f t="shared" si="483"/>
        <v>450000</v>
      </c>
      <c r="AU215" s="37">
        <f t="shared" si="483"/>
        <v>1725000</v>
      </c>
      <c r="AV215" s="37">
        <f t="shared" si="483"/>
        <v>1485000</v>
      </c>
      <c r="AW215" s="37">
        <f t="shared" si="483"/>
        <v>2040000</v>
      </c>
      <c r="AX215" s="37">
        <f t="shared" si="483"/>
        <v>1720000</v>
      </c>
      <c r="AY215" s="37">
        <f t="shared" si="483"/>
        <v>1040000</v>
      </c>
      <c r="AZ215" s="37">
        <f t="shared" si="483"/>
        <v>8811999</v>
      </c>
      <c r="BA215" s="37">
        <f t="shared" si="483"/>
        <v>0</v>
      </c>
      <c r="BB215" s="37">
        <f t="shared" si="483"/>
        <v>0</v>
      </c>
      <c r="BC215" s="37">
        <f t="shared" si="483"/>
        <v>0</v>
      </c>
      <c r="BD215" s="37">
        <f t="shared" si="483"/>
        <v>0</v>
      </c>
      <c r="BE215" s="37">
        <f t="shared" si="483"/>
        <v>0</v>
      </c>
      <c r="BF215" s="37">
        <f t="shared" si="483"/>
        <v>0</v>
      </c>
      <c r="BG215" s="37">
        <f t="shared" si="483"/>
        <v>0</v>
      </c>
      <c r="BH215" s="37">
        <f t="shared" si="483"/>
        <v>0</v>
      </c>
      <c r="BI215" s="37">
        <f t="shared" si="483"/>
        <v>0</v>
      </c>
      <c r="BJ215" s="37">
        <f t="shared" si="483"/>
        <v>0</v>
      </c>
      <c r="BK215" s="37">
        <f t="shared" si="483"/>
        <v>0</v>
      </c>
      <c r="BL215" s="37">
        <f t="shared" si="483"/>
        <v>0</v>
      </c>
      <c r="BM215" s="37">
        <f t="shared" si="483"/>
        <v>0</v>
      </c>
      <c r="BN215" s="37">
        <f t="shared" si="483"/>
        <v>0</v>
      </c>
      <c r="BO215" s="37">
        <f t="shared" si="483"/>
        <v>0</v>
      </c>
      <c r="BP215" s="37">
        <f t="shared" si="483"/>
        <v>0</v>
      </c>
      <c r="BQ215" s="37">
        <f t="shared" si="483"/>
        <v>0</v>
      </c>
      <c r="BR215" s="37">
        <f t="shared" si="483"/>
        <v>0</v>
      </c>
      <c r="BS215" s="37">
        <f t="shared" si="483"/>
        <v>195000</v>
      </c>
      <c r="BT215" s="37">
        <f t="shared" si="483"/>
        <v>351999</v>
      </c>
      <c r="BU215" s="37">
        <f t="shared" si="483"/>
        <v>492000</v>
      </c>
      <c r="BV215" s="37">
        <f t="shared" si="483"/>
        <v>1725000</v>
      </c>
      <c r="BW215" s="144">
        <f>SUM(BW214)</f>
        <v>1485000</v>
      </c>
      <c r="BX215" s="37">
        <f t="shared" ref="BX215:BY215" si="485">SUM(BX214)</f>
        <v>2040000</v>
      </c>
      <c r="BY215" s="37">
        <f t="shared" si="485"/>
        <v>1720000</v>
      </c>
      <c r="BZ215" s="144">
        <f>SUM(BZ214)</f>
        <v>1040000</v>
      </c>
      <c r="CA215" s="37">
        <f t="shared" si="483"/>
        <v>9048999</v>
      </c>
    </row>
    <row r="216" spans="1:79">
      <c r="A216" s="185" t="s">
        <v>23</v>
      </c>
      <c r="B216" s="8">
        <v>1</v>
      </c>
      <c r="C216" s="1" t="s">
        <v>0</v>
      </c>
      <c r="D216" s="4" t="s">
        <v>22</v>
      </c>
      <c r="E216" s="4" t="s">
        <v>23</v>
      </c>
      <c r="F216" s="4"/>
      <c r="G216" s="4"/>
      <c r="H216" s="4">
        <v>155000</v>
      </c>
      <c r="I216" s="4">
        <v>172000</v>
      </c>
      <c r="J216" s="4">
        <f>828000+140000+420000+140000</f>
        <v>1528000</v>
      </c>
      <c r="K216" s="4">
        <f>880000+183208+93208</f>
        <v>1156416</v>
      </c>
      <c r="L216" s="4">
        <v>1080000</v>
      </c>
      <c r="M216" s="4">
        <v>1113500</v>
      </c>
      <c r="N216" s="94">
        <v>854000</v>
      </c>
      <c r="O216" s="9">
        <f t="shared" ref="O216:O228" si="486">SUM(F216:N216)</f>
        <v>6058916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1">
        <f t="shared" ref="Y216:Y228" si="487">SUM(P216:X216)</f>
        <v>0</v>
      </c>
      <c r="Z216" s="25">
        <v>0</v>
      </c>
      <c r="AA216" s="20"/>
      <c r="AB216" s="20"/>
      <c r="AC216" s="20"/>
      <c r="AD216" s="20"/>
      <c r="AE216" s="20"/>
      <c r="AF216" s="21">
        <f t="shared" ref="AF216:AF228" si="488">SUM(Z216:AE216)</f>
        <v>0</v>
      </c>
      <c r="AG216" s="20"/>
      <c r="AH216" s="20"/>
      <c r="AI216" s="20"/>
      <c r="AJ216" s="20"/>
      <c r="AK216" s="20"/>
      <c r="AL216" s="20"/>
      <c r="AM216" s="20"/>
      <c r="AN216" s="20"/>
      <c r="AO216" s="20"/>
      <c r="AP216" s="9">
        <f t="shared" ref="AP216:AP228" si="489">SUM(AG216:AO216)</f>
        <v>0</v>
      </c>
      <c r="AQ216" s="76"/>
      <c r="AR216" s="76"/>
      <c r="AS216" s="76"/>
      <c r="AT216" s="76"/>
      <c r="AU216" s="4"/>
      <c r="AV216" s="4"/>
      <c r="AW216" s="4"/>
      <c r="AX216" s="4"/>
      <c r="AY216" s="4"/>
      <c r="AZ216" s="9">
        <f t="shared" ref="AZ216:AZ228" si="490">SUM(AQ216:AY216)</f>
        <v>0</v>
      </c>
      <c r="BA216" s="25"/>
      <c r="BB216" s="20"/>
      <c r="BC216" s="20"/>
      <c r="BD216" s="20"/>
      <c r="BE216" s="20"/>
      <c r="BF216" s="20"/>
      <c r="BG216" s="21">
        <f t="shared" ref="BG216:BG228" si="491">SUM(BA216:BF216)</f>
        <v>0</v>
      </c>
      <c r="BH216" s="25"/>
      <c r="BI216" s="25"/>
      <c r="BJ216" s="25">
        <v>100000</v>
      </c>
      <c r="BK216" s="25">
        <v>125000</v>
      </c>
      <c r="BL216" s="20"/>
      <c r="BM216" s="20"/>
      <c r="BN216" s="20"/>
      <c r="BO216" s="20"/>
      <c r="BP216" s="20"/>
      <c r="BQ216" s="21">
        <f t="shared" ref="BQ216:BQ228" si="492">SUM(BH216:BP216)</f>
        <v>225000</v>
      </c>
      <c r="BR216" s="4">
        <f t="shared" ref="BR216:BR228" si="493">F216+P216+AG216+AQ216+BH216</f>
        <v>0</v>
      </c>
      <c r="BS216" s="4">
        <f t="shared" ref="BS216:BS228" si="494">G216+Q216+AH216+AR216+BI216</f>
        <v>0</v>
      </c>
      <c r="BT216" s="4">
        <f t="shared" ref="BT216:BT228" si="495">H216+R216+AI216+AS216+BJ216</f>
        <v>255000</v>
      </c>
      <c r="BU216" s="4">
        <f t="shared" ref="BU216:BU228" si="496">I216+S216+Z216+AJ216+AT216+BA216+BK216</f>
        <v>297000</v>
      </c>
      <c r="BV216" s="94">
        <f t="shared" ref="BV216:BV228" si="497">J216+T216+AA216+AK216+AU216+BB216+BL216</f>
        <v>1528000</v>
      </c>
      <c r="BW216" s="94">
        <f t="shared" ref="BW216:BW228" si="498">K216+U216+AB216+AM216+AV216+BC216+BM216</f>
        <v>1156416</v>
      </c>
      <c r="BX216" s="94">
        <f t="shared" ref="BX216:BX228" si="499">L216+V216+AC216+AM216+AW216+BD216+BN216</f>
        <v>1080000</v>
      </c>
      <c r="BY216" s="94">
        <f t="shared" ref="BY216:BY228" si="500">M216+W216+AD216+AO216+AX216+BE216+BO216</f>
        <v>1113500</v>
      </c>
      <c r="BZ216" s="94">
        <f t="shared" ref="BZ216:BZ228" si="501">N216+X216+AE216+AO216+AY216+BF216+BP216</f>
        <v>854000</v>
      </c>
      <c r="CA216" s="9">
        <f t="shared" ref="CA216:CA228" si="502">SUM(BR216:BZ216)</f>
        <v>6283916</v>
      </c>
    </row>
    <row r="217" spans="1:79" ht="31.5">
      <c r="A217" s="186"/>
      <c r="B217" s="8">
        <v>2</v>
      </c>
      <c r="C217" s="1" t="s">
        <v>364</v>
      </c>
      <c r="D217" s="4" t="s">
        <v>365</v>
      </c>
      <c r="E217" s="4" t="s">
        <v>23</v>
      </c>
      <c r="F217" s="4"/>
      <c r="G217" s="4">
        <f>399694+3753</f>
        <v>403447</v>
      </c>
      <c r="H217" s="4">
        <f>114500+65000+219000</f>
        <v>398500</v>
      </c>
      <c r="I217" s="4"/>
      <c r="J217" s="4"/>
      <c r="K217" s="4"/>
      <c r="L217" s="4"/>
      <c r="M217" s="4"/>
      <c r="N217" s="4"/>
      <c r="O217" s="9">
        <f t="shared" si="486"/>
        <v>801947</v>
      </c>
      <c r="P217" s="20">
        <v>195000</v>
      </c>
      <c r="Q217" s="25">
        <v>1079050</v>
      </c>
      <c r="R217" s="25">
        <v>1013650</v>
      </c>
      <c r="S217" s="24">
        <v>150000</v>
      </c>
      <c r="T217" s="20"/>
      <c r="U217" s="20"/>
      <c r="V217" s="20"/>
      <c r="W217" s="20"/>
      <c r="X217" s="20"/>
      <c r="Y217" s="21">
        <f t="shared" si="487"/>
        <v>2437700</v>
      </c>
      <c r="Z217" s="25">
        <v>838000</v>
      </c>
      <c r="AA217" s="20">
        <f>105000+315000+315000+315000+210000</f>
        <v>1260000</v>
      </c>
      <c r="AB217" s="20">
        <f>1386000+310000+155200</f>
        <v>1851200</v>
      </c>
      <c r="AC217" s="20">
        <v>1856550</v>
      </c>
      <c r="AD217" s="20">
        <v>1716000</v>
      </c>
      <c r="AE217" s="175">
        <v>1248000</v>
      </c>
      <c r="AF217" s="21">
        <f t="shared" si="488"/>
        <v>8769750</v>
      </c>
      <c r="AG217" s="20"/>
      <c r="AH217" s="20"/>
      <c r="AI217" s="20"/>
      <c r="AJ217" s="20"/>
      <c r="AK217" s="20"/>
      <c r="AL217" s="20"/>
      <c r="AM217" s="20"/>
      <c r="AN217" s="20"/>
      <c r="AO217" s="20"/>
      <c r="AP217" s="9">
        <f t="shared" si="489"/>
        <v>0</v>
      </c>
      <c r="AQ217" s="4"/>
      <c r="AR217" s="4"/>
      <c r="AS217" s="4"/>
      <c r="AT217" s="4"/>
      <c r="AU217" s="4"/>
      <c r="AV217" s="4"/>
      <c r="AW217" s="4"/>
      <c r="AX217" s="4"/>
      <c r="AY217" s="4"/>
      <c r="AZ217" s="9">
        <f t="shared" si="490"/>
        <v>0</v>
      </c>
      <c r="BA217" s="25"/>
      <c r="BB217" s="20"/>
      <c r="BC217" s="20"/>
      <c r="BD217" s="20"/>
      <c r="BE217" s="20"/>
      <c r="BF217" s="20"/>
      <c r="BG217" s="21">
        <f t="shared" si="491"/>
        <v>0</v>
      </c>
      <c r="BH217" s="25"/>
      <c r="BI217" s="25"/>
      <c r="BJ217" s="25"/>
      <c r="BK217" s="25"/>
      <c r="BL217" s="20"/>
      <c r="BM217" s="20"/>
      <c r="BN217" s="20"/>
      <c r="BO217" s="20"/>
      <c r="BP217" s="20"/>
      <c r="BQ217" s="21">
        <f t="shared" si="492"/>
        <v>0</v>
      </c>
      <c r="BR217" s="4">
        <f t="shared" si="493"/>
        <v>195000</v>
      </c>
      <c r="BS217" s="4">
        <f t="shared" si="494"/>
        <v>1482497</v>
      </c>
      <c r="BT217" s="4">
        <f t="shared" si="495"/>
        <v>1412150</v>
      </c>
      <c r="BU217" s="4">
        <f t="shared" si="496"/>
        <v>988000</v>
      </c>
      <c r="BV217" s="94">
        <f t="shared" si="497"/>
        <v>1260000</v>
      </c>
      <c r="BW217" s="94">
        <f t="shared" si="498"/>
        <v>1851200</v>
      </c>
      <c r="BX217" s="94">
        <f t="shared" si="499"/>
        <v>1856550</v>
      </c>
      <c r="BY217" s="94">
        <f t="shared" si="500"/>
        <v>1716000</v>
      </c>
      <c r="BZ217" s="94">
        <f t="shared" si="501"/>
        <v>1248000</v>
      </c>
      <c r="CA217" s="9">
        <f t="shared" si="502"/>
        <v>12009397</v>
      </c>
    </row>
    <row r="218" spans="1:79">
      <c r="A218" s="186"/>
      <c r="B218" s="8">
        <v>3</v>
      </c>
      <c r="C218" s="1" t="s">
        <v>473</v>
      </c>
      <c r="D218" s="4" t="s">
        <v>367</v>
      </c>
      <c r="E218" s="4" t="s">
        <v>23</v>
      </c>
      <c r="F218" s="4"/>
      <c r="G218" s="4"/>
      <c r="H218" s="4">
        <v>155000</v>
      </c>
      <c r="I218" s="4"/>
      <c r="J218" s="4"/>
      <c r="K218" s="4"/>
      <c r="L218" s="4"/>
      <c r="M218" s="4"/>
      <c r="N218" s="4"/>
      <c r="O218" s="9">
        <f t="shared" si="486"/>
        <v>155000</v>
      </c>
      <c r="P218" s="20"/>
      <c r="Q218" s="20"/>
      <c r="R218" s="20"/>
      <c r="S218" s="20"/>
      <c r="T218" s="20"/>
      <c r="U218" s="20"/>
      <c r="V218" s="20"/>
      <c r="W218" s="20"/>
      <c r="X218" s="20"/>
      <c r="Y218" s="21">
        <f t="shared" si="487"/>
        <v>0</v>
      </c>
      <c r="Z218" s="25">
        <v>0</v>
      </c>
      <c r="AA218" s="20"/>
      <c r="AB218" s="20"/>
      <c r="AC218" s="20"/>
      <c r="AD218" s="20"/>
      <c r="AE218" s="20"/>
      <c r="AF218" s="21">
        <f t="shared" si="488"/>
        <v>0</v>
      </c>
      <c r="AG218" s="20"/>
      <c r="AH218" s="20"/>
      <c r="AI218" s="20"/>
      <c r="AJ218" s="20"/>
      <c r="AK218" s="20"/>
      <c r="AL218" s="20"/>
      <c r="AM218" s="20"/>
      <c r="AN218" s="20"/>
      <c r="AO218" s="20"/>
      <c r="AP218" s="9">
        <f t="shared" si="489"/>
        <v>0</v>
      </c>
      <c r="AQ218" s="4"/>
      <c r="AR218" s="4"/>
      <c r="AS218" s="4"/>
      <c r="AT218" s="4"/>
      <c r="AU218" s="4"/>
      <c r="AV218" s="4"/>
      <c r="AW218" s="4"/>
      <c r="AX218" s="4"/>
      <c r="AY218" s="4"/>
      <c r="AZ218" s="9">
        <f t="shared" si="490"/>
        <v>0</v>
      </c>
      <c r="BA218" s="25"/>
      <c r="BB218" s="20"/>
      <c r="BC218" s="20"/>
      <c r="BD218" s="20"/>
      <c r="BE218" s="20"/>
      <c r="BF218" s="20"/>
      <c r="BG218" s="21">
        <f t="shared" si="491"/>
        <v>0</v>
      </c>
      <c r="BH218" s="25"/>
      <c r="BI218" s="25"/>
      <c r="BJ218" s="25"/>
      <c r="BK218" s="25"/>
      <c r="BL218" s="20"/>
      <c r="BM218" s="20"/>
      <c r="BN218" s="20"/>
      <c r="BO218" s="20"/>
      <c r="BP218" s="20"/>
      <c r="BQ218" s="21">
        <f t="shared" si="492"/>
        <v>0</v>
      </c>
      <c r="BR218" s="4">
        <f t="shared" si="493"/>
        <v>0</v>
      </c>
      <c r="BS218" s="4">
        <f t="shared" si="494"/>
        <v>0</v>
      </c>
      <c r="BT218" s="4">
        <f t="shared" si="495"/>
        <v>155000</v>
      </c>
      <c r="BU218" s="4">
        <f t="shared" si="496"/>
        <v>0</v>
      </c>
      <c r="BV218" s="94">
        <f t="shared" si="497"/>
        <v>0</v>
      </c>
      <c r="BW218" s="94">
        <f t="shared" si="498"/>
        <v>0</v>
      </c>
      <c r="BX218" s="94">
        <f t="shared" si="499"/>
        <v>0</v>
      </c>
      <c r="BY218" s="94">
        <f t="shared" si="500"/>
        <v>0</v>
      </c>
      <c r="BZ218" s="94">
        <f t="shared" si="501"/>
        <v>0</v>
      </c>
      <c r="CA218" s="9">
        <f t="shared" si="502"/>
        <v>155000</v>
      </c>
    </row>
    <row r="219" spans="1:79">
      <c r="A219" s="186"/>
      <c r="B219" s="8">
        <v>4</v>
      </c>
      <c r="C219" s="1" t="s">
        <v>368</v>
      </c>
      <c r="D219" s="4" t="s">
        <v>369</v>
      </c>
      <c r="E219" s="4" t="s">
        <v>23</v>
      </c>
      <c r="F219" s="4"/>
      <c r="G219" s="4"/>
      <c r="H219" s="4">
        <v>155000</v>
      </c>
      <c r="I219" s="4"/>
      <c r="J219" s="4"/>
      <c r="K219" s="4"/>
      <c r="L219" s="4"/>
      <c r="M219" s="4"/>
      <c r="N219" s="4"/>
      <c r="O219" s="9">
        <f t="shared" si="486"/>
        <v>155000</v>
      </c>
      <c r="P219" s="20"/>
      <c r="Q219" s="20">
        <v>195000</v>
      </c>
      <c r="R219" s="25">
        <v>710800</v>
      </c>
      <c r="S219" s="24">
        <v>210000</v>
      </c>
      <c r="T219" s="20"/>
      <c r="U219" s="20"/>
      <c r="V219" s="20"/>
      <c r="W219" s="20"/>
      <c r="X219" s="20"/>
      <c r="Y219" s="21">
        <f t="shared" si="487"/>
        <v>1115800</v>
      </c>
      <c r="Z219" s="25">
        <v>0</v>
      </c>
      <c r="AA219" s="20">
        <f>945000+315000+315000+315000+210000</f>
        <v>2100000</v>
      </c>
      <c r="AB219" s="20">
        <v>693900</v>
      </c>
      <c r="AC219" s="20">
        <v>1092000</v>
      </c>
      <c r="AD219" s="20">
        <v>1716000</v>
      </c>
      <c r="AE219" s="175">
        <v>1248000</v>
      </c>
      <c r="AF219" s="21">
        <f t="shared" si="488"/>
        <v>6849900</v>
      </c>
      <c r="AG219" s="20"/>
      <c r="AH219" s="20"/>
      <c r="AI219" s="20"/>
      <c r="AJ219" s="20"/>
      <c r="AK219" s="20"/>
      <c r="AL219" s="20"/>
      <c r="AM219" s="20"/>
      <c r="AN219" s="20"/>
      <c r="AO219" s="20"/>
      <c r="AP219" s="9">
        <f t="shared" si="489"/>
        <v>0</v>
      </c>
      <c r="AQ219" s="4"/>
      <c r="AR219" s="4"/>
      <c r="AS219" s="4"/>
      <c r="AT219" s="4"/>
      <c r="AU219" s="4"/>
      <c r="AV219" s="4"/>
      <c r="AW219" s="4"/>
      <c r="AX219" s="4"/>
      <c r="AY219" s="4"/>
      <c r="AZ219" s="9">
        <f t="shared" si="490"/>
        <v>0</v>
      </c>
      <c r="BA219" s="25"/>
      <c r="BB219" s="20"/>
      <c r="BC219" s="20"/>
      <c r="BD219" s="20"/>
      <c r="BE219" s="20"/>
      <c r="BF219" s="20"/>
      <c r="BG219" s="21">
        <f t="shared" si="491"/>
        <v>0</v>
      </c>
      <c r="BH219" s="25"/>
      <c r="BI219" s="25">
        <v>100000</v>
      </c>
      <c r="BJ219" s="25">
        <v>540000</v>
      </c>
      <c r="BK219" s="25"/>
      <c r="BL219" s="20"/>
      <c r="BM219" s="20"/>
      <c r="BN219" s="20"/>
      <c r="BO219" s="20"/>
      <c r="BP219" s="20"/>
      <c r="BQ219" s="21">
        <f t="shared" si="492"/>
        <v>640000</v>
      </c>
      <c r="BR219" s="4">
        <f t="shared" si="493"/>
        <v>0</v>
      </c>
      <c r="BS219" s="4">
        <f t="shared" si="494"/>
        <v>295000</v>
      </c>
      <c r="BT219" s="4">
        <f t="shared" si="495"/>
        <v>1405800</v>
      </c>
      <c r="BU219" s="4">
        <f t="shared" si="496"/>
        <v>210000</v>
      </c>
      <c r="BV219" s="94">
        <f t="shared" si="497"/>
        <v>2100000</v>
      </c>
      <c r="BW219" s="94">
        <f t="shared" si="498"/>
        <v>693900</v>
      </c>
      <c r="BX219" s="94">
        <f t="shared" si="499"/>
        <v>1092000</v>
      </c>
      <c r="BY219" s="94">
        <f t="shared" si="500"/>
        <v>1716000</v>
      </c>
      <c r="BZ219" s="94">
        <f t="shared" si="501"/>
        <v>1248000</v>
      </c>
      <c r="CA219" s="9">
        <f t="shared" si="502"/>
        <v>8760700</v>
      </c>
    </row>
    <row r="220" spans="1:79">
      <c r="A220" s="186"/>
      <c r="B220" s="8">
        <v>5</v>
      </c>
      <c r="C220" s="1" t="s">
        <v>370</v>
      </c>
      <c r="D220" s="4" t="s">
        <v>371</v>
      </c>
      <c r="E220" s="4" t="s">
        <v>23</v>
      </c>
      <c r="F220" s="4"/>
      <c r="G220" s="4">
        <v>453500</v>
      </c>
      <c r="H220" s="4">
        <f>99000+203500</f>
        <v>302500</v>
      </c>
      <c r="I220" s="4">
        <v>160000</v>
      </c>
      <c r="J220" s="4"/>
      <c r="K220" s="4"/>
      <c r="L220" s="4"/>
      <c r="M220" s="4"/>
      <c r="N220" s="4"/>
      <c r="O220" s="9">
        <f t="shared" si="486"/>
        <v>916000</v>
      </c>
      <c r="P220" s="20"/>
      <c r="Q220" s="25">
        <v>636450</v>
      </c>
      <c r="R220" s="25">
        <v>252200</v>
      </c>
      <c r="S220" s="24">
        <v>180000</v>
      </c>
      <c r="T220" s="20"/>
      <c r="U220" s="20"/>
      <c r="V220" s="20"/>
      <c r="W220" s="20"/>
      <c r="X220" s="20"/>
      <c r="Y220" s="21">
        <f t="shared" si="487"/>
        <v>1068650</v>
      </c>
      <c r="Z220" s="25">
        <v>823000</v>
      </c>
      <c r="AA220" s="20">
        <f>283500+273000+291500+293500+196000</f>
        <v>1337500</v>
      </c>
      <c r="AB220" s="20">
        <f>1224400+262200+129600</f>
        <v>1616200</v>
      </c>
      <c r="AC220" s="20">
        <v>1498300</v>
      </c>
      <c r="AD220" s="20">
        <v>1695200</v>
      </c>
      <c r="AE220" s="175">
        <v>1248000</v>
      </c>
      <c r="AF220" s="21">
        <f t="shared" si="488"/>
        <v>8218200</v>
      </c>
      <c r="AG220" s="20"/>
      <c r="AH220" s="20"/>
      <c r="AI220" s="20"/>
      <c r="AJ220" s="20"/>
      <c r="AK220" s="20"/>
      <c r="AL220" s="20"/>
      <c r="AM220" s="20"/>
      <c r="AN220" s="20"/>
      <c r="AO220" s="20"/>
      <c r="AP220" s="9">
        <f t="shared" si="489"/>
        <v>0</v>
      </c>
      <c r="AQ220" s="4"/>
      <c r="AR220" s="4"/>
      <c r="AS220" s="4"/>
      <c r="AT220" s="4"/>
      <c r="AU220" s="4"/>
      <c r="AV220" s="4"/>
      <c r="AW220" s="4"/>
      <c r="AX220" s="4"/>
      <c r="AY220" s="4"/>
      <c r="AZ220" s="9">
        <f t="shared" si="490"/>
        <v>0</v>
      </c>
      <c r="BA220" s="25"/>
      <c r="BB220" s="20"/>
      <c r="BC220" s="20"/>
      <c r="BD220" s="20"/>
      <c r="BE220" s="20"/>
      <c r="BF220" s="20"/>
      <c r="BG220" s="21">
        <f t="shared" si="491"/>
        <v>0</v>
      </c>
      <c r="BH220" s="25"/>
      <c r="BI220" s="25">
        <v>100000</v>
      </c>
      <c r="BJ220" s="25">
        <v>230000</v>
      </c>
      <c r="BK220" s="25"/>
      <c r="BL220" s="20"/>
      <c r="BM220" s="20"/>
      <c r="BN220" s="20"/>
      <c r="BO220" s="20"/>
      <c r="BP220" s="20"/>
      <c r="BQ220" s="21">
        <f t="shared" si="492"/>
        <v>330000</v>
      </c>
      <c r="BR220" s="4">
        <f t="shared" si="493"/>
        <v>0</v>
      </c>
      <c r="BS220" s="4">
        <f t="shared" si="494"/>
        <v>1189950</v>
      </c>
      <c r="BT220" s="4">
        <f t="shared" si="495"/>
        <v>784700</v>
      </c>
      <c r="BU220" s="4">
        <f t="shared" si="496"/>
        <v>1163000</v>
      </c>
      <c r="BV220" s="94">
        <f t="shared" si="497"/>
        <v>1337500</v>
      </c>
      <c r="BW220" s="94">
        <f t="shared" si="498"/>
        <v>1616200</v>
      </c>
      <c r="BX220" s="94">
        <f t="shared" si="499"/>
        <v>1498300</v>
      </c>
      <c r="BY220" s="94">
        <f t="shared" si="500"/>
        <v>1695200</v>
      </c>
      <c r="BZ220" s="94">
        <f t="shared" si="501"/>
        <v>1248000</v>
      </c>
      <c r="CA220" s="9">
        <f t="shared" si="502"/>
        <v>10532850</v>
      </c>
    </row>
    <row r="221" spans="1:79">
      <c r="A221" s="186"/>
      <c r="B221" s="8">
        <v>6</v>
      </c>
      <c r="C221" s="1" t="s">
        <v>372</v>
      </c>
      <c r="D221" s="4" t="s">
        <v>371</v>
      </c>
      <c r="E221" s="4" t="s">
        <v>23</v>
      </c>
      <c r="F221" s="4"/>
      <c r="G221" s="4">
        <v>155000</v>
      </c>
      <c r="H221" s="4">
        <v>88000</v>
      </c>
      <c r="I221" s="4"/>
      <c r="J221" s="4"/>
      <c r="K221" s="4"/>
      <c r="L221" s="4"/>
      <c r="M221" s="4"/>
      <c r="N221" s="4"/>
      <c r="O221" s="9">
        <f t="shared" si="486"/>
        <v>243000</v>
      </c>
      <c r="P221" s="20"/>
      <c r="Q221" s="25">
        <v>238650</v>
      </c>
      <c r="R221" s="25">
        <v>601400</v>
      </c>
      <c r="S221" s="24"/>
      <c r="T221" s="20">
        <v>630000</v>
      </c>
      <c r="U221" s="20"/>
      <c r="V221" s="20"/>
      <c r="W221" s="20"/>
      <c r="X221" s="20"/>
      <c r="Y221" s="21">
        <f t="shared" si="487"/>
        <v>1470050</v>
      </c>
      <c r="Z221" s="25">
        <v>0</v>
      </c>
      <c r="AA221" s="20">
        <f>850500+196000</f>
        <v>1046500</v>
      </c>
      <c r="AB221" s="20">
        <v>1234500</v>
      </c>
      <c r="AC221" s="20"/>
      <c r="AD221" s="20"/>
      <c r="AE221" s="20"/>
      <c r="AF221" s="21">
        <f t="shared" si="488"/>
        <v>2281000</v>
      </c>
      <c r="AG221" s="20"/>
      <c r="AH221" s="20"/>
      <c r="AI221" s="20"/>
      <c r="AJ221" s="20"/>
      <c r="AK221" s="20"/>
      <c r="AL221" s="20"/>
      <c r="AM221" s="20"/>
      <c r="AN221" s="20"/>
      <c r="AO221" s="20"/>
      <c r="AP221" s="9">
        <f t="shared" si="489"/>
        <v>0</v>
      </c>
      <c r="AQ221" s="4"/>
      <c r="AR221" s="4"/>
      <c r="AS221" s="4"/>
      <c r="AT221" s="4"/>
      <c r="AU221" s="4"/>
      <c r="AV221" s="4"/>
      <c r="AW221" s="4"/>
      <c r="AX221" s="4"/>
      <c r="AY221" s="4"/>
      <c r="AZ221" s="9">
        <f t="shared" si="490"/>
        <v>0</v>
      </c>
      <c r="BA221" s="25"/>
      <c r="BB221" s="20"/>
      <c r="BC221" s="20"/>
      <c r="BD221" s="20"/>
      <c r="BE221" s="20"/>
      <c r="BF221" s="20"/>
      <c r="BG221" s="21">
        <f t="shared" si="491"/>
        <v>0</v>
      </c>
      <c r="BH221" s="25"/>
      <c r="BI221" s="25"/>
      <c r="BJ221" s="25"/>
      <c r="BK221" s="25"/>
      <c r="BL221" s="20"/>
      <c r="BM221" s="20"/>
      <c r="BN221" s="20"/>
      <c r="BO221" s="20"/>
      <c r="BP221" s="20"/>
      <c r="BQ221" s="21">
        <f t="shared" si="492"/>
        <v>0</v>
      </c>
      <c r="BR221" s="4">
        <f t="shared" si="493"/>
        <v>0</v>
      </c>
      <c r="BS221" s="4">
        <f t="shared" si="494"/>
        <v>393650</v>
      </c>
      <c r="BT221" s="4">
        <f t="shared" si="495"/>
        <v>689400</v>
      </c>
      <c r="BU221" s="4">
        <f t="shared" si="496"/>
        <v>0</v>
      </c>
      <c r="BV221" s="94">
        <f t="shared" si="497"/>
        <v>1676500</v>
      </c>
      <c r="BW221" s="94">
        <f t="shared" si="498"/>
        <v>1234500</v>
      </c>
      <c r="BX221" s="94">
        <f t="shared" si="499"/>
        <v>0</v>
      </c>
      <c r="BY221" s="94">
        <f t="shared" si="500"/>
        <v>0</v>
      </c>
      <c r="BZ221" s="94">
        <f t="shared" si="501"/>
        <v>0</v>
      </c>
      <c r="CA221" s="9">
        <f t="shared" si="502"/>
        <v>3994050</v>
      </c>
    </row>
    <row r="222" spans="1:79">
      <c r="A222" s="186"/>
      <c r="B222" s="8">
        <v>7</v>
      </c>
      <c r="C222" s="1" t="s">
        <v>373</v>
      </c>
      <c r="D222" s="4" t="s">
        <v>374</v>
      </c>
      <c r="E222" s="4" t="s">
        <v>23</v>
      </c>
      <c r="F222" s="4"/>
      <c r="G222" s="4">
        <v>719000</v>
      </c>
      <c r="H222" s="4">
        <f>282000+188000+80500+85000+80000</f>
        <v>715500</v>
      </c>
      <c r="I222" s="4">
        <v>673500</v>
      </c>
      <c r="J222" s="4">
        <f>181500+186000+186000+186000+121500</f>
        <v>861000</v>
      </c>
      <c r="K222" s="4">
        <f>848500+180000+90000</f>
        <v>1118500</v>
      </c>
      <c r="L222" s="4">
        <v>1065000</v>
      </c>
      <c r="M222" s="4">
        <v>861500</v>
      </c>
      <c r="N222" s="94">
        <v>768000</v>
      </c>
      <c r="O222" s="9">
        <f t="shared" si="486"/>
        <v>6782000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1">
        <f t="shared" si="487"/>
        <v>0</v>
      </c>
      <c r="Z222" s="25">
        <v>0</v>
      </c>
      <c r="AA222" s="20"/>
      <c r="AB222" s="20"/>
      <c r="AC222" s="20"/>
      <c r="AD222" s="20"/>
      <c r="AE222" s="20"/>
      <c r="AF222" s="21">
        <f t="shared" si="488"/>
        <v>0</v>
      </c>
      <c r="AG222" s="20"/>
      <c r="AH222" s="20"/>
      <c r="AI222" s="20"/>
      <c r="AJ222" s="20"/>
      <c r="AK222" s="20"/>
      <c r="AL222" s="20"/>
      <c r="AM222" s="20"/>
      <c r="AN222" s="20"/>
      <c r="AO222" s="20"/>
      <c r="AP222" s="9">
        <f t="shared" si="489"/>
        <v>0</v>
      </c>
      <c r="AQ222" s="4"/>
      <c r="AR222" s="4"/>
      <c r="AS222" s="4"/>
      <c r="AT222" s="4"/>
      <c r="AU222" s="4"/>
      <c r="AV222" s="4"/>
      <c r="AW222" s="4"/>
      <c r="AX222" s="4"/>
      <c r="AY222" s="4"/>
      <c r="AZ222" s="9">
        <f t="shared" si="490"/>
        <v>0</v>
      </c>
      <c r="BA222" s="25"/>
      <c r="BB222" s="20"/>
      <c r="BC222" s="20"/>
      <c r="BD222" s="20"/>
      <c r="BE222" s="20"/>
      <c r="BF222" s="20"/>
      <c r="BG222" s="21">
        <f t="shared" si="491"/>
        <v>0</v>
      </c>
      <c r="BH222" s="25"/>
      <c r="BI222" s="25">
        <v>100000</v>
      </c>
      <c r="BJ222" s="25">
        <v>257600</v>
      </c>
      <c r="BK222" s="25"/>
      <c r="BL222" s="20"/>
      <c r="BM222" s="20"/>
      <c r="BN222" s="20"/>
      <c r="BO222" s="20"/>
      <c r="BP222" s="20"/>
      <c r="BQ222" s="21">
        <f t="shared" si="492"/>
        <v>357600</v>
      </c>
      <c r="BR222" s="4">
        <f t="shared" si="493"/>
        <v>0</v>
      </c>
      <c r="BS222" s="4">
        <f t="shared" si="494"/>
        <v>819000</v>
      </c>
      <c r="BT222" s="4">
        <f t="shared" si="495"/>
        <v>973100</v>
      </c>
      <c r="BU222" s="4">
        <f t="shared" si="496"/>
        <v>673500</v>
      </c>
      <c r="BV222" s="94">
        <f t="shared" si="497"/>
        <v>861000</v>
      </c>
      <c r="BW222" s="94">
        <f t="shared" si="498"/>
        <v>1118500</v>
      </c>
      <c r="BX222" s="94">
        <f t="shared" si="499"/>
        <v>1065000</v>
      </c>
      <c r="BY222" s="94">
        <f t="shared" si="500"/>
        <v>861500</v>
      </c>
      <c r="BZ222" s="94">
        <f t="shared" si="501"/>
        <v>768000</v>
      </c>
      <c r="CA222" s="9">
        <f t="shared" si="502"/>
        <v>7139600</v>
      </c>
    </row>
    <row r="223" spans="1:79">
      <c r="A223" s="186"/>
      <c r="B223" s="8">
        <v>8</v>
      </c>
      <c r="C223" s="1" t="s">
        <v>375</v>
      </c>
      <c r="D223" s="4" t="s">
        <v>376</v>
      </c>
      <c r="E223" s="4" t="s">
        <v>23</v>
      </c>
      <c r="F223" s="4"/>
      <c r="G223" s="4">
        <v>155000</v>
      </c>
      <c r="H223" s="4">
        <f>96000+48000</f>
        <v>144000</v>
      </c>
      <c r="I223" s="4">
        <f>68000+58000</f>
        <v>126000</v>
      </c>
      <c r="J223" s="4"/>
      <c r="K223" s="4"/>
      <c r="L223" s="4"/>
      <c r="M223" s="4"/>
      <c r="N223" s="4"/>
      <c r="O223" s="9">
        <f t="shared" si="486"/>
        <v>425000</v>
      </c>
      <c r="P223" s="20"/>
      <c r="Q223" s="20">
        <v>195000</v>
      </c>
      <c r="R223" s="25">
        <v>267300</v>
      </c>
      <c r="S223" s="24">
        <v>262000</v>
      </c>
      <c r="T223" s="20"/>
      <c r="U223" s="20"/>
      <c r="V223" s="20"/>
      <c r="W223" s="20"/>
      <c r="X223" s="20"/>
      <c r="Y223" s="21">
        <f t="shared" si="487"/>
        <v>724300</v>
      </c>
      <c r="Z223" s="25">
        <v>910500</v>
      </c>
      <c r="AA223" s="20">
        <f>306500+310500+312000+312000+208000</f>
        <v>1449000</v>
      </c>
      <c r="AB223" s="20">
        <f>1365500+308000+154000</f>
        <v>1827500</v>
      </c>
      <c r="AC223" s="20">
        <v>1854000</v>
      </c>
      <c r="AD223" s="20">
        <v>1716000</v>
      </c>
      <c r="AE223" s="175">
        <v>1242800</v>
      </c>
      <c r="AF223" s="21">
        <f t="shared" si="488"/>
        <v>8999800</v>
      </c>
      <c r="AG223" s="20"/>
      <c r="AH223" s="20"/>
      <c r="AI223" s="20"/>
      <c r="AJ223" s="20"/>
      <c r="AK223" s="20"/>
      <c r="AL223" s="20"/>
      <c r="AM223" s="20"/>
      <c r="AN223" s="20"/>
      <c r="AO223" s="20"/>
      <c r="AP223" s="9">
        <f t="shared" si="489"/>
        <v>0</v>
      </c>
      <c r="AQ223" s="4"/>
      <c r="AR223" s="4"/>
      <c r="AS223" s="4"/>
      <c r="AT223" s="4"/>
      <c r="AU223" s="4"/>
      <c r="AV223" s="4"/>
      <c r="AW223" s="4"/>
      <c r="AX223" s="4"/>
      <c r="AY223" s="4"/>
      <c r="AZ223" s="9">
        <f t="shared" si="490"/>
        <v>0</v>
      </c>
      <c r="BA223" s="25"/>
      <c r="BB223" s="20"/>
      <c r="BC223" s="20"/>
      <c r="BD223" s="20"/>
      <c r="BE223" s="20"/>
      <c r="BF223" s="20"/>
      <c r="BG223" s="21">
        <f t="shared" si="491"/>
        <v>0</v>
      </c>
      <c r="BH223" s="25"/>
      <c r="BI223" s="25">
        <v>100000</v>
      </c>
      <c r="BJ223" s="25">
        <v>230000</v>
      </c>
      <c r="BK223" s="25">
        <v>145000</v>
      </c>
      <c r="BL223" s="20"/>
      <c r="BM223" s="20"/>
      <c r="BN223" s="20"/>
      <c r="BO223" s="20"/>
      <c r="BP223" s="20"/>
      <c r="BQ223" s="21">
        <f t="shared" si="492"/>
        <v>475000</v>
      </c>
      <c r="BR223" s="4">
        <f t="shared" si="493"/>
        <v>0</v>
      </c>
      <c r="BS223" s="4">
        <f t="shared" si="494"/>
        <v>450000</v>
      </c>
      <c r="BT223" s="4">
        <f t="shared" si="495"/>
        <v>641300</v>
      </c>
      <c r="BU223" s="4">
        <f t="shared" si="496"/>
        <v>1443500</v>
      </c>
      <c r="BV223" s="94">
        <f t="shared" si="497"/>
        <v>1449000</v>
      </c>
      <c r="BW223" s="94">
        <f t="shared" si="498"/>
        <v>1827500</v>
      </c>
      <c r="BX223" s="94">
        <f t="shared" si="499"/>
        <v>1854000</v>
      </c>
      <c r="BY223" s="94">
        <f t="shared" si="500"/>
        <v>1716000</v>
      </c>
      <c r="BZ223" s="94">
        <f t="shared" si="501"/>
        <v>1242800</v>
      </c>
      <c r="CA223" s="9">
        <f t="shared" si="502"/>
        <v>10624100</v>
      </c>
    </row>
    <row r="224" spans="1:79" ht="31.5">
      <c r="A224" s="186"/>
      <c r="B224" s="8">
        <v>9</v>
      </c>
      <c r="C224" s="1" t="s">
        <v>472</v>
      </c>
      <c r="D224" s="4" t="s">
        <v>378</v>
      </c>
      <c r="E224" s="4" t="s">
        <v>23</v>
      </c>
      <c r="F224" s="4"/>
      <c r="G224" s="4">
        <v>529000</v>
      </c>
      <c r="H224" s="4">
        <v>330000</v>
      </c>
      <c r="I224" s="4"/>
      <c r="J224" s="4"/>
      <c r="K224" s="4"/>
      <c r="L224" s="4"/>
      <c r="M224" s="4"/>
      <c r="N224" s="4"/>
      <c r="O224" s="9">
        <f t="shared" si="486"/>
        <v>859000</v>
      </c>
      <c r="P224" s="20"/>
      <c r="Q224" s="25">
        <v>787400</v>
      </c>
      <c r="R224" s="25">
        <v>518950</v>
      </c>
      <c r="S224" s="25"/>
      <c r="T224" s="20"/>
      <c r="U224" s="20"/>
      <c r="V224" s="20"/>
      <c r="W224" s="20"/>
      <c r="X224" s="20"/>
      <c r="Y224" s="21">
        <f t="shared" si="487"/>
        <v>1306350</v>
      </c>
      <c r="Z224" s="25">
        <v>0</v>
      </c>
      <c r="AA224" s="20">
        <f>525000+315000+315000+315000+210000</f>
        <v>1680000</v>
      </c>
      <c r="AB224" s="20">
        <f>1445782+312000+156000</f>
        <v>1913782</v>
      </c>
      <c r="AC224" s="20">
        <v>1560000</v>
      </c>
      <c r="AD224" s="20">
        <v>2028000</v>
      </c>
      <c r="AE224" s="175">
        <v>1248000</v>
      </c>
      <c r="AF224" s="21">
        <f t="shared" si="488"/>
        <v>8429782</v>
      </c>
      <c r="AG224" s="20"/>
      <c r="AH224" s="20"/>
      <c r="AI224" s="4">
        <v>290000</v>
      </c>
      <c r="AJ224" s="23"/>
      <c r="AK224" s="23"/>
      <c r="AL224" s="23"/>
      <c r="AM224" s="23"/>
      <c r="AN224" s="23"/>
      <c r="AO224" s="23"/>
      <c r="AP224" s="9">
        <f t="shared" si="489"/>
        <v>290000</v>
      </c>
      <c r="AQ224" s="4"/>
      <c r="AR224" s="4"/>
      <c r="AS224" s="4"/>
      <c r="AT224" s="4"/>
      <c r="AU224" s="4"/>
      <c r="AV224" s="4"/>
      <c r="AW224" s="4"/>
      <c r="AX224" s="4"/>
      <c r="AY224" s="4"/>
      <c r="AZ224" s="9">
        <f t="shared" si="490"/>
        <v>0</v>
      </c>
      <c r="BA224" s="25"/>
      <c r="BB224" s="20"/>
      <c r="BC224" s="20"/>
      <c r="BD224" s="20"/>
      <c r="BE224" s="20"/>
      <c r="BF224" s="23"/>
      <c r="BG224" s="21">
        <f t="shared" si="491"/>
        <v>0</v>
      </c>
      <c r="BH224" s="25"/>
      <c r="BI224" s="25"/>
      <c r="BJ224" s="25"/>
      <c r="BK224" s="25"/>
      <c r="BL224" s="20"/>
      <c r="BM224" s="20"/>
      <c r="BN224" s="20"/>
      <c r="BO224" s="20"/>
      <c r="BP224" s="20"/>
      <c r="BQ224" s="21">
        <f t="shared" si="492"/>
        <v>0</v>
      </c>
      <c r="BR224" s="4">
        <f t="shared" si="493"/>
        <v>0</v>
      </c>
      <c r="BS224" s="4">
        <f t="shared" si="494"/>
        <v>1316400</v>
      </c>
      <c r="BT224" s="4">
        <f t="shared" si="495"/>
        <v>1138950</v>
      </c>
      <c r="BU224" s="4">
        <f t="shared" si="496"/>
        <v>0</v>
      </c>
      <c r="BV224" s="94">
        <f t="shared" si="497"/>
        <v>1680000</v>
      </c>
      <c r="BW224" s="94">
        <f t="shared" si="498"/>
        <v>1913782</v>
      </c>
      <c r="BX224" s="94">
        <f t="shared" si="499"/>
        <v>1560000</v>
      </c>
      <c r="BY224" s="94">
        <f t="shared" si="500"/>
        <v>2028000</v>
      </c>
      <c r="BZ224" s="94">
        <f t="shared" si="501"/>
        <v>1248000</v>
      </c>
      <c r="CA224" s="9">
        <f t="shared" si="502"/>
        <v>10885132</v>
      </c>
    </row>
    <row r="225" spans="1:79">
      <c r="A225" s="186"/>
      <c r="B225" s="8">
        <v>10</v>
      </c>
      <c r="C225" s="40" t="s">
        <v>379</v>
      </c>
      <c r="D225" s="41" t="s">
        <v>380</v>
      </c>
      <c r="E225" s="4" t="s">
        <v>23</v>
      </c>
      <c r="F225" s="4"/>
      <c r="G225" s="4"/>
      <c r="H225" s="4"/>
      <c r="I225" s="4"/>
      <c r="J225" s="4"/>
      <c r="K225" s="4"/>
      <c r="L225" s="4"/>
      <c r="M225" s="4"/>
      <c r="N225" s="4"/>
      <c r="O225" s="9">
        <f t="shared" si="486"/>
        <v>0</v>
      </c>
      <c r="P225" s="20"/>
      <c r="Q225" s="25"/>
      <c r="R225" s="20"/>
      <c r="S225" s="20"/>
      <c r="T225" s="20"/>
      <c r="U225" s="20"/>
      <c r="V225" s="20"/>
      <c r="W225" s="20"/>
      <c r="X225" s="20"/>
      <c r="Y225" s="21">
        <f t="shared" si="487"/>
        <v>0</v>
      </c>
      <c r="Z225" s="25">
        <v>0</v>
      </c>
      <c r="AA225" s="20"/>
      <c r="AB225" s="20"/>
      <c r="AC225" s="20"/>
      <c r="AD225" s="20"/>
      <c r="AE225" s="20"/>
      <c r="AF225" s="21">
        <f t="shared" si="488"/>
        <v>0</v>
      </c>
      <c r="AG225" s="20"/>
      <c r="AH225" s="20"/>
      <c r="AI225" s="20"/>
      <c r="AJ225" s="20"/>
      <c r="AK225" s="20"/>
      <c r="AL225" s="20"/>
      <c r="AM225" s="20"/>
      <c r="AN225" s="20"/>
      <c r="AO225" s="20"/>
      <c r="AP225" s="9">
        <f t="shared" si="489"/>
        <v>0</v>
      </c>
      <c r="AQ225" s="76">
        <v>290000</v>
      </c>
      <c r="AR225" s="76">
        <f>1200000+70000</f>
        <v>1270000</v>
      </c>
      <c r="AS225" s="76">
        <f>910000-60000</f>
        <v>850000</v>
      </c>
      <c r="AT225" s="76">
        <v>835000</v>
      </c>
      <c r="AU225" s="4">
        <f>195000+130000+65000+195000+195000+130000</f>
        <v>910000</v>
      </c>
      <c r="AV225" s="4">
        <f>1235000+520000</f>
        <v>1755000</v>
      </c>
      <c r="AW225" s="4">
        <f>420000+280000+140000+140000+280000+140000+140000</f>
        <v>1540000</v>
      </c>
      <c r="AX225" s="4">
        <f>280000+140000+140000+280000+420000</f>
        <v>1260000</v>
      </c>
      <c r="AY225" s="4">
        <v>1580000</v>
      </c>
      <c r="AZ225" s="9">
        <f t="shared" si="490"/>
        <v>10290000</v>
      </c>
      <c r="BA225" s="25"/>
      <c r="BB225" s="20"/>
      <c r="BC225" s="20"/>
      <c r="BD225" s="20"/>
      <c r="BE225" s="20"/>
      <c r="BF225" s="20"/>
      <c r="BG225" s="21">
        <f t="shared" si="491"/>
        <v>0</v>
      </c>
      <c r="BH225" s="25"/>
      <c r="BI225" s="25"/>
      <c r="BJ225" s="25">
        <f>330000</f>
        <v>330000</v>
      </c>
      <c r="BK225" s="25"/>
      <c r="BL225" s="20"/>
      <c r="BM225" s="20"/>
      <c r="BN225" s="20"/>
      <c r="BO225" s="20"/>
      <c r="BP225" s="20"/>
      <c r="BQ225" s="21">
        <f t="shared" si="492"/>
        <v>330000</v>
      </c>
      <c r="BR225" s="4">
        <f t="shared" si="493"/>
        <v>290000</v>
      </c>
      <c r="BS225" s="4">
        <f t="shared" si="494"/>
        <v>1270000</v>
      </c>
      <c r="BT225" s="4">
        <f t="shared" si="495"/>
        <v>1180000</v>
      </c>
      <c r="BU225" s="4">
        <f t="shared" si="496"/>
        <v>835000</v>
      </c>
      <c r="BV225" s="94">
        <f t="shared" si="497"/>
        <v>910000</v>
      </c>
      <c r="BW225" s="94">
        <f t="shared" si="498"/>
        <v>1755000</v>
      </c>
      <c r="BX225" s="94">
        <f t="shared" si="499"/>
        <v>1540000</v>
      </c>
      <c r="BY225" s="94">
        <f t="shared" si="500"/>
        <v>1260000</v>
      </c>
      <c r="BZ225" s="94">
        <f t="shared" si="501"/>
        <v>1580000</v>
      </c>
      <c r="CA225" s="9">
        <f t="shared" si="502"/>
        <v>10620000</v>
      </c>
    </row>
    <row r="226" spans="1:79" ht="31.5">
      <c r="A226" s="186"/>
      <c r="B226" s="8">
        <v>11</v>
      </c>
      <c r="C226" s="1" t="s">
        <v>383</v>
      </c>
      <c r="D226" s="4" t="s">
        <v>380</v>
      </c>
      <c r="E226" s="4" t="s">
        <v>23</v>
      </c>
      <c r="F226" s="4">
        <v>155000</v>
      </c>
      <c r="G226" s="4">
        <v>498500</v>
      </c>
      <c r="H226" s="4">
        <f>60500+126500+137500+258500+88000</f>
        <v>671000</v>
      </c>
      <c r="I226" s="4">
        <v>491000</v>
      </c>
      <c r="J226" s="4">
        <f>374500+182000+178500+192500+129500</f>
        <v>1057000</v>
      </c>
      <c r="K226" s="4">
        <f>905200+188000+93000</f>
        <v>1186200</v>
      </c>
      <c r="L226" s="4">
        <v>1142145</v>
      </c>
      <c r="M226" s="4">
        <v>1210000</v>
      </c>
      <c r="N226" s="94">
        <v>880000</v>
      </c>
      <c r="O226" s="9">
        <f t="shared" si="486"/>
        <v>7290845</v>
      </c>
      <c r="P226" s="20"/>
      <c r="Q226" s="20"/>
      <c r="R226" s="20"/>
      <c r="S226" s="20"/>
      <c r="T226" s="20"/>
      <c r="U226" s="20"/>
      <c r="V226" s="20"/>
      <c r="W226" s="20"/>
      <c r="X226" s="20"/>
      <c r="Y226" s="21">
        <f t="shared" si="487"/>
        <v>0</v>
      </c>
      <c r="Z226" s="25">
        <v>0</v>
      </c>
      <c r="AA226" s="20"/>
      <c r="AB226" s="20"/>
      <c r="AC226" s="20"/>
      <c r="AD226" s="20"/>
      <c r="AE226" s="20"/>
      <c r="AF226" s="21">
        <f t="shared" si="488"/>
        <v>0</v>
      </c>
      <c r="AG226" s="20"/>
      <c r="AH226" s="20"/>
      <c r="AI226" s="20"/>
      <c r="AJ226" s="20"/>
      <c r="AK226" s="20"/>
      <c r="AL226" s="20"/>
      <c r="AM226" s="20"/>
      <c r="AN226" s="20"/>
      <c r="AO226" s="20"/>
      <c r="AP226" s="9">
        <f t="shared" si="489"/>
        <v>0</v>
      </c>
      <c r="AQ226" s="4"/>
      <c r="AR226" s="4"/>
      <c r="AS226" s="4"/>
      <c r="AT226" s="4"/>
      <c r="AU226" s="4"/>
      <c r="AV226" s="4"/>
      <c r="AW226" s="4"/>
      <c r="AX226" s="4"/>
      <c r="AY226" s="4"/>
      <c r="AZ226" s="9">
        <f t="shared" si="490"/>
        <v>0</v>
      </c>
      <c r="BA226" s="25"/>
      <c r="BB226" s="20"/>
      <c r="BC226" s="20"/>
      <c r="BD226" s="20"/>
      <c r="BE226" s="20"/>
      <c r="BF226" s="20"/>
      <c r="BG226" s="21">
        <f t="shared" si="491"/>
        <v>0</v>
      </c>
      <c r="BH226" s="25"/>
      <c r="BI226" s="25"/>
      <c r="BJ226" s="25"/>
      <c r="BK226" s="25"/>
      <c r="BL226" s="20"/>
      <c r="BM226" s="20"/>
      <c r="BN226" s="20"/>
      <c r="BO226" s="20"/>
      <c r="BP226" s="20"/>
      <c r="BQ226" s="21">
        <f t="shared" si="492"/>
        <v>0</v>
      </c>
      <c r="BR226" s="4">
        <f t="shared" si="493"/>
        <v>155000</v>
      </c>
      <c r="BS226" s="4">
        <f t="shared" si="494"/>
        <v>498500</v>
      </c>
      <c r="BT226" s="4">
        <f t="shared" si="495"/>
        <v>671000</v>
      </c>
      <c r="BU226" s="4">
        <f t="shared" si="496"/>
        <v>491000</v>
      </c>
      <c r="BV226" s="94">
        <f t="shared" si="497"/>
        <v>1057000</v>
      </c>
      <c r="BW226" s="94">
        <f t="shared" si="498"/>
        <v>1186200</v>
      </c>
      <c r="BX226" s="94">
        <f t="shared" si="499"/>
        <v>1142145</v>
      </c>
      <c r="BY226" s="94">
        <f t="shared" si="500"/>
        <v>1210000</v>
      </c>
      <c r="BZ226" s="94">
        <f t="shared" si="501"/>
        <v>880000</v>
      </c>
      <c r="CA226" s="9">
        <f t="shared" si="502"/>
        <v>7290845</v>
      </c>
    </row>
    <row r="227" spans="1:79" ht="18.75">
      <c r="A227" s="186"/>
      <c r="B227" s="8">
        <v>12</v>
      </c>
      <c r="C227" s="1" t="s">
        <v>384</v>
      </c>
      <c r="D227" s="91" t="s">
        <v>427</v>
      </c>
      <c r="E227" s="4" t="s">
        <v>23</v>
      </c>
      <c r="F227" s="4"/>
      <c r="G227" s="4"/>
      <c r="H227" s="4"/>
      <c r="I227" s="4"/>
      <c r="J227" s="4"/>
      <c r="K227" s="4"/>
      <c r="L227" s="4"/>
      <c r="M227" s="4"/>
      <c r="N227" s="4"/>
      <c r="O227" s="9">
        <f t="shared" si="486"/>
        <v>0</v>
      </c>
      <c r="P227" s="20"/>
      <c r="Q227" s="20"/>
      <c r="R227" s="20">
        <v>227000</v>
      </c>
      <c r="S227" s="20">
        <v>344000</v>
      </c>
      <c r="T227" s="20">
        <f>500500+112000</f>
        <v>612500</v>
      </c>
      <c r="U227" s="20">
        <f>692500+138600+69300</f>
        <v>900400</v>
      </c>
      <c r="V227" s="20">
        <v>1168250</v>
      </c>
      <c r="W227" s="20">
        <v>1474800</v>
      </c>
      <c r="X227" s="174">
        <v>1139750</v>
      </c>
      <c r="Y227" s="21">
        <f t="shared" si="487"/>
        <v>5866700</v>
      </c>
      <c r="Z227" s="25"/>
      <c r="AA227" s="20"/>
      <c r="AB227" s="20"/>
      <c r="AC227" s="20"/>
      <c r="AD227" s="20"/>
      <c r="AE227" s="20"/>
      <c r="AF227" s="21">
        <f t="shared" si="488"/>
        <v>0</v>
      </c>
      <c r="AG227" s="20"/>
      <c r="AH227" s="20"/>
      <c r="AI227" s="20"/>
      <c r="AJ227" s="20"/>
      <c r="AK227" s="20"/>
      <c r="AL227" s="20"/>
      <c r="AM227" s="20"/>
      <c r="AN227" s="20"/>
      <c r="AO227" s="20"/>
      <c r="AP227" s="9">
        <f t="shared" si="489"/>
        <v>0</v>
      </c>
      <c r="AQ227" s="4"/>
      <c r="AR227" s="4"/>
      <c r="AS227" s="4"/>
      <c r="AT227" s="4"/>
      <c r="AU227" s="4"/>
      <c r="AV227" s="4"/>
      <c r="AW227" s="4"/>
      <c r="AX227" s="4"/>
      <c r="AY227" s="4"/>
      <c r="AZ227" s="9">
        <f t="shared" si="490"/>
        <v>0</v>
      </c>
      <c r="BA227" s="25"/>
      <c r="BB227" s="20"/>
      <c r="BC227" s="20"/>
      <c r="BD227" s="20"/>
      <c r="BE227" s="20"/>
      <c r="BF227" s="20"/>
      <c r="BG227" s="21">
        <f t="shared" si="491"/>
        <v>0</v>
      </c>
      <c r="BH227" s="25"/>
      <c r="BI227" s="25"/>
      <c r="BJ227" s="25"/>
      <c r="BK227" s="25"/>
      <c r="BL227" s="20"/>
      <c r="BM227" s="20"/>
      <c r="BN227" s="20"/>
      <c r="BO227" s="20"/>
      <c r="BP227" s="20"/>
      <c r="BQ227" s="21">
        <f t="shared" si="492"/>
        <v>0</v>
      </c>
      <c r="BR227" s="4">
        <f t="shared" si="493"/>
        <v>0</v>
      </c>
      <c r="BS227" s="4">
        <f t="shared" si="494"/>
        <v>0</v>
      </c>
      <c r="BT227" s="4">
        <f t="shared" si="495"/>
        <v>227000</v>
      </c>
      <c r="BU227" s="4">
        <f t="shared" si="496"/>
        <v>344000</v>
      </c>
      <c r="BV227" s="94">
        <f t="shared" si="497"/>
        <v>612500</v>
      </c>
      <c r="BW227" s="94">
        <f t="shared" si="498"/>
        <v>900400</v>
      </c>
      <c r="BX227" s="94">
        <f t="shared" si="499"/>
        <v>1168250</v>
      </c>
      <c r="BY227" s="94">
        <f t="shared" si="500"/>
        <v>1474800</v>
      </c>
      <c r="BZ227" s="94">
        <f t="shared" si="501"/>
        <v>1139750</v>
      </c>
      <c r="CA227" s="9">
        <f t="shared" si="502"/>
        <v>5866700</v>
      </c>
    </row>
    <row r="228" spans="1:79">
      <c r="A228" s="187"/>
      <c r="B228" s="8">
        <v>13</v>
      </c>
      <c r="C228" s="1" t="s">
        <v>385</v>
      </c>
      <c r="D228" s="4" t="s">
        <v>386</v>
      </c>
      <c r="E228" s="4" t="s">
        <v>23</v>
      </c>
      <c r="F228" s="4"/>
      <c r="G228" s="4">
        <v>155000</v>
      </c>
      <c r="H228" s="4"/>
      <c r="I228" s="4"/>
      <c r="J228" s="4"/>
      <c r="K228" s="4"/>
      <c r="L228" s="4"/>
      <c r="M228" s="4"/>
      <c r="N228" s="4"/>
      <c r="O228" s="9">
        <f t="shared" si="486"/>
        <v>155000</v>
      </c>
      <c r="P228" s="20"/>
      <c r="Q228" s="20"/>
      <c r="R228" s="20"/>
      <c r="S228" s="20"/>
      <c r="T228" s="20"/>
      <c r="U228" s="20"/>
      <c r="V228" s="20"/>
      <c r="W228" s="20"/>
      <c r="X228" s="20"/>
      <c r="Y228" s="21">
        <f t="shared" si="487"/>
        <v>0</v>
      </c>
      <c r="Z228" s="25">
        <v>0</v>
      </c>
      <c r="AA228" s="20"/>
      <c r="AB228" s="20"/>
      <c r="AC228" s="20"/>
      <c r="AD228" s="20"/>
      <c r="AE228" s="20"/>
      <c r="AF228" s="21">
        <f t="shared" si="488"/>
        <v>0</v>
      </c>
      <c r="AG228" s="20"/>
      <c r="AH228" s="20"/>
      <c r="AI228" s="20"/>
      <c r="AJ228" s="20"/>
      <c r="AK228" s="20"/>
      <c r="AL228" s="20"/>
      <c r="AM228" s="20"/>
      <c r="AN228" s="20"/>
      <c r="AO228" s="20"/>
      <c r="AP228" s="9">
        <f t="shared" si="489"/>
        <v>0</v>
      </c>
      <c r="AQ228" s="4"/>
      <c r="AR228" s="4"/>
      <c r="AS228" s="4"/>
      <c r="AT228" s="4"/>
      <c r="AU228" s="4"/>
      <c r="AV228" s="4"/>
      <c r="AW228" s="4"/>
      <c r="AX228" s="4"/>
      <c r="AY228" s="4"/>
      <c r="AZ228" s="9">
        <f t="shared" si="490"/>
        <v>0</v>
      </c>
      <c r="BA228" s="25"/>
      <c r="BB228" s="20"/>
      <c r="BC228" s="20"/>
      <c r="BD228" s="20"/>
      <c r="BE228" s="20"/>
      <c r="BF228" s="20"/>
      <c r="BG228" s="21">
        <f t="shared" si="491"/>
        <v>0</v>
      </c>
      <c r="BH228" s="25"/>
      <c r="BI228" s="25"/>
      <c r="BJ228" s="25"/>
      <c r="BK228" s="25"/>
      <c r="BL228" s="20"/>
      <c r="BM228" s="20"/>
      <c r="BN228" s="20"/>
      <c r="BO228" s="20"/>
      <c r="BP228" s="20"/>
      <c r="BQ228" s="21">
        <f t="shared" si="492"/>
        <v>0</v>
      </c>
      <c r="BR228" s="4">
        <f t="shared" si="493"/>
        <v>0</v>
      </c>
      <c r="BS228" s="4">
        <f t="shared" si="494"/>
        <v>155000</v>
      </c>
      <c r="BT228" s="4">
        <f t="shared" si="495"/>
        <v>0</v>
      </c>
      <c r="BU228" s="4">
        <f t="shared" si="496"/>
        <v>0</v>
      </c>
      <c r="BV228" s="94">
        <f t="shared" si="497"/>
        <v>0</v>
      </c>
      <c r="BW228" s="94">
        <f t="shared" si="498"/>
        <v>0</v>
      </c>
      <c r="BX228" s="94">
        <f t="shared" si="499"/>
        <v>0</v>
      </c>
      <c r="BY228" s="94">
        <f t="shared" si="500"/>
        <v>0</v>
      </c>
      <c r="BZ228" s="94">
        <f t="shared" si="501"/>
        <v>0</v>
      </c>
      <c r="CA228" s="9">
        <f t="shared" si="502"/>
        <v>155000</v>
      </c>
    </row>
    <row r="229" spans="1:79" s="38" customFormat="1">
      <c r="A229" s="34"/>
      <c r="B229" s="34"/>
      <c r="C229" s="35" t="s">
        <v>387</v>
      </c>
      <c r="D229" s="37"/>
      <c r="E229" s="37"/>
      <c r="F229" s="37">
        <f>SUM(F216:F228)</f>
        <v>155000</v>
      </c>
      <c r="G229" s="37">
        <f t="shared" ref="G229:BV229" si="503">SUM(G216:G228)</f>
        <v>3068447</v>
      </c>
      <c r="H229" s="37">
        <f t="shared" si="503"/>
        <v>3114500</v>
      </c>
      <c r="I229" s="37">
        <f t="shared" si="503"/>
        <v>1622500</v>
      </c>
      <c r="J229" s="37">
        <f t="shared" si="503"/>
        <v>3446000</v>
      </c>
      <c r="K229" s="37">
        <f t="shared" si="503"/>
        <v>3461116</v>
      </c>
      <c r="L229" s="37">
        <f t="shared" si="503"/>
        <v>3287145</v>
      </c>
      <c r="M229" s="37">
        <f t="shared" si="503"/>
        <v>3185000</v>
      </c>
      <c r="N229" s="37">
        <f t="shared" si="503"/>
        <v>2502000</v>
      </c>
      <c r="O229" s="37">
        <f t="shared" si="503"/>
        <v>23841708</v>
      </c>
      <c r="P229" s="37">
        <f t="shared" ref="P229:AP229" si="504">SUM(P216:P228)</f>
        <v>195000</v>
      </c>
      <c r="Q229" s="37">
        <f t="shared" si="504"/>
        <v>3131550</v>
      </c>
      <c r="R229" s="37">
        <f t="shared" si="504"/>
        <v>3591300</v>
      </c>
      <c r="S229" s="37">
        <f t="shared" si="504"/>
        <v>1146000</v>
      </c>
      <c r="T229" s="37">
        <f t="shared" si="504"/>
        <v>1242500</v>
      </c>
      <c r="U229" s="37">
        <f t="shared" si="504"/>
        <v>900400</v>
      </c>
      <c r="V229" s="37">
        <f t="shared" si="504"/>
        <v>1168250</v>
      </c>
      <c r="W229" s="37">
        <f t="shared" si="504"/>
        <v>1474800</v>
      </c>
      <c r="X229" s="37">
        <f t="shared" si="504"/>
        <v>1139750</v>
      </c>
      <c r="Y229" s="37">
        <f t="shared" si="504"/>
        <v>13989550</v>
      </c>
      <c r="Z229" s="37">
        <f t="shared" si="504"/>
        <v>2571500</v>
      </c>
      <c r="AA229" s="37">
        <f t="shared" si="504"/>
        <v>8873000</v>
      </c>
      <c r="AB229" s="37">
        <f t="shared" si="504"/>
        <v>9137082</v>
      </c>
      <c r="AC229" s="37">
        <f t="shared" si="504"/>
        <v>7860850</v>
      </c>
      <c r="AD229" s="37">
        <f t="shared" si="504"/>
        <v>8871200</v>
      </c>
      <c r="AE229" s="37">
        <f t="shared" si="504"/>
        <v>6234800</v>
      </c>
      <c r="AF229" s="37">
        <f t="shared" si="504"/>
        <v>43548432</v>
      </c>
      <c r="AG229" s="37">
        <f t="shared" si="504"/>
        <v>0</v>
      </c>
      <c r="AH229" s="37">
        <f t="shared" si="504"/>
        <v>0</v>
      </c>
      <c r="AI229" s="37">
        <f t="shared" si="504"/>
        <v>290000</v>
      </c>
      <c r="AJ229" s="37">
        <f t="shared" si="504"/>
        <v>0</v>
      </c>
      <c r="AK229" s="37">
        <f t="shared" si="504"/>
        <v>0</v>
      </c>
      <c r="AL229" s="37">
        <f t="shared" si="504"/>
        <v>0</v>
      </c>
      <c r="AM229" s="37">
        <f t="shared" si="504"/>
        <v>0</v>
      </c>
      <c r="AN229" s="37">
        <f t="shared" si="504"/>
        <v>0</v>
      </c>
      <c r="AO229" s="37">
        <f t="shared" si="504"/>
        <v>0</v>
      </c>
      <c r="AP229" s="37">
        <f t="shared" si="504"/>
        <v>290000</v>
      </c>
      <c r="AQ229" s="37">
        <f t="shared" si="503"/>
        <v>290000</v>
      </c>
      <c r="AR229" s="37">
        <f t="shared" si="503"/>
        <v>1270000</v>
      </c>
      <c r="AS229" s="37">
        <f t="shared" si="503"/>
        <v>850000</v>
      </c>
      <c r="AT229" s="37">
        <f t="shared" si="503"/>
        <v>835000</v>
      </c>
      <c r="AU229" s="37">
        <f t="shared" si="503"/>
        <v>910000</v>
      </c>
      <c r="AV229" s="37">
        <f t="shared" si="503"/>
        <v>1755000</v>
      </c>
      <c r="AW229" s="37">
        <f t="shared" si="503"/>
        <v>1540000</v>
      </c>
      <c r="AX229" s="37">
        <f t="shared" si="503"/>
        <v>1260000</v>
      </c>
      <c r="AY229" s="37">
        <f t="shared" si="503"/>
        <v>1580000</v>
      </c>
      <c r="AZ229" s="37">
        <f t="shared" si="503"/>
        <v>10290000</v>
      </c>
      <c r="BA229" s="37">
        <f t="shared" si="503"/>
        <v>0</v>
      </c>
      <c r="BB229" s="37">
        <f t="shared" si="503"/>
        <v>0</v>
      </c>
      <c r="BC229" s="37">
        <f t="shared" si="503"/>
        <v>0</v>
      </c>
      <c r="BD229" s="37">
        <f t="shared" si="503"/>
        <v>0</v>
      </c>
      <c r="BE229" s="37">
        <f t="shared" si="503"/>
        <v>0</v>
      </c>
      <c r="BF229" s="37">
        <f t="shared" si="503"/>
        <v>0</v>
      </c>
      <c r="BG229" s="37">
        <f t="shared" si="503"/>
        <v>0</v>
      </c>
      <c r="BH229" s="37">
        <f t="shared" si="503"/>
        <v>0</v>
      </c>
      <c r="BI229" s="37">
        <f t="shared" si="503"/>
        <v>400000</v>
      </c>
      <c r="BJ229" s="37">
        <f t="shared" si="503"/>
        <v>1687600</v>
      </c>
      <c r="BK229" s="37">
        <f t="shared" si="503"/>
        <v>270000</v>
      </c>
      <c r="BL229" s="37">
        <f t="shared" si="503"/>
        <v>0</v>
      </c>
      <c r="BM229" s="37">
        <f t="shared" si="503"/>
        <v>0</v>
      </c>
      <c r="BN229" s="37">
        <f t="shared" si="503"/>
        <v>0</v>
      </c>
      <c r="BO229" s="37">
        <f t="shared" si="503"/>
        <v>0</v>
      </c>
      <c r="BP229" s="37">
        <f t="shared" si="503"/>
        <v>0</v>
      </c>
      <c r="BQ229" s="37">
        <f t="shared" si="503"/>
        <v>2357600</v>
      </c>
      <c r="BR229" s="37">
        <f t="shared" si="503"/>
        <v>640000</v>
      </c>
      <c r="BS229" s="37">
        <f t="shared" si="503"/>
        <v>7869997</v>
      </c>
      <c r="BT229" s="37">
        <f t="shared" si="503"/>
        <v>9533400</v>
      </c>
      <c r="BU229" s="37">
        <f t="shared" si="503"/>
        <v>6445000</v>
      </c>
      <c r="BV229" s="37">
        <f t="shared" si="503"/>
        <v>14471500</v>
      </c>
      <c r="BW229" s="144">
        <f>SUM(BW216:BW228)</f>
        <v>15253598</v>
      </c>
      <c r="BX229" s="37">
        <f t="shared" ref="BX229:BY229" si="505">SUM(BX216:BX228)</f>
        <v>13856245</v>
      </c>
      <c r="BY229" s="37">
        <f t="shared" si="505"/>
        <v>14791000</v>
      </c>
      <c r="BZ229" s="144">
        <f>SUM(BZ216:BZ228)</f>
        <v>11456550</v>
      </c>
      <c r="CA229" s="37">
        <f>SUM(CA216:CA228)</f>
        <v>94317290</v>
      </c>
    </row>
    <row r="230" spans="1:79" s="14" customFormat="1">
      <c r="A230" s="65"/>
      <c r="B230" s="86"/>
      <c r="C230" s="66"/>
      <c r="D230" s="67"/>
      <c r="E230" s="67"/>
      <c r="F230" s="67"/>
      <c r="G230" s="67"/>
      <c r="H230" s="68"/>
      <c r="I230" s="67"/>
      <c r="J230" s="67"/>
      <c r="K230" s="67"/>
      <c r="L230" s="67"/>
      <c r="M230" s="67"/>
      <c r="N230" s="67"/>
      <c r="O230" s="67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95"/>
      <c r="BW230" s="95"/>
      <c r="BX230" s="95"/>
      <c r="BY230" s="95"/>
      <c r="BZ230" s="95"/>
      <c r="CA230" s="172"/>
    </row>
    <row r="231" spans="1:79" s="16" customFormat="1" ht="16.5" thickBot="1">
      <c r="A231" s="15"/>
      <c r="B231" s="87"/>
      <c r="C231" s="19" t="s">
        <v>63</v>
      </c>
      <c r="D231" s="15"/>
      <c r="E231" s="15"/>
      <c r="F231" s="15">
        <f t="shared" ref="F231:BX231" si="506">F16+F21+F27+F30+F35+F45+F54+F63+F68+F72+F74+F85+F87+F119+F124+F128+F130+F132+F149+F152+F154+F160+F169+F175+F213+F215+F229</f>
        <v>5115000</v>
      </c>
      <c r="G231" s="15">
        <f t="shared" si="506"/>
        <v>31213052</v>
      </c>
      <c r="H231" s="15">
        <f t="shared" si="506"/>
        <v>33449181</v>
      </c>
      <c r="I231" s="15">
        <f t="shared" si="506"/>
        <v>16926000</v>
      </c>
      <c r="J231" s="15">
        <f t="shared" si="506"/>
        <v>12376000</v>
      </c>
      <c r="K231" s="15">
        <f t="shared" si="506"/>
        <v>15406301</v>
      </c>
      <c r="L231" s="15">
        <f t="shared" si="506"/>
        <v>15250735</v>
      </c>
      <c r="M231" s="15">
        <f t="shared" si="506"/>
        <v>18431611</v>
      </c>
      <c r="N231" s="15">
        <f t="shared" si="506"/>
        <v>13214000</v>
      </c>
      <c r="O231" s="15">
        <f t="shared" si="506"/>
        <v>161381880</v>
      </c>
      <c r="P231" s="15">
        <f t="shared" ref="P231:AP231" si="507">P16+P21+P27+P30+P35+P45+P54+P63+P68+P72+P74+P85+P87+P119+P124+P128+P130+P132+P149+P152+P154+P160+P169+P175+P213+P215+P229</f>
        <v>5265000</v>
      </c>
      <c r="Q231" s="15">
        <f t="shared" si="507"/>
        <v>62724231</v>
      </c>
      <c r="R231" s="15">
        <f t="shared" si="507"/>
        <v>47459700</v>
      </c>
      <c r="S231" s="15">
        <f t="shared" si="507"/>
        <v>28552500</v>
      </c>
      <c r="T231" s="15">
        <f t="shared" si="507"/>
        <v>19982000</v>
      </c>
      <c r="U231" s="15">
        <f t="shared" si="507"/>
        <v>26529856</v>
      </c>
      <c r="V231" s="15">
        <f t="shared" si="507"/>
        <v>33952208</v>
      </c>
      <c r="W231" s="15">
        <f t="shared" si="507"/>
        <v>36515250</v>
      </c>
      <c r="X231" s="15">
        <f t="shared" si="507"/>
        <v>23840350</v>
      </c>
      <c r="Y231" s="15">
        <f t="shared" si="507"/>
        <v>284821095</v>
      </c>
      <c r="Z231" s="15">
        <f t="shared" si="507"/>
        <v>29535500</v>
      </c>
      <c r="AA231" s="15">
        <f t="shared" si="507"/>
        <v>42111500</v>
      </c>
      <c r="AB231" s="15">
        <f t="shared" si="507"/>
        <v>57648170</v>
      </c>
      <c r="AC231" s="15">
        <f t="shared" si="507"/>
        <v>57947176</v>
      </c>
      <c r="AD231" s="15">
        <f t="shared" si="507"/>
        <v>58399100</v>
      </c>
      <c r="AE231" s="15">
        <f t="shared" si="507"/>
        <v>41250200</v>
      </c>
      <c r="AF231" s="15">
        <f t="shared" si="507"/>
        <v>286891646</v>
      </c>
      <c r="AG231" s="15">
        <f t="shared" si="507"/>
        <v>4060000</v>
      </c>
      <c r="AH231" s="15">
        <f t="shared" si="507"/>
        <v>24874479</v>
      </c>
      <c r="AI231" s="15">
        <f t="shared" si="507"/>
        <v>30501935</v>
      </c>
      <c r="AJ231" s="15">
        <f t="shared" si="507"/>
        <v>11338000</v>
      </c>
      <c r="AK231" s="15">
        <f t="shared" si="507"/>
        <v>7805000</v>
      </c>
      <c r="AL231" s="15">
        <f t="shared" si="507"/>
        <v>12869000</v>
      </c>
      <c r="AM231" s="15">
        <f t="shared" si="507"/>
        <v>15301000</v>
      </c>
      <c r="AN231" s="15">
        <f t="shared" si="507"/>
        <v>18083000</v>
      </c>
      <c r="AO231" s="15">
        <f t="shared" si="507"/>
        <v>11816000</v>
      </c>
      <c r="AP231" s="15">
        <f t="shared" si="507"/>
        <v>136648414</v>
      </c>
      <c r="AQ231" s="15">
        <f t="shared" si="506"/>
        <v>3480000</v>
      </c>
      <c r="AR231" s="15">
        <f t="shared" si="506"/>
        <v>36620000</v>
      </c>
      <c r="AS231" s="15">
        <f t="shared" si="506"/>
        <v>40371999</v>
      </c>
      <c r="AT231" s="15">
        <f t="shared" si="506"/>
        <v>18123500</v>
      </c>
      <c r="AU231" s="15">
        <f t="shared" si="506"/>
        <v>13675000</v>
      </c>
      <c r="AV231" s="15">
        <f t="shared" si="506"/>
        <v>31550000</v>
      </c>
      <c r="AW231" s="15">
        <f t="shared" si="506"/>
        <v>37320000</v>
      </c>
      <c r="AX231" s="15">
        <f t="shared" si="506"/>
        <v>38700000</v>
      </c>
      <c r="AY231" s="15">
        <f t="shared" si="506"/>
        <v>26560000</v>
      </c>
      <c r="AZ231" s="15">
        <f t="shared" si="506"/>
        <v>246400499</v>
      </c>
      <c r="BA231" s="15">
        <f t="shared" si="506"/>
        <v>7090000</v>
      </c>
      <c r="BB231" s="15">
        <f t="shared" si="506"/>
        <v>13055000</v>
      </c>
      <c r="BC231" s="15">
        <f t="shared" si="506"/>
        <v>23552500</v>
      </c>
      <c r="BD231" s="15">
        <f t="shared" si="506"/>
        <v>29248000</v>
      </c>
      <c r="BE231" s="15">
        <f t="shared" si="506"/>
        <v>34671500</v>
      </c>
      <c r="BF231" s="15">
        <f t="shared" si="506"/>
        <v>23205000</v>
      </c>
      <c r="BG231" s="15">
        <f t="shared" si="506"/>
        <v>130822000</v>
      </c>
      <c r="BH231" s="15">
        <f t="shared" si="506"/>
        <v>0</v>
      </c>
      <c r="BI231" s="15">
        <f t="shared" si="506"/>
        <v>4682000</v>
      </c>
      <c r="BJ231" s="15">
        <f t="shared" si="506"/>
        <v>11835750</v>
      </c>
      <c r="BK231" s="15">
        <f t="shared" si="506"/>
        <v>1463000</v>
      </c>
      <c r="BL231" s="15">
        <f t="shared" si="506"/>
        <v>0</v>
      </c>
      <c r="BM231" s="15">
        <f t="shared" si="506"/>
        <v>0</v>
      </c>
      <c r="BN231" s="15">
        <f t="shared" si="506"/>
        <v>266800</v>
      </c>
      <c r="BO231" s="15">
        <f t="shared" si="506"/>
        <v>0</v>
      </c>
      <c r="BP231" s="15">
        <f t="shared" si="506"/>
        <v>0</v>
      </c>
      <c r="BQ231" s="15">
        <f t="shared" si="506"/>
        <v>18247550</v>
      </c>
      <c r="BR231" s="15">
        <f t="shared" si="506"/>
        <v>17920000</v>
      </c>
      <c r="BS231" s="15">
        <f t="shared" si="506"/>
        <v>160113762</v>
      </c>
      <c r="BT231" s="15">
        <f t="shared" si="506"/>
        <v>163618565</v>
      </c>
      <c r="BU231" s="15">
        <f t="shared" si="506"/>
        <v>113028500</v>
      </c>
      <c r="BV231" s="15">
        <f t="shared" si="506"/>
        <v>109004500</v>
      </c>
      <c r="BW231" s="15">
        <f t="shared" si="506"/>
        <v>169987827</v>
      </c>
      <c r="BX231" s="15">
        <f t="shared" si="506"/>
        <v>189285919</v>
      </c>
      <c r="BY231" s="15">
        <f t="shared" ref="BY231:CA231" si="508">BY16+BY21+BY27+BY30+BY35+BY45+BY54+BY63+BY68+BY72+BY74+BY85+BY87+BY119+BY124+BY128+BY130+BY132+BY149+BY152+BY154+BY160+BY169+BY175+BY213+BY215+BY229</f>
        <v>198533461</v>
      </c>
      <c r="BZ231" s="15">
        <f>BZ16+BZ21+BZ27+BZ30+BZ35+BZ45+BZ54+BZ63+BZ68+BZ72+BZ74+BZ85+BZ87+BZ119+BZ124+BZ128+BZ130+BZ132+BZ149+BZ152+BZ154+BZ160+BZ169+BZ175+BZ213+BZ215+BZ229</f>
        <v>139885550</v>
      </c>
      <c r="CA231" s="15">
        <f t="shared" si="508"/>
        <v>1261378084</v>
      </c>
    </row>
    <row r="232" spans="1:79" s="136" customFormat="1" ht="16.5" thickTop="1">
      <c r="A232" s="137"/>
      <c r="B232" s="138"/>
      <c r="C232" s="135" t="s">
        <v>479</v>
      </c>
      <c r="D232" s="137"/>
      <c r="E232" s="137"/>
      <c r="F232" s="137">
        <v>0</v>
      </c>
      <c r="G232" s="137">
        <v>0</v>
      </c>
      <c r="H232" s="137">
        <v>0</v>
      </c>
      <c r="I232" s="137">
        <v>0</v>
      </c>
      <c r="J232" s="137">
        <v>0</v>
      </c>
      <c r="K232" s="137">
        <v>5475198</v>
      </c>
      <c r="L232" s="137">
        <v>0</v>
      </c>
      <c r="M232" s="137">
        <v>0</v>
      </c>
      <c r="N232" s="137">
        <v>0</v>
      </c>
      <c r="O232" s="137">
        <f>SUM(F232:L232)</f>
        <v>5475198</v>
      </c>
      <c r="P232" s="137">
        <v>0</v>
      </c>
      <c r="Q232" s="137">
        <v>0</v>
      </c>
      <c r="R232" s="137">
        <v>0</v>
      </c>
      <c r="S232" s="137">
        <v>0</v>
      </c>
      <c r="T232" s="137">
        <v>0</v>
      </c>
      <c r="U232" s="137">
        <v>8231288</v>
      </c>
      <c r="V232" s="137">
        <v>0</v>
      </c>
      <c r="W232" s="137">
        <v>0</v>
      </c>
      <c r="X232" s="137">
        <v>0</v>
      </c>
      <c r="Y232" s="137">
        <f>SUM(P232:V232)</f>
        <v>8231288</v>
      </c>
      <c r="Z232" s="137">
        <v>0</v>
      </c>
      <c r="AA232" s="137">
        <v>0</v>
      </c>
      <c r="AB232" s="137">
        <v>13759935</v>
      </c>
      <c r="AC232" s="137">
        <v>0</v>
      </c>
      <c r="AD232" s="137">
        <v>0</v>
      </c>
      <c r="AE232" s="137">
        <v>0</v>
      </c>
      <c r="AF232" s="137">
        <f>SUM(Z232:AC232)</f>
        <v>13759935</v>
      </c>
      <c r="AG232" s="137">
        <v>0</v>
      </c>
      <c r="AH232" s="137">
        <v>0</v>
      </c>
      <c r="AI232" s="137">
        <v>0</v>
      </c>
      <c r="AJ232" s="137">
        <v>0</v>
      </c>
      <c r="AK232" s="137">
        <v>0</v>
      </c>
      <c r="AL232" s="137">
        <v>593847</v>
      </c>
      <c r="AM232" s="137">
        <v>0</v>
      </c>
      <c r="AN232" s="137">
        <v>0</v>
      </c>
      <c r="AO232" s="137">
        <v>0</v>
      </c>
      <c r="AP232" s="137">
        <f>SUM(AG232:AM232)</f>
        <v>593847</v>
      </c>
      <c r="AQ232" s="137">
        <v>0</v>
      </c>
      <c r="AR232" s="137">
        <v>0</v>
      </c>
      <c r="AS232" s="137">
        <v>0</v>
      </c>
      <c r="AT232" s="137">
        <v>0</v>
      </c>
      <c r="AU232" s="137">
        <v>0</v>
      </c>
      <c r="AV232" s="137">
        <v>702778</v>
      </c>
      <c r="AW232" s="137">
        <v>0</v>
      </c>
      <c r="AX232" s="137">
        <v>0</v>
      </c>
      <c r="AY232" s="137">
        <v>0</v>
      </c>
      <c r="AZ232" s="137">
        <f>SUM(AQ232:AW232)</f>
        <v>702778</v>
      </c>
      <c r="BA232" s="137">
        <v>0</v>
      </c>
      <c r="BB232" s="137">
        <v>0</v>
      </c>
      <c r="BC232" s="137">
        <v>671559</v>
      </c>
      <c r="BD232" s="137">
        <v>0</v>
      </c>
      <c r="BE232" s="137">
        <v>0</v>
      </c>
      <c r="BF232" s="137">
        <v>0</v>
      </c>
      <c r="BG232" s="137">
        <f>SUM(BA232:BD232)</f>
        <v>671559</v>
      </c>
      <c r="BH232" s="137">
        <v>0</v>
      </c>
      <c r="BI232" s="137">
        <v>0</v>
      </c>
      <c r="BJ232" s="137">
        <v>0</v>
      </c>
      <c r="BK232" s="137">
        <v>0</v>
      </c>
      <c r="BL232" s="137">
        <v>0</v>
      </c>
      <c r="BM232" s="137">
        <v>0</v>
      </c>
      <c r="BN232" s="137">
        <v>0</v>
      </c>
      <c r="BO232" s="137">
        <v>0</v>
      </c>
      <c r="BP232" s="137">
        <v>0</v>
      </c>
      <c r="BQ232" s="137">
        <f>SUM(BH232:BN232)</f>
        <v>0</v>
      </c>
      <c r="BR232" s="137">
        <f>F232+P232+AG232+AQ232+BH232</f>
        <v>0</v>
      </c>
      <c r="BS232" s="137">
        <f>G232+Q232+AH232+AR232+BI232</f>
        <v>0</v>
      </c>
      <c r="BT232" s="137">
        <f>H232+R232+AI232+AS232+BJ232</f>
        <v>0</v>
      </c>
      <c r="BU232" s="137">
        <f>I232+S232+Z232+AJ232+AT232+BA232+BK232</f>
        <v>0</v>
      </c>
      <c r="BV232" s="137">
        <f>J232+T232+AA232+AK232+AU232+BB232+BL232</f>
        <v>0</v>
      </c>
      <c r="BW232" s="137">
        <f>K232+U232+AB232+AM232+AV232+BC232+BM232</f>
        <v>28840758</v>
      </c>
      <c r="BX232" s="137">
        <f>L232+V232+AC232+AM232+AW232+BD232+BN232</f>
        <v>0</v>
      </c>
      <c r="BY232" s="137">
        <f>M232+W232+AD232+AO232+AX232+BE232+BO232</f>
        <v>0</v>
      </c>
      <c r="BZ232" s="137">
        <f>N232+X232+AE232+AO232+AY232+BF232+BP232</f>
        <v>0</v>
      </c>
      <c r="CA232" s="137">
        <f>SUM(BR232:BY232)</f>
        <v>28840758</v>
      </c>
    </row>
    <row r="233" spans="1:79" s="16" customFormat="1" ht="16.5" thickBot="1">
      <c r="A233" s="132"/>
      <c r="B233" s="133"/>
      <c r="C233" s="134"/>
      <c r="D233" s="132"/>
      <c r="E233" s="132"/>
      <c r="F233" s="132">
        <f t="shared" ref="F233:J233" si="509">F231+F232</f>
        <v>5115000</v>
      </c>
      <c r="G233" s="132">
        <f t="shared" si="509"/>
        <v>31213052</v>
      </c>
      <c r="H233" s="132">
        <f t="shared" si="509"/>
        <v>33449181</v>
      </c>
      <c r="I233" s="132">
        <f t="shared" si="509"/>
        <v>16926000</v>
      </c>
      <c r="J233" s="132">
        <f t="shared" si="509"/>
        <v>12376000</v>
      </c>
      <c r="K233" s="132">
        <f>K231+K232</f>
        <v>20881499</v>
      </c>
      <c r="L233" s="132">
        <f>L231+L232</f>
        <v>15250735</v>
      </c>
      <c r="M233" s="132">
        <f>M231+M232</f>
        <v>18431611</v>
      </c>
      <c r="N233" s="132">
        <f>N231+N232</f>
        <v>13214000</v>
      </c>
      <c r="O233" s="132">
        <f t="shared" ref="O233:AZ233" si="510">O231+O232</f>
        <v>166857078</v>
      </c>
      <c r="P233" s="132">
        <f t="shared" ref="P233:X233" si="511">P231+P232</f>
        <v>5265000</v>
      </c>
      <c r="Q233" s="132">
        <f t="shared" si="511"/>
        <v>62724231</v>
      </c>
      <c r="R233" s="132">
        <f t="shared" si="511"/>
        <v>47459700</v>
      </c>
      <c r="S233" s="132">
        <f t="shared" si="511"/>
        <v>28552500</v>
      </c>
      <c r="T233" s="132">
        <f t="shared" si="511"/>
        <v>19982000</v>
      </c>
      <c r="U233" s="132">
        <f t="shared" si="511"/>
        <v>34761144</v>
      </c>
      <c r="V233" s="132">
        <f t="shared" si="511"/>
        <v>33952208</v>
      </c>
      <c r="W233" s="132">
        <f t="shared" si="511"/>
        <v>36515250</v>
      </c>
      <c r="X233" s="132">
        <f t="shared" si="511"/>
        <v>23840350</v>
      </c>
      <c r="Y233" s="132">
        <f>Y231+Y232</f>
        <v>293052383</v>
      </c>
      <c r="Z233" s="132">
        <f t="shared" ref="Z233:AP233" si="512">Z231+Z232</f>
        <v>29535500</v>
      </c>
      <c r="AA233" s="132">
        <f t="shared" si="512"/>
        <v>42111500</v>
      </c>
      <c r="AB233" s="132">
        <f t="shared" si="512"/>
        <v>71408105</v>
      </c>
      <c r="AC233" s="132">
        <f t="shared" si="512"/>
        <v>57947176</v>
      </c>
      <c r="AD233" s="132">
        <f t="shared" si="512"/>
        <v>58399100</v>
      </c>
      <c r="AE233" s="132">
        <f t="shared" si="512"/>
        <v>41250200</v>
      </c>
      <c r="AF233" s="132">
        <f t="shared" si="512"/>
        <v>300651581</v>
      </c>
      <c r="AG233" s="132">
        <f t="shared" si="512"/>
        <v>4060000</v>
      </c>
      <c r="AH233" s="132">
        <f t="shared" si="512"/>
        <v>24874479</v>
      </c>
      <c r="AI233" s="132">
        <f t="shared" si="512"/>
        <v>30501935</v>
      </c>
      <c r="AJ233" s="132">
        <f t="shared" si="512"/>
        <v>11338000</v>
      </c>
      <c r="AK233" s="132">
        <f t="shared" si="512"/>
        <v>7805000</v>
      </c>
      <c r="AL233" s="132">
        <f t="shared" si="512"/>
        <v>13462847</v>
      </c>
      <c r="AM233" s="132">
        <f t="shared" si="512"/>
        <v>15301000</v>
      </c>
      <c r="AN233" s="132">
        <f t="shared" si="512"/>
        <v>18083000</v>
      </c>
      <c r="AO233" s="132">
        <f t="shared" si="512"/>
        <v>11816000</v>
      </c>
      <c r="AP233" s="132">
        <f t="shared" si="512"/>
        <v>137242261</v>
      </c>
      <c r="AQ233" s="132">
        <f t="shared" si="510"/>
        <v>3480000</v>
      </c>
      <c r="AR233" s="132">
        <f t="shared" si="510"/>
        <v>36620000</v>
      </c>
      <c r="AS233" s="132">
        <f t="shared" si="510"/>
        <v>40371999</v>
      </c>
      <c r="AT233" s="132">
        <f t="shared" si="510"/>
        <v>18123500</v>
      </c>
      <c r="AU233" s="132">
        <f t="shared" si="510"/>
        <v>13675000</v>
      </c>
      <c r="AV233" s="132">
        <f t="shared" si="510"/>
        <v>32252778</v>
      </c>
      <c r="AW233" s="132">
        <f t="shared" si="510"/>
        <v>37320000</v>
      </c>
      <c r="AX233" s="132">
        <f t="shared" si="510"/>
        <v>38700000</v>
      </c>
      <c r="AY233" s="132">
        <f t="shared" si="510"/>
        <v>26560000</v>
      </c>
      <c r="AZ233" s="132">
        <f t="shared" si="510"/>
        <v>247103277</v>
      </c>
      <c r="BA233" s="132">
        <f t="shared" ref="BA233:BP233" si="513">BA231+BA232</f>
        <v>7090000</v>
      </c>
      <c r="BB233" s="132">
        <f t="shared" si="513"/>
        <v>13055000</v>
      </c>
      <c r="BC233" s="132">
        <f t="shared" si="513"/>
        <v>24224059</v>
      </c>
      <c r="BD233" s="132">
        <f t="shared" si="513"/>
        <v>29248000</v>
      </c>
      <c r="BE233" s="132">
        <f t="shared" si="513"/>
        <v>34671500</v>
      </c>
      <c r="BF233" s="132">
        <f t="shared" si="513"/>
        <v>23205000</v>
      </c>
      <c r="BG233" s="132">
        <f t="shared" si="513"/>
        <v>131493559</v>
      </c>
      <c r="BH233" s="132">
        <f t="shared" si="513"/>
        <v>0</v>
      </c>
      <c r="BI233" s="132">
        <f t="shared" si="513"/>
        <v>4682000</v>
      </c>
      <c r="BJ233" s="132">
        <f t="shared" si="513"/>
        <v>11835750</v>
      </c>
      <c r="BK233" s="132">
        <f t="shared" si="513"/>
        <v>1463000</v>
      </c>
      <c r="BL233" s="132">
        <f t="shared" si="513"/>
        <v>0</v>
      </c>
      <c r="BM233" s="132">
        <f t="shared" si="513"/>
        <v>0</v>
      </c>
      <c r="BN233" s="132">
        <f t="shared" si="513"/>
        <v>266800</v>
      </c>
      <c r="BO233" s="132">
        <f t="shared" si="513"/>
        <v>0</v>
      </c>
      <c r="BP233" s="132">
        <f t="shared" si="513"/>
        <v>0</v>
      </c>
      <c r="BQ233" s="132">
        <f>BQ231+BQ232</f>
        <v>18247550</v>
      </c>
      <c r="BR233" s="132">
        <f t="shared" ref="BR233:CA233" si="514">BR231+BR232</f>
        <v>17920000</v>
      </c>
      <c r="BS233" s="132">
        <f t="shared" si="514"/>
        <v>160113762</v>
      </c>
      <c r="BT233" s="132">
        <f t="shared" si="514"/>
        <v>163618565</v>
      </c>
      <c r="BU233" s="132">
        <f t="shared" si="514"/>
        <v>113028500</v>
      </c>
      <c r="BV233" s="132">
        <f t="shared" si="514"/>
        <v>109004500</v>
      </c>
      <c r="BW233" s="132">
        <f t="shared" si="514"/>
        <v>198828585</v>
      </c>
      <c r="BX233" s="132">
        <f t="shared" si="514"/>
        <v>189285919</v>
      </c>
      <c r="BY233" s="132">
        <f t="shared" si="514"/>
        <v>198533461</v>
      </c>
      <c r="BZ233" s="132">
        <f t="shared" si="514"/>
        <v>139885550</v>
      </c>
      <c r="CA233" s="132">
        <f t="shared" si="514"/>
        <v>1290218842</v>
      </c>
    </row>
    <row r="234" spans="1:79" ht="16.5" thickTop="1">
      <c r="D234" s="183" t="s">
        <v>392</v>
      </c>
      <c r="E234" s="183"/>
      <c r="F234" s="3">
        <v>5115000</v>
      </c>
      <c r="G234" s="3">
        <v>31213052</v>
      </c>
      <c r="H234" s="31">
        <v>33449181</v>
      </c>
      <c r="I234" s="3">
        <v>16926000</v>
      </c>
      <c r="J234" s="3">
        <v>12376000</v>
      </c>
      <c r="K234" s="3">
        <v>20881499</v>
      </c>
      <c r="L234" s="3">
        <v>15250735</v>
      </c>
      <c r="M234" s="3">
        <v>18431611</v>
      </c>
      <c r="N234" s="3">
        <v>13214000</v>
      </c>
      <c r="O234" s="3"/>
      <c r="P234" s="3">
        <v>5265000</v>
      </c>
      <c r="Q234" s="3">
        <v>62724231</v>
      </c>
      <c r="R234" s="3">
        <v>47459700</v>
      </c>
      <c r="S234" s="3">
        <v>28552500</v>
      </c>
      <c r="T234" s="3">
        <v>19982000</v>
      </c>
      <c r="U234" s="3">
        <v>34761144</v>
      </c>
      <c r="V234" s="3">
        <v>33952208</v>
      </c>
      <c r="W234" s="3">
        <v>36515250</v>
      </c>
      <c r="X234" s="3">
        <v>23840350</v>
      </c>
      <c r="Y234" s="3">
        <v>5199650</v>
      </c>
      <c r="Z234" s="3">
        <v>29535500</v>
      </c>
      <c r="AA234" s="3">
        <v>42111500</v>
      </c>
      <c r="AB234" s="3">
        <v>71408105</v>
      </c>
      <c r="AC234" s="3">
        <v>57947176</v>
      </c>
      <c r="AD234" s="3">
        <v>58399100</v>
      </c>
      <c r="AE234" s="3">
        <v>41250200</v>
      </c>
      <c r="AF234" s="3"/>
      <c r="AG234" s="3">
        <v>4060000</v>
      </c>
      <c r="AH234" s="3">
        <v>24874479</v>
      </c>
      <c r="AI234" s="3">
        <v>30501935</v>
      </c>
      <c r="AJ234" s="3">
        <v>11338000</v>
      </c>
      <c r="AK234" s="3">
        <v>7805000</v>
      </c>
      <c r="AL234" s="3">
        <v>13462847</v>
      </c>
      <c r="AM234" s="3">
        <v>15301000</v>
      </c>
      <c r="AN234" s="3">
        <v>18083000</v>
      </c>
      <c r="AO234" s="3">
        <v>11816000</v>
      </c>
      <c r="AQ234" s="3">
        <v>3480000</v>
      </c>
      <c r="AR234" s="3">
        <v>36620000</v>
      </c>
      <c r="AS234" s="3">
        <v>40371999</v>
      </c>
      <c r="AT234" s="3">
        <v>18123500</v>
      </c>
      <c r="AU234" s="3">
        <v>13675000</v>
      </c>
      <c r="AV234" s="3">
        <v>32252778</v>
      </c>
      <c r="AW234" s="3">
        <v>37320000</v>
      </c>
      <c r="AX234" s="3">
        <v>38700000</v>
      </c>
      <c r="AY234" s="3">
        <v>26560000</v>
      </c>
      <c r="BA234" s="3">
        <v>7090000</v>
      </c>
      <c r="BB234" s="3">
        <v>13055000</v>
      </c>
      <c r="BC234" s="3">
        <v>24224059</v>
      </c>
      <c r="BD234" s="3">
        <v>29248000</v>
      </c>
      <c r="BE234" s="3">
        <v>34671500</v>
      </c>
      <c r="BF234" s="3">
        <v>23205000</v>
      </c>
      <c r="BH234" s="3">
        <v>0</v>
      </c>
      <c r="BI234" s="3">
        <v>4682000</v>
      </c>
      <c r="BJ234" s="3">
        <v>11835750</v>
      </c>
      <c r="BK234" s="3">
        <v>1463000</v>
      </c>
      <c r="BL234" s="14">
        <v>0</v>
      </c>
      <c r="BM234" s="14">
        <v>0</v>
      </c>
      <c r="BN234" s="14">
        <v>266800</v>
      </c>
      <c r="BO234" s="14">
        <v>0</v>
      </c>
    </row>
    <row r="235" spans="1:79" ht="31.5">
      <c r="E235" s="74" t="s">
        <v>393</v>
      </c>
      <c r="F235" s="3">
        <f t="shared" ref="F235:N235" si="515">F233-F234</f>
        <v>0</v>
      </c>
      <c r="G235" s="3">
        <f t="shared" si="515"/>
        <v>0</v>
      </c>
      <c r="H235" s="3">
        <f t="shared" si="515"/>
        <v>0</v>
      </c>
      <c r="I235" s="3">
        <f t="shared" si="515"/>
        <v>0</v>
      </c>
      <c r="J235" s="3">
        <f t="shared" si="515"/>
        <v>0</v>
      </c>
      <c r="K235" s="3">
        <f t="shared" si="515"/>
        <v>0</v>
      </c>
      <c r="L235" s="3">
        <f t="shared" si="515"/>
        <v>0</v>
      </c>
      <c r="M235" s="3">
        <f t="shared" si="515"/>
        <v>0</v>
      </c>
      <c r="N235" s="3">
        <f t="shared" si="515"/>
        <v>0</v>
      </c>
      <c r="O235" s="3"/>
      <c r="P235" s="3">
        <f t="shared" ref="P235:X235" si="516">P233-P234</f>
        <v>0</v>
      </c>
      <c r="Q235" s="3">
        <f t="shared" si="516"/>
        <v>0</v>
      </c>
      <c r="R235" s="3">
        <f t="shared" si="516"/>
        <v>0</v>
      </c>
      <c r="S235" s="3">
        <f t="shared" si="516"/>
        <v>0</v>
      </c>
      <c r="T235" s="3">
        <f t="shared" si="516"/>
        <v>0</v>
      </c>
      <c r="U235" s="3">
        <f t="shared" si="516"/>
        <v>0</v>
      </c>
      <c r="V235" s="3">
        <f t="shared" si="516"/>
        <v>0</v>
      </c>
      <c r="W235" s="3">
        <f t="shared" si="516"/>
        <v>0</v>
      </c>
      <c r="X235" s="3">
        <f t="shared" si="516"/>
        <v>0</v>
      </c>
      <c r="Y235" s="3"/>
      <c r="Z235" s="3">
        <f t="shared" ref="Z235:AE235" si="517">Z233-Z234</f>
        <v>0</v>
      </c>
      <c r="AA235" s="3">
        <f t="shared" si="517"/>
        <v>0</v>
      </c>
      <c r="AB235" s="3">
        <f t="shared" si="517"/>
        <v>0</v>
      </c>
      <c r="AC235" s="3">
        <f t="shared" si="517"/>
        <v>0</v>
      </c>
      <c r="AD235" s="3">
        <f t="shared" si="517"/>
        <v>0</v>
      </c>
      <c r="AE235" s="3">
        <f t="shared" si="517"/>
        <v>0</v>
      </c>
      <c r="AF235" s="3"/>
      <c r="AG235" s="3">
        <f t="shared" ref="AG235:AN235" si="518">AG233-AG234</f>
        <v>0</v>
      </c>
      <c r="AH235" s="3">
        <f t="shared" si="518"/>
        <v>0</v>
      </c>
      <c r="AI235" s="3">
        <f t="shared" si="518"/>
        <v>0</v>
      </c>
      <c r="AJ235" s="3">
        <f t="shared" si="518"/>
        <v>0</v>
      </c>
      <c r="AK235" s="3">
        <f t="shared" si="518"/>
        <v>0</v>
      </c>
      <c r="AL235" s="3">
        <f t="shared" si="518"/>
        <v>0</v>
      </c>
      <c r="AM235" s="3">
        <f t="shared" si="518"/>
        <v>0</v>
      </c>
      <c r="AN235" s="3">
        <f t="shared" si="518"/>
        <v>0</v>
      </c>
      <c r="AO235" s="3">
        <f>AO233-AO234</f>
        <v>0</v>
      </c>
      <c r="AP235" s="3"/>
      <c r="AQ235" s="3">
        <f t="shared" ref="AQ235:AX235" si="519">AQ233-AQ234</f>
        <v>0</v>
      </c>
      <c r="AR235" s="3">
        <f t="shared" si="519"/>
        <v>0</v>
      </c>
      <c r="AS235" s="3">
        <f t="shared" si="519"/>
        <v>0</v>
      </c>
      <c r="AT235" s="3">
        <f t="shared" si="519"/>
        <v>0</v>
      </c>
      <c r="AU235" s="3">
        <f t="shared" si="519"/>
        <v>0</v>
      </c>
      <c r="AV235" s="3">
        <f t="shared" si="519"/>
        <v>0</v>
      </c>
      <c r="AW235" s="3">
        <f t="shared" si="519"/>
        <v>0</v>
      </c>
      <c r="AX235" s="3">
        <f t="shared" si="519"/>
        <v>0</v>
      </c>
      <c r="AY235" s="3">
        <f>AY233-AY234</f>
        <v>0</v>
      </c>
      <c r="AZ235" s="3"/>
      <c r="BA235" s="3">
        <f t="shared" ref="BA235:BF235" si="520">BA233-BA234</f>
        <v>0</v>
      </c>
      <c r="BB235" s="3">
        <f t="shared" si="520"/>
        <v>0</v>
      </c>
      <c r="BC235" s="3">
        <f t="shared" si="520"/>
        <v>0</v>
      </c>
      <c r="BD235" s="3">
        <f t="shared" si="520"/>
        <v>0</v>
      </c>
      <c r="BE235" s="3">
        <f t="shared" si="520"/>
        <v>0</v>
      </c>
      <c r="BF235" s="3">
        <f t="shared" si="520"/>
        <v>0</v>
      </c>
      <c r="BG235" s="3"/>
      <c r="BH235" s="3">
        <f t="shared" ref="BH235:BO235" si="521">BH231-BH234</f>
        <v>0</v>
      </c>
      <c r="BI235" s="3">
        <f t="shared" si="521"/>
        <v>0</v>
      </c>
      <c r="BJ235" s="3">
        <f t="shared" si="521"/>
        <v>0</v>
      </c>
      <c r="BK235" s="3">
        <f t="shared" si="521"/>
        <v>0</v>
      </c>
      <c r="BL235" s="3">
        <f t="shared" si="521"/>
        <v>0</v>
      </c>
      <c r="BM235" s="3">
        <f t="shared" si="521"/>
        <v>0</v>
      </c>
      <c r="BN235" s="3">
        <f t="shared" si="521"/>
        <v>0</v>
      </c>
      <c r="BO235" s="3">
        <f t="shared" si="521"/>
        <v>0</v>
      </c>
      <c r="BP235" s="3"/>
      <c r="BQ235" s="3"/>
      <c r="BU235" s="78"/>
      <c r="BV235" s="97"/>
      <c r="BW235" s="97"/>
      <c r="BX235" s="97"/>
      <c r="BY235" s="97"/>
      <c r="BZ235" s="97"/>
      <c r="CA235" s="78"/>
    </row>
    <row r="236" spans="1:79" ht="31.5">
      <c r="A236" s="3"/>
      <c r="B236" s="3"/>
      <c r="C236" s="182" t="s">
        <v>505</v>
      </c>
      <c r="D236" s="182"/>
      <c r="E236" s="88" t="s">
        <v>526</v>
      </c>
      <c r="F236" s="88"/>
      <c r="H236" s="3"/>
      <c r="J236" s="88"/>
      <c r="K236" s="88"/>
      <c r="L236" s="88"/>
      <c r="M236" s="88"/>
      <c r="N236" s="88" t="s">
        <v>526</v>
      </c>
      <c r="O236" s="3"/>
      <c r="T236" s="88"/>
      <c r="U236" s="88"/>
      <c r="V236" s="88"/>
      <c r="W236" s="88"/>
      <c r="X236" s="88" t="s">
        <v>526</v>
      </c>
      <c r="Y236" s="3"/>
      <c r="AA236" s="88"/>
      <c r="AB236" s="88"/>
      <c r="AC236" s="88"/>
      <c r="AD236" s="88"/>
      <c r="AE236" s="88" t="s">
        <v>526</v>
      </c>
      <c r="AF236" s="88"/>
      <c r="AK236" s="88"/>
      <c r="AL236" s="88"/>
      <c r="AM236" s="88"/>
      <c r="AN236" s="88"/>
      <c r="AO236" s="88" t="s">
        <v>526</v>
      </c>
      <c r="AP236" s="3"/>
      <c r="AU236" s="88"/>
      <c r="AV236" s="88"/>
      <c r="AW236" s="88"/>
      <c r="AX236" s="88"/>
      <c r="AY236" s="88" t="s">
        <v>526</v>
      </c>
      <c r="AZ236" s="3"/>
      <c r="BB236" s="88"/>
      <c r="BC236" s="88"/>
      <c r="BD236" s="88"/>
      <c r="BE236" s="88"/>
      <c r="BF236" s="88" t="s">
        <v>526</v>
      </c>
      <c r="BG236" s="78"/>
      <c r="BL236" s="88"/>
      <c r="BM236" s="88"/>
      <c r="BN236" s="88"/>
      <c r="BO236" s="88"/>
      <c r="BP236" s="88" t="s">
        <v>520</v>
      </c>
      <c r="BQ236" s="3"/>
      <c r="BV236" s="88"/>
      <c r="BW236" s="88"/>
      <c r="BX236" s="88"/>
      <c r="BY236" s="88"/>
      <c r="BZ236" s="88"/>
      <c r="CA236" s="88" t="s">
        <v>520</v>
      </c>
    </row>
    <row r="237" spans="1:79" ht="283.5">
      <c r="A237" s="3"/>
      <c r="B237" s="3"/>
      <c r="C237" s="71" t="s">
        <v>390</v>
      </c>
      <c r="G237" s="80" t="s">
        <v>480</v>
      </c>
      <c r="H237" s="79" t="s">
        <v>398</v>
      </c>
      <c r="J237" s="103"/>
      <c r="K237" s="120" t="s">
        <v>462</v>
      </c>
      <c r="Q237" s="81" t="s">
        <v>397</v>
      </c>
      <c r="U237" s="120" t="s">
        <v>463</v>
      </c>
      <c r="AB237" s="120" t="s">
        <v>464</v>
      </c>
      <c r="AG237" s="75"/>
      <c r="AH237" s="75"/>
      <c r="AI237" s="79" t="s">
        <v>398</v>
      </c>
      <c r="AK237" s="75"/>
      <c r="AL237" s="120" t="s">
        <v>467</v>
      </c>
      <c r="AM237" s="75"/>
      <c r="AN237" s="75"/>
      <c r="AO237" s="75"/>
      <c r="AP237" s="75"/>
      <c r="AS237" s="81" t="s">
        <v>437</v>
      </c>
      <c r="AU237" s="79" t="s">
        <v>435</v>
      </c>
      <c r="AV237" s="120" t="s">
        <v>466</v>
      </c>
      <c r="AW237" s="3"/>
      <c r="AX237" s="3"/>
      <c r="AY237" s="3"/>
      <c r="AZ237" s="75"/>
      <c r="BC237" s="120" t="s">
        <v>468</v>
      </c>
      <c r="BI237" s="193"/>
      <c r="BJ237" s="193"/>
      <c r="CA237" s="3"/>
    </row>
    <row r="238" spans="1:79">
      <c r="A238" s="3"/>
      <c r="B238" s="3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R238" s="75"/>
      <c r="AS238" s="75"/>
      <c r="AT238" s="75"/>
      <c r="AU238" s="75"/>
      <c r="AV238" s="75"/>
      <c r="AW238" s="75"/>
      <c r="AX238" s="75"/>
      <c r="AY238" s="75"/>
      <c r="AZ238" s="75"/>
      <c r="CA238" s="3"/>
    </row>
    <row r="240" spans="1:79">
      <c r="A240" s="3"/>
      <c r="B240" s="3"/>
      <c r="I240" s="14"/>
      <c r="CA240" s="3"/>
    </row>
  </sheetData>
  <mergeCells count="41">
    <mergeCell ref="A1:BK1"/>
    <mergeCell ref="A2:E2"/>
    <mergeCell ref="F2:BQ2"/>
    <mergeCell ref="BR2:CA2"/>
    <mergeCell ref="A3:A4"/>
    <mergeCell ref="B3:B4"/>
    <mergeCell ref="C3:C4"/>
    <mergeCell ref="D3:D4"/>
    <mergeCell ref="E3:E4"/>
    <mergeCell ref="F3:O3"/>
    <mergeCell ref="A75:A84"/>
    <mergeCell ref="BR3:CA3"/>
    <mergeCell ref="A5:A15"/>
    <mergeCell ref="A17:A20"/>
    <mergeCell ref="A22:A26"/>
    <mergeCell ref="A28:A29"/>
    <mergeCell ref="A31:A34"/>
    <mergeCell ref="AQ3:AZ3"/>
    <mergeCell ref="BA3:BG3"/>
    <mergeCell ref="BH3:BQ3"/>
    <mergeCell ref="A36:A44"/>
    <mergeCell ref="A46:A53"/>
    <mergeCell ref="A55:A62"/>
    <mergeCell ref="A64:A67"/>
    <mergeCell ref="A69:A71"/>
    <mergeCell ref="BI237:BJ237"/>
    <mergeCell ref="P3:Y3"/>
    <mergeCell ref="Z3:AF3"/>
    <mergeCell ref="AG3:AP3"/>
    <mergeCell ref="A161:A168"/>
    <mergeCell ref="A170:A174"/>
    <mergeCell ref="A176:A212"/>
    <mergeCell ref="A216:A228"/>
    <mergeCell ref="D234:E234"/>
    <mergeCell ref="C236:D236"/>
    <mergeCell ref="A88:A118"/>
    <mergeCell ref="A120:A123"/>
    <mergeCell ref="A125:A127"/>
    <mergeCell ref="A133:A148"/>
    <mergeCell ref="A150:A151"/>
    <mergeCell ref="A155:A159"/>
  </mergeCells>
  <conditionalFormatting sqref="C30">
    <cfRule type="duplicateValues" dxfId="10" priority="35"/>
  </conditionalFormatting>
  <conditionalFormatting sqref="C86">
    <cfRule type="duplicateValues" dxfId="9" priority="34"/>
  </conditionalFormatting>
  <conditionalFormatting sqref="C237:E1048576 D231:E235 C203:C210 C135:C136 C5:C12 C87:C88 C179:C201 C148:C159 C161:C163 C31:C39 C138:C142 C212:C235 D3:E4 C3 C14:C28 C91:C126 C128:C133 C165:C177 C43:C85">
    <cfRule type="duplicateValues" dxfId="8" priority="33"/>
  </conditionalFormatting>
  <conditionalFormatting sqref="C237:E1048576 C231:E235">
    <cfRule type="duplicateValues" dxfId="7" priority="32"/>
  </conditionalFormatting>
  <conditionalFormatting sqref="A3:B3">
    <cfRule type="duplicateValues" dxfId="6" priority="31"/>
  </conditionalFormatting>
  <conditionalFormatting sqref="D231:E235">
    <cfRule type="duplicateValues" dxfId="5" priority="30"/>
  </conditionalFormatting>
  <conditionalFormatting sqref="C231:E235">
    <cfRule type="duplicateValues" dxfId="4" priority="29"/>
  </conditionalFormatting>
  <conditionalFormatting sqref="C232:E233">
    <cfRule type="duplicateValues" dxfId="3" priority="28"/>
  </conditionalFormatting>
  <conditionalFormatting sqref="D232:E233">
    <cfRule type="duplicateValues" dxfId="2" priority="27"/>
  </conditionalFormatting>
  <conditionalFormatting sqref="C171">
    <cfRule type="duplicateValues" dxfId="1" priority="26"/>
  </conditionalFormatting>
  <conditionalFormatting sqref="C77">
    <cfRule type="duplicateValues" dxfId="0" priority="25"/>
  </conditionalFormatting>
  <conditionalFormatting sqref="C171">
    <cfRule type="duplicateValues" priority="18"/>
    <cfRule type="duplicateValues" priority="19"/>
  </conditionalFormatting>
  <conditionalFormatting sqref="C171">
    <cfRule type="duplicateValues" priority="15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3"/>
  <sheetViews>
    <sheetView topLeftCell="A124" workbookViewId="0">
      <selection activeCell="E4" sqref="E4:I149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2.5703125" style="3" customWidth="1"/>
    <col min="6" max="6" width="14.42578125" style="3" customWidth="1"/>
    <col min="7" max="7" width="10.7109375" style="3" customWidth="1"/>
    <col min="8" max="8" width="11" style="3" customWidth="1"/>
    <col min="9" max="9" width="10.7109375" style="3" customWidth="1"/>
    <col min="10" max="10" width="14.140625" style="3" customWidth="1"/>
    <col min="11" max="11" width="9.140625" style="3" customWidth="1"/>
    <col min="12" max="16384" width="9.140625" style="3"/>
  </cols>
  <sheetData>
    <row r="1" spans="1:38" s="6" customFormat="1" ht="23.25" customHeight="1">
      <c r="A1" s="179" t="s">
        <v>485</v>
      </c>
      <c r="B1" s="179"/>
      <c r="C1" s="179"/>
      <c r="D1" s="179"/>
      <c r="E1" s="179"/>
      <c r="F1" s="179"/>
      <c r="G1" s="179"/>
      <c r="H1" s="179"/>
      <c r="I1" s="179"/>
      <c r="J1" s="179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 customHeight="1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</row>
    <row r="3" spans="1:38" s="7" customFormat="1" ht="35.25" customHeight="1">
      <c r="A3" s="129" t="s">
        <v>47</v>
      </c>
      <c r="B3" s="129" t="s">
        <v>13</v>
      </c>
      <c r="C3" s="129" t="s">
        <v>46</v>
      </c>
      <c r="D3" s="129" t="s">
        <v>16</v>
      </c>
      <c r="E3" s="128" t="s">
        <v>388</v>
      </c>
      <c r="F3" s="128" t="s">
        <v>54</v>
      </c>
      <c r="G3" s="128" t="s">
        <v>55</v>
      </c>
      <c r="H3" s="128" t="s">
        <v>56</v>
      </c>
      <c r="I3" s="128" t="s">
        <v>389</v>
      </c>
      <c r="J3" s="131" t="s">
        <v>57</v>
      </c>
    </row>
    <row r="4" spans="1:38">
      <c r="A4" s="8">
        <v>1</v>
      </c>
      <c r="B4" s="1" t="s">
        <v>66</v>
      </c>
      <c r="C4" s="4" t="s">
        <v>67</v>
      </c>
      <c r="D4" s="4" t="s">
        <v>29</v>
      </c>
      <c r="E4" s="4">
        <v>448500</v>
      </c>
      <c r="F4" s="4">
        <v>0</v>
      </c>
      <c r="G4" s="4">
        <v>0</v>
      </c>
      <c r="H4" s="4">
        <v>383150</v>
      </c>
      <c r="I4" s="10">
        <v>0</v>
      </c>
      <c r="J4" s="9">
        <f t="shared" ref="J4:J35" si="0">E4+F4+G4+H4+I4</f>
        <v>831650</v>
      </c>
    </row>
    <row r="5" spans="1:38">
      <c r="A5" s="8">
        <v>2</v>
      </c>
      <c r="B5" s="1" t="s">
        <v>68</v>
      </c>
      <c r="C5" s="4" t="s">
        <v>39</v>
      </c>
      <c r="D5" s="4" t="s">
        <v>29</v>
      </c>
      <c r="E5" s="4">
        <v>981065</v>
      </c>
      <c r="F5" s="4">
        <v>0</v>
      </c>
      <c r="G5" s="4">
        <v>0</v>
      </c>
      <c r="H5" s="10">
        <v>1237100</v>
      </c>
      <c r="I5" s="10">
        <v>0</v>
      </c>
      <c r="J5" s="9">
        <f t="shared" si="0"/>
        <v>2218165</v>
      </c>
    </row>
    <row r="6" spans="1:38">
      <c r="A6" s="8">
        <v>3</v>
      </c>
      <c r="B6" s="1" t="s">
        <v>69</v>
      </c>
      <c r="C6" s="4" t="s">
        <v>67</v>
      </c>
      <c r="D6" s="4" t="s">
        <v>29</v>
      </c>
      <c r="E6" s="4">
        <v>316345</v>
      </c>
      <c r="F6" s="4">
        <v>0</v>
      </c>
      <c r="G6" s="4">
        <v>0</v>
      </c>
      <c r="H6" s="10">
        <v>1233000</v>
      </c>
      <c r="I6" s="10">
        <v>0</v>
      </c>
      <c r="J6" s="9">
        <f t="shared" si="0"/>
        <v>1549345</v>
      </c>
    </row>
    <row r="7" spans="1:38">
      <c r="A7" s="8">
        <v>4</v>
      </c>
      <c r="B7" s="1" t="s">
        <v>70</v>
      </c>
      <c r="C7" s="4" t="s">
        <v>71</v>
      </c>
      <c r="D7" s="4" t="s">
        <v>29</v>
      </c>
      <c r="E7" s="4">
        <v>0</v>
      </c>
      <c r="F7" s="4">
        <v>0</v>
      </c>
      <c r="G7" s="4">
        <v>290000</v>
      </c>
      <c r="H7" s="4">
        <v>195000</v>
      </c>
      <c r="I7" s="10">
        <v>0</v>
      </c>
      <c r="J7" s="9">
        <f t="shared" si="0"/>
        <v>485000</v>
      </c>
    </row>
    <row r="8" spans="1:38">
      <c r="A8" s="8">
        <v>5</v>
      </c>
      <c r="B8" s="1" t="s">
        <v>11</v>
      </c>
      <c r="C8" s="4" t="s">
        <v>39</v>
      </c>
      <c r="D8" s="4" t="s">
        <v>29</v>
      </c>
      <c r="E8" s="4">
        <v>0</v>
      </c>
      <c r="F8" s="76">
        <v>1260000</v>
      </c>
      <c r="G8" s="4">
        <v>1263000</v>
      </c>
      <c r="H8" s="10">
        <v>1169850</v>
      </c>
      <c r="I8" s="10">
        <v>0</v>
      </c>
      <c r="J8" s="9">
        <f t="shared" si="0"/>
        <v>3692850</v>
      </c>
    </row>
    <row r="9" spans="1:38">
      <c r="A9" s="8">
        <v>6</v>
      </c>
      <c r="B9" s="1" t="s">
        <v>72</v>
      </c>
      <c r="C9" s="33" t="s">
        <v>73</v>
      </c>
      <c r="D9" s="4" t="s">
        <v>29</v>
      </c>
      <c r="E9" s="4">
        <v>0</v>
      </c>
      <c r="F9" s="4">
        <v>0</v>
      </c>
      <c r="G9" s="4">
        <v>0</v>
      </c>
      <c r="H9" s="10">
        <v>195000</v>
      </c>
      <c r="I9" s="10">
        <v>0</v>
      </c>
      <c r="J9" s="9">
        <f t="shared" si="0"/>
        <v>195000</v>
      </c>
    </row>
    <row r="10" spans="1:38">
      <c r="A10" s="8">
        <v>7</v>
      </c>
      <c r="B10" s="1" t="s">
        <v>74</v>
      </c>
      <c r="C10" s="4" t="s">
        <v>75</v>
      </c>
      <c r="D10" s="4" t="s">
        <v>29</v>
      </c>
      <c r="E10" s="4">
        <v>1238552</v>
      </c>
      <c r="F10" s="4">
        <v>0</v>
      </c>
      <c r="G10" s="4">
        <v>0</v>
      </c>
      <c r="H10" s="10">
        <v>1451150</v>
      </c>
      <c r="I10" s="10">
        <v>0</v>
      </c>
      <c r="J10" s="9">
        <f t="shared" si="0"/>
        <v>2689702</v>
      </c>
    </row>
    <row r="11" spans="1:38">
      <c r="A11" s="8">
        <v>8</v>
      </c>
      <c r="B11" s="1" t="s">
        <v>76</v>
      </c>
      <c r="C11" s="5" t="s">
        <v>67</v>
      </c>
      <c r="D11" s="4" t="s">
        <v>29</v>
      </c>
      <c r="E11" s="4">
        <v>0</v>
      </c>
      <c r="F11" s="4">
        <v>0</v>
      </c>
      <c r="G11" s="4">
        <v>0</v>
      </c>
      <c r="H11" s="4">
        <v>195000</v>
      </c>
      <c r="I11" s="10">
        <v>0</v>
      </c>
      <c r="J11" s="9">
        <f t="shared" si="0"/>
        <v>195000</v>
      </c>
    </row>
    <row r="12" spans="1:38" ht="31.5">
      <c r="A12" s="8">
        <v>10</v>
      </c>
      <c r="B12" s="1" t="s">
        <v>79</v>
      </c>
      <c r="C12" s="4" t="s">
        <v>80</v>
      </c>
      <c r="D12" s="4" t="s">
        <v>29</v>
      </c>
      <c r="E12" s="4">
        <v>0</v>
      </c>
      <c r="F12" s="4">
        <v>0</v>
      </c>
      <c r="G12" s="4">
        <v>0</v>
      </c>
      <c r="H12" s="10">
        <v>641000</v>
      </c>
      <c r="I12" s="10">
        <v>0</v>
      </c>
      <c r="J12" s="9">
        <f t="shared" si="0"/>
        <v>641000</v>
      </c>
    </row>
    <row r="13" spans="1:38">
      <c r="A13" s="8">
        <v>11</v>
      </c>
      <c r="B13" s="1" t="s">
        <v>81</v>
      </c>
      <c r="C13" s="4" t="s">
        <v>82</v>
      </c>
      <c r="D13" s="4" t="s">
        <v>29</v>
      </c>
      <c r="E13" s="4">
        <v>0</v>
      </c>
      <c r="F13" s="76">
        <v>290000</v>
      </c>
      <c r="G13" s="4">
        <v>0</v>
      </c>
      <c r="H13" s="4">
        <v>0</v>
      </c>
      <c r="I13" s="10">
        <v>0</v>
      </c>
      <c r="J13" s="9">
        <f t="shared" si="0"/>
        <v>290000</v>
      </c>
    </row>
    <row r="14" spans="1:38" ht="31.5">
      <c r="A14" s="8">
        <v>18</v>
      </c>
      <c r="B14" s="1" t="s">
        <v>91</v>
      </c>
      <c r="C14" s="4" t="s">
        <v>92</v>
      </c>
      <c r="D14" s="4" t="s">
        <v>18</v>
      </c>
      <c r="E14" s="4">
        <v>155000</v>
      </c>
      <c r="F14" s="4">
        <v>0</v>
      </c>
      <c r="G14" s="4">
        <v>290000</v>
      </c>
      <c r="H14" s="4">
        <v>0</v>
      </c>
      <c r="I14" s="10">
        <v>0</v>
      </c>
      <c r="J14" s="9">
        <f t="shared" si="0"/>
        <v>445000</v>
      </c>
    </row>
    <row r="15" spans="1:38">
      <c r="A15" s="8">
        <v>19</v>
      </c>
      <c r="B15" s="1" t="s">
        <v>9</v>
      </c>
      <c r="C15" s="4" t="s">
        <v>42</v>
      </c>
      <c r="D15" s="4" t="s">
        <v>18</v>
      </c>
      <c r="E15" s="4">
        <v>0</v>
      </c>
      <c r="F15" s="4">
        <v>0</v>
      </c>
      <c r="G15" s="70">
        <v>2093000</v>
      </c>
      <c r="H15" s="10">
        <v>1426450</v>
      </c>
      <c r="I15" s="10">
        <v>100000</v>
      </c>
      <c r="J15" s="9">
        <f t="shared" si="0"/>
        <v>3619450</v>
      </c>
    </row>
    <row r="16" spans="1:38" ht="31.5">
      <c r="A16" s="8">
        <v>20</v>
      </c>
      <c r="B16" s="1" t="s">
        <v>93</v>
      </c>
      <c r="C16" s="4" t="s">
        <v>94</v>
      </c>
      <c r="D16" s="4" t="s">
        <v>18</v>
      </c>
      <c r="E16" s="4">
        <v>207500</v>
      </c>
      <c r="F16" s="4">
        <v>0</v>
      </c>
      <c r="G16" s="4">
        <v>0</v>
      </c>
      <c r="H16" s="10">
        <v>629500</v>
      </c>
      <c r="I16" s="10">
        <v>0</v>
      </c>
      <c r="J16" s="9">
        <f t="shared" si="0"/>
        <v>837000</v>
      </c>
    </row>
    <row r="17" spans="1:10">
      <c r="A17" s="8">
        <v>21</v>
      </c>
      <c r="B17" s="1" t="s">
        <v>97</v>
      </c>
      <c r="C17" s="4" t="s">
        <v>96</v>
      </c>
      <c r="D17" s="4" t="s">
        <v>98</v>
      </c>
      <c r="E17" s="4">
        <v>155000</v>
      </c>
      <c r="F17" s="4">
        <v>0</v>
      </c>
      <c r="G17" s="4">
        <v>0</v>
      </c>
      <c r="H17" s="4">
        <v>0</v>
      </c>
      <c r="I17" s="10">
        <v>0</v>
      </c>
      <c r="J17" s="9">
        <f t="shared" si="0"/>
        <v>155000</v>
      </c>
    </row>
    <row r="18" spans="1:10">
      <c r="A18" s="8">
        <v>24</v>
      </c>
      <c r="B18" s="1" t="s">
        <v>103</v>
      </c>
      <c r="C18" s="4" t="s">
        <v>104</v>
      </c>
      <c r="D18" s="4" t="s">
        <v>31</v>
      </c>
      <c r="E18" s="4">
        <v>155000</v>
      </c>
      <c r="F18" s="76">
        <v>0</v>
      </c>
      <c r="G18" s="20">
        <v>605000</v>
      </c>
      <c r="H18" s="20">
        <v>322500</v>
      </c>
      <c r="I18" s="24">
        <v>100000</v>
      </c>
      <c r="J18" s="9">
        <f t="shared" si="0"/>
        <v>1182500</v>
      </c>
    </row>
    <row r="19" spans="1:10">
      <c r="A19" s="8">
        <v>27</v>
      </c>
      <c r="B19" s="1" t="s">
        <v>110</v>
      </c>
      <c r="C19" s="4" t="s">
        <v>108</v>
      </c>
      <c r="D19" s="4" t="s">
        <v>108</v>
      </c>
      <c r="E19" s="4">
        <v>368500</v>
      </c>
      <c r="F19" s="4">
        <v>0</v>
      </c>
      <c r="G19" s="20">
        <v>0</v>
      </c>
      <c r="H19" s="20">
        <v>0</v>
      </c>
      <c r="I19" s="25">
        <v>0</v>
      </c>
      <c r="J19" s="9">
        <f t="shared" si="0"/>
        <v>368500</v>
      </c>
    </row>
    <row r="20" spans="1:10" ht="31.5">
      <c r="A20" s="8">
        <v>28</v>
      </c>
      <c r="B20" s="1" t="s">
        <v>111</v>
      </c>
      <c r="C20" s="4" t="s">
        <v>108</v>
      </c>
      <c r="D20" s="4" t="s">
        <v>108</v>
      </c>
      <c r="E20" s="4">
        <v>0</v>
      </c>
      <c r="F20" s="4">
        <v>0</v>
      </c>
      <c r="G20" s="20">
        <v>0</v>
      </c>
      <c r="H20" s="24">
        <v>354300</v>
      </c>
      <c r="I20" s="25">
        <v>0</v>
      </c>
      <c r="J20" s="9">
        <f t="shared" si="0"/>
        <v>354300</v>
      </c>
    </row>
    <row r="21" spans="1:10">
      <c r="A21" s="8">
        <v>29</v>
      </c>
      <c r="B21" s="40" t="s">
        <v>112</v>
      </c>
      <c r="C21" s="4" t="s">
        <v>108</v>
      </c>
      <c r="D21" s="4" t="s">
        <v>108</v>
      </c>
      <c r="E21" s="4">
        <v>0</v>
      </c>
      <c r="F21" s="76">
        <v>2200000</v>
      </c>
      <c r="G21" s="20">
        <v>0</v>
      </c>
      <c r="H21" s="24">
        <v>0</v>
      </c>
      <c r="I21" s="25">
        <v>0</v>
      </c>
      <c r="J21" s="9">
        <f t="shared" si="0"/>
        <v>2200000</v>
      </c>
    </row>
    <row r="22" spans="1:10">
      <c r="A22" s="8">
        <v>31</v>
      </c>
      <c r="B22" s="1" t="s">
        <v>115</v>
      </c>
      <c r="C22" s="4" t="s">
        <v>116</v>
      </c>
      <c r="D22" s="4" t="s">
        <v>108</v>
      </c>
      <c r="E22" s="4">
        <v>395500</v>
      </c>
      <c r="F22" s="4">
        <v>0</v>
      </c>
      <c r="G22" s="22">
        <v>364000</v>
      </c>
      <c r="H22" s="24">
        <f>438600+4000</f>
        <v>442600</v>
      </c>
      <c r="I22" s="25">
        <v>0</v>
      </c>
      <c r="J22" s="9">
        <f t="shared" si="0"/>
        <v>1202100</v>
      </c>
    </row>
    <row r="23" spans="1:10">
      <c r="A23" s="8">
        <v>32</v>
      </c>
      <c r="B23" s="1" t="s">
        <v>115</v>
      </c>
      <c r="C23" s="4" t="s">
        <v>116</v>
      </c>
      <c r="D23" s="4" t="s">
        <v>108</v>
      </c>
      <c r="E23" s="4">
        <v>0</v>
      </c>
      <c r="F23" s="4">
        <v>0</v>
      </c>
      <c r="G23" s="26">
        <v>0</v>
      </c>
      <c r="H23" s="24">
        <v>195000</v>
      </c>
      <c r="I23" s="25">
        <v>0</v>
      </c>
      <c r="J23" s="9">
        <f t="shared" si="0"/>
        <v>195000</v>
      </c>
    </row>
    <row r="24" spans="1:10" ht="31.5">
      <c r="A24" s="8">
        <v>33</v>
      </c>
      <c r="B24" s="1" t="s">
        <v>117</v>
      </c>
      <c r="C24" s="4" t="s">
        <v>114</v>
      </c>
      <c r="D24" s="4" t="s">
        <v>108</v>
      </c>
      <c r="E24" s="4">
        <v>0</v>
      </c>
      <c r="F24" s="76">
        <v>290000</v>
      </c>
      <c r="G24" s="20">
        <v>0</v>
      </c>
      <c r="H24" s="24">
        <v>0</v>
      </c>
      <c r="I24" s="25">
        <v>0</v>
      </c>
      <c r="J24" s="9">
        <f t="shared" si="0"/>
        <v>290000</v>
      </c>
    </row>
    <row r="25" spans="1:10">
      <c r="A25" s="8">
        <v>35</v>
      </c>
      <c r="B25" s="1" t="s">
        <v>121</v>
      </c>
      <c r="C25" s="4" t="s">
        <v>108</v>
      </c>
      <c r="D25" s="4" t="s">
        <v>108</v>
      </c>
      <c r="E25" s="4">
        <v>155000</v>
      </c>
      <c r="F25" s="4">
        <v>0</v>
      </c>
      <c r="G25" s="20">
        <v>0</v>
      </c>
      <c r="H25" s="20">
        <v>195000</v>
      </c>
      <c r="I25" s="25">
        <v>0</v>
      </c>
      <c r="J25" s="9">
        <f t="shared" si="0"/>
        <v>350000</v>
      </c>
    </row>
    <row r="26" spans="1:10" ht="31.5">
      <c r="A26" s="8">
        <v>36</v>
      </c>
      <c r="B26" s="1" t="s">
        <v>123</v>
      </c>
      <c r="C26" s="4" t="s">
        <v>124</v>
      </c>
      <c r="D26" s="4" t="s">
        <v>20</v>
      </c>
      <c r="E26" s="4">
        <v>0</v>
      </c>
      <c r="F26" s="4">
        <v>0</v>
      </c>
      <c r="G26" s="20">
        <v>0</v>
      </c>
      <c r="H26" s="25">
        <v>481150</v>
      </c>
      <c r="I26" s="25">
        <v>0</v>
      </c>
      <c r="J26" s="9">
        <f t="shared" si="0"/>
        <v>481150</v>
      </c>
    </row>
    <row r="27" spans="1:10" ht="31.5">
      <c r="A27" s="8">
        <v>37</v>
      </c>
      <c r="B27" s="1" t="s">
        <v>125</v>
      </c>
      <c r="C27" s="4" t="s">
        <v>126</v>
      </c>
      <c r="D27" s="4" t="s">
        <v>20</v>
      </c>
      <c r="E27" s="4">
        <v>712500</v>
      </c>
      <c r="F27" s="4">
        <v>0</v>
      </c>
      <c r="G27" s="20">
        <v>0</v>
      </c>
      <c r="H27" s="25">
        <v>608650</v>
      </c>
      <c r="I27" s="25">
        <v>0</v>
      </c>
      <c r="J27" s="9">
        <f t="shared" si="0"/>
        <v>1321150</v>
      </c>
    </row>
    <row r="28" spans="1:10">
      <c r="A28" s="8">
        <v>38</v>
      </c>
      <c r="B28" s="1" t="s">
        <v>127</v>
      </c>
      <c r="C28" s="4" t="s">
        <v>128</v>
      </c>
      <c r="D28" s="4" t="s">
        <v>20</v>
      </c>
      <c r="E28" s="4">
        <v>155000</v>
      </c>
      <c r="F28" s="4">
        <v>0</v>
      </c>
      <c r="G28" s="20">
        <v>0</v>
      </c>
      <c r="H28" s="20">
        <v>0</v>
      </c>
      <c r="I28" s="24">
        <v>100000</v>
      </c>
      <c r="J28" s="9">
        <f t="shared" si="0"/>
        <v>255000</v>
      </c>
    </row>
    <row r="29" spans="1:10">
      <c r="A29" s="8">
        <v>39</v>
      </c>
      <c r="B29" s="1" t="s">
        <v>129</v>
      </c>
      <c r="C29" s="4" t="s">
        <v>130</v>
      </c>
      <c r="D29" s="4" t="s">
        <v>20</v>
      </c>
      <c r="E29" s="4">
        <v>155000</v>
      </c>
      <c r="F29" s="4">
        <v>0</v>
      </c>
      <c r="G29" s="20">
        <v>0</v>
      </c>
      <c r="H29" s="20">
        <v>195000</v>
      </c>
      <c r="I29" s="25">
        <v>0</v>
      </c>
      <c r="J29" s="9">
        <f t="shared" si="0"/>
        <v>350000</v>
      </c>
    </row>
    <row r="30" spans="1:10" ht="31.5">
      <c r="A30" s="8">
        <v>40</v>
      </c>
      <c r="B30" s="1" t="s">
        <v>131</v>
      </c>
      <c r="C30" s="4" t="s">
        <v>132</v>
      </c>
      <c r="D30" s="4" t="s">
        <v>20</v>
      </c>
      <c r="E30" s="4">
        <v>427000</v>
      </c>
      <c r="F30" s="4">
        <v>0</v>
      </c>
      <c r="G30" s="20">
        <v>0</v>
      </c>
      <c r="H30" s="25">
        <v>585250</v>
      </c>
      <c r="I30" s="25">
        <v>0</v>
      </c>
      <c r="J30" s="9">
        <f t="shared" si="0"/>
        <v>1012250</v>
      </c>
    </row>
    <row r="31" spans="1:10">
      <c r="A31" s="8">
        <v>41</v>
      </c>
      <c r="B31" s="1" t="s">
        <v>52</v>
      </c>
      <c r="C31" s="4" t="s">
        <v>30</v>
      </c>
      <c r="D31" s="4" t="s">
        <v>20</v>
      </c>
      <c r="E31" s="4">
        <v>279000</v>
      </c>
      <c r="F31" s="4">
        <v>0</v>
      </c>
      <c r="G31" s="20">
        <v>0</v>
      </c>
      <c r="H31" s="20">
        <v>0</v>
      </c>
      <c r="I31" s="25">
        <v>0</v>
      </c>
      <c r="J31" s="9">
        <f t="shared" si="0"/>
        <v>279000</v>
      </c>
    </row>
    <row r="32" spans="1:10" ht="31.5">
      <c r="A32" s="8">
        <v>42</v>
      </c>
      <c r="B32" s="1" t="s">
        <v>133</v>
      </c>
      <c r="C32" s="4" t="s">
        <v>134</v>
      </c>
      <c r="D32" s="4" t="s">
        <v>20</v>
      </c>
      <c r="E32" s="4">
        <v>823000</v>
      </c>
      <c r="F32" s="4">
        <v>0</v>
      </c>
      <c r="G32" s="22">
        <v>1267000</v>
      </c>
      <c r="H32" s="25">
        <v>1031900</v>
      </c>
      <c r="I32" s="25">
        <v>0</v>
      </c>
      <c r="J32" s="9">
        <f t="shared" si="0"/>
        <v>3121900</v>
      </c>
    </row>
    <row r="33" spans="1:10" ht="47.25">
      <c r="A33" s="8">
        <v>43</v>
      </c>
      <c r="B33" s="1" t="s">
        <v>135</v>
      </c>
      <c r="C33" s="4" t="s">
        <v>124</v>
      </c>
      <c r="D33" s="4" t="s">
        <v>20</v>
      </c>
      <c r="E33" s="4">
        <v>630500</v>
      </c>
      <c r="F33" s="4">
        <v>0</v>
      </c>
      <c r="G33" s="20">
        <v>0</v>
      </c>
      <c r="H33" s="25">
        <v>854300</v>
      </c>
      <c r="I33" s="25">
        <v>0</v>
      </c>
      <c r="J33" s="9">
        <f t="shared" si="0"/>
        <v>1484800</v>
      </c>
    </row>
    <row r="34" spans="1:10">
      <c r="A34" s="8">
        <v>44</v>
      </c>
      <c r="B34" s="1" t="s">
        <v>137</v>
      </c>
      <c r="C34" s="5" t="s">
        <v>409</v>
      </c>
      <c r="D34" s="4" t="s">
        <v>19</v>
      </c>
      <c r="E34" s="4">
        <v>0</v>
      </c>
      <c r="F34" s="4">
        <v>0</v>
      </c>
      <c r="G34" s="20">
        <v>0</v>
      </c>
      <c r="H34" s="25">
        <v>992250</v>
      </c>
      <c r="I34" s="25">
        <v>100000</v>
      </c>
      <c r="J34" s="9">
        <f t="shared" si="0"/>
        <v>1092250</v>
      </c>
    </row>
    <row r="35" spans="1:10">
      <c r="A35" s="8">
        <v>45</v>
      </c>
      <c r="B35" s="1" t="s">
        <v>394</v>
      </c>
      <c r="C35" s="12" t="s">
        <v>395</v>
      </c>
      <c r="D35" s="4" t="s">
        <v>19</v>
      </c>
      <c r="E35" s="4">
        <v>0</v>
      </c>
      <c r="F35" s="4">
        <v>0</v>
      </c>
      <c r="G35" s="20">
        <v>0</v>
      </c>
      <c r="H35" s="25">
        <v>0</v>
      </c>
      <c r="I35" s="25">
        <v>100000</v>
      </c>
      <c r="J35" s="9">
        <f t="shared" si="0"/>
        <v>100000</v>
      </c>
    </row>
    <row r="36" spans="1:10">
      <c r="A36" s="8">
        <v>46</v>
      </c>
      <c r="B36" s="1" t="s">
        <v>59</v>
      </c>
      <c r="C36" s="12" t="s">
        <v>27</v>
      </c>
      <c r="D36" s="4" t="s">
        <v>19</v>
      </c>
      <c r="E36" s="4">
        <v>0</v>
      </c>
      <c r="F36" s="4">
        <v>0</v>
      </c>
      <c r="G36" s="20">
        <v>0</v>
      </c>
      <c r="H36" s="25">
        <v>195000</v>
      </c>
      <c r="I36" s="25">
        <v>100000</v>
      </c>
      <c r="J36" s="9">
        <f t="shared" ref="J36:J67" si="1">E36+F36+G36+H36+I36</f>
        <v>295000</v>
      </c>
    </row>
    <row r="37" spans="1:10">
      <c r="A37" s="8">
        <v>47</v>
      </c>
      <c r="B37" s="1" t="s">
        <v>138</v>
      </c>
      <c r="C37" s="12" t="s">
        <v>139</v>
      </c>
      <c r="D37" s="4" t="s">
        <v>19</v>
      </c>
      <c r="E37" s="4">
        <v>0</v>
      </c>
      <c r="F37" s="76">
        <v>700000</v>
      </c>
      <c r="G37" s="22">
        <v>336000</v>
      </c>
      <c r="H37" s="25">
        <v>1508350</v>
      </c>
      <c r="I37" s="24">
        <v>100000</v>
      </c>
      <c r="J37" s="9">
        <f t="shared" si="1"/>
        <v>2644350</v>
      </c>
    </row>
    <row r="38" spans="1:10">
      <c r="A38" s="8">
        <v>48</v>
      </c>
      <c r="B38" s="1" t="s">
        <v>140</v>
      </c>
      <c r="C38" s="12" t="s">
        <v>141</v>
      </c>
      <c r="D38" s="4" t="s">
        <v>19</v>
      </c>
      <c r="E38" s="4">
        <v>200000</v>
      </c>
      <c r="F38" s="4">
        <v>0</v>
      </c>
      <c r="G38" s="20">
        <v>0</v>
      </c>
      <c r="H38" s="25">
        <v>410250</v>
      </c>
      <c r="I38" s="24">
        <v>100000</v>
      </c>
      <c r="J38" s="9">
        <f t="shared" si="1"/>
        <v>710250</v>
      </c>
    </row>
    <row r="39" spans="1:10">
      <c r="A39" s="8">
        <v>49</v>
      </c>
      <c r="B39" s="1" t="s">
        <v>142</v>
      </c>
      <c r="C39" s="5" t="s">
        <v>410</v>
      </c>
      <c r="D39" s="4" t="s">
        <v>19</v>
      </c>
      <c r="E39" s="4">
        <v>0</v>
      </c>
      <c r="F39" s="4">
        <v>0</v>
      </c>
      <c r="G39" s="20">
        <v>0</v>
      </c>
      <c r="H39" s="25">
        <v>592700</v>
      </c>
      <c r="I39" s="24">
        <v>0</v>
      </c>
      <c r="J39" s="9">
        <f t="shared" si="1"/>
        <v>592700</v>
      </c>
    </row>
    <row r="40" spans="1:10">
      <c r="A40" s="8">
        <v>50</v>
      </c>
      <c r="B40" s="1" t="s">
        <v>143</v>
      </c>
      <c r="C40" s="12" t="s">
        <v>144</v>
      </c>
      <c r="D40" s="4" t="s">
        <v>19</v>
      </c>
      <c r="E40" s="4">
        <v>155000</v>
      </c>
      <c r="F40" s="4">
        <v>0</v>
      </c>
      <c r="G40" s="20">
        <v>0</v>
      </c>
      <c r="H40" s="20">
        <v>0</v>
      </c>
      <c r="I40" s="24">
        <v>0</v>
      </c>
      <c r="J40" s="9">
        <f t="shared" si="1"/>
        <v>155000</v>
      </c>
    </row>
    <row r="41" spans="1:10" ht="47.25">
      <c r="A41" s="8">
        <v>51</v>
      </c>
      <c r="B41" s="1" t="s">
        <v>145</v>
      </c>
      <c r="C41" s="12" t="s">
        <v>146</v>
      </c>
      <c r="D41" s="4" t="s">
        <v>19</v>
      </c>
      <c r="E41" s="4">
        <v>0</v>
      </c>
      <c r="F41" s="4">
        <v>0</v>
      </c>
      <c r="G41" s="20">
        <v>0</v>
      </c>
      <c r="H41" s="25">
        <v>386400</v>
      </c>
      <c r="I41" s="25">
        <v>0</v>
      </c>
      <c r="J41" s="9">
        <f t="shared" si="1"/>
        <v>386400</v>
      </c>
    </row>
    <row r="42" spans="1:10">
      <c r="A42" s="8">
        <v>52</v>
      </c>
      <c r="B42" s="1" t="s">
        <v>149</v>
      </c>
      <c r="C42" s="4" t="s">
        <v>150</v>
      </c>
      <c r="D42" s="4" t="s">
        <v>148</v>
      </c>
      <c r="E42" s="4">
        <v>155000</v>
      </c>
      <c r="F42" s="4">
        <v>0</v>
      </c>
      <c r="G42" s="20">
        <v>0</v>
      </c>
      <c r="H42" s="20">
        <v>195000</v>
      </c>
      <c r="I42" s="25">
        <v>0</v>
      </c>
      <c r="J42" s="9">
        <f t="shared" si="1"/>
        <v>350000</v>
      </c>
    </row>
    <row r="43" spans="1:10">
      <c r="A43" s="8">
        <v>53</v>
      </c>
      <c r="B43" s="1" t="s">
        <v>151</v>
      </c>
      <c r="C43" s="4" t="s">
        <v>152</v>
      </c>
      <c r="D43" s="4" t="s">
        <v>153</v>
      </c>
      <c r="E43" s="4">
        <v>153000</v>
      </c>
      <c r="F43" s="4">
        <v>0</v>
      </c>
      <c r="G43" s="20">
        <v>0</v>
      </c>
      <c r="H43" s="25">
        <v>295650</v>
      </c>
      <c r="I43" s="24">
        <v>100000</v>
      </c>
      <c r="J43" s="9">
        <f t="shared" si="1"/>
        <v>548650</v>
      </c>
    </row>
    <row r="44" spans="1:10" ht="31.5">
      <c r="A44" s="8">
        <v>54</v>
      </c>
      <c r="B44" s="1" t="s">
        <v>154</v>
      </c>
      <c r="C44" s="4" t="s">
        <v>155</v>
      </c>
      <c r="D44" s="4" t="s">
        <v>153</v>
      </c>
      <c r="E44" s="4">
        <v>0</v>
      </c>
      <c r="F44" s="4">
        <v>0</v>
      </c>
      <c r="G44" s="20">
        <v>0</v>
      </c>
      <c r="H44" s="25">
        <v>111550</v>
      </c>
      <c r="I44" s="25">
        <v>0</v>
      </c>
      <c r="J44" s="9">
        <f t="shared" si="1"/>
        <v>111550</v>
      </c>
    </row>
    <row r="45" spans="1:10" ht="31.5">
      <c r="A45" s="8">
        <v>55</v>
      </c>
      <c r="B45" s="1" t="s">
        <v>156</v>
      </c>
      <c r="C45" s="5" t="s">
        <v>411</v>
      </c>
      <c r="D45" s="4" t="s">
        <v>153</v>
      </c>
      <c r="E45" s="4">
        <v>0</v>
      </c>
      <c r="F45" s="4">
        <v>0</v>
      </c>
      <c r="G45" s="20">
        <v>0</v>
      </c>
      <c r="H45" s="24">
        <v>195000</v>
      </c>
      <c r="I45" s="25">
        <v>0</v>
      </c>
      <c r="J45" s="9">
        <f t="shared" si="1"/>
        <v>195000</v>
      </c>
    </row>
    <row r="46" spans="1:10">
      <c r="A46" s="8">
        <v>56</v>
      </c>
      <c r="B46" s="1" t="s">
        <v>3</v>
      </c>
      <c r="C46" s="5" t="s">
        <v>412</v>
      </c>
      <c r="D46" s="4" t="s">
        <v>28</v>
      </c>
      <c r="E46" s="4">
        <v>0</v>
      </c>
      <c r="F46" s="4">
        <v>0</v>
      </c>
      <c r="G46" s="22">
        <v>290000</v>
      </c>
      <c r="H46" s="24">
        <v>195000</v>
      </c>
      <c r="I46" s="25">
        <v>0</v>
      </c>
      <c r="J46" s="9">
        <f t="shared" si="1"/>
        <v>485000</v>
      </c>
    </row>
    <row r="47" spans="1:10">
      <c r="A47" s="8">
        <v>58</v>
      </c>
      <c r="B47" s="1" t="s">
        <v>162</v>
      </c>
      <c r="C47" s="4" t="s">
        <v>163</v>
      </c>
      <c r="D47" s="4" t="s">
        <v>159</v>
      </c>
      <c r="E47" s="4">
        <v>430000</v>
      </c>
      <c r="F47" s="4">
        <v>0</v>
      </c>
      <c r="G47" s="20">
        <v>0</v>
      </c>
      <c r="H47" s="20">
        <v>0</v>
      </c>
      <c r="I47" s="25">
        <v>0</v>
      </c>
      <c r="J47" s="9">
        <f t="shared" si="1"/>
        <v>430000</v>
      </c>
    </row>
    <row r="48" spans="1:10">
      <c r="A48" s="8">
        <v>59</v>
      </c>
      <c r="B48" s="1" t="s">
        <v>164</v>
      </c>
      <c r="C48" s="4" t="s">
        <v>165</v>
      </c>
      <c r="D48" s="4" t="s">
        <v>159</v>
      </c>
      <c r="E48" s="4">
        <v>942500</v>
      </c>
      <c r="F48" s="4">
        <v>0</v>
      </c>
      <c r="G48" s="22">
        <v>794000</v>
      </c>
      <c r="H48" s="20">
        <v>0</v>
      </c>
      <c r="I48" s="25">
        <v>0</v>
      </c>
      <c r="J48" s="9">
        <f t="shared" si="1"/>
        <v>1736500</v>
      </c>
    </row>
    <row r="49" spans="1:10">
      <c r="A49" s="8">
        <v>61</v>
      </c>
      <c r="B49" s="1" t="s">
        <v>168</v>
      </c>
      <c r="C49" s="4" t="s">
        <v>169</v>
      </c>
      <c r="D49" s="4" t="s">
        <v>159</v>
      </c>
      <c r="E49" s="4">
        <v>155000</v>
      </c>
      <c r="F49" s="4">
        <v>0</v>
      </c>
      <c r="G49" s="20">
        <v>0</v>
      </c>
      <c r="H49" s="20">
        <v>0</v>
      </c>
      <c r="I49" s="25">
        <v>0</v>
      </c>
      <c r="J49" s="9">
        <f t="shared" si="1"/>
        <v>155000</v>
      </c>
    </row>
    <row r="50" spans="1:10">
      <c r="A50" s="8">
        <v>62</v>
      </c>
      <c r="B50" s="1" t="s">
        <v>170</v>
      </c>
      <c r="C50" s="4" t="s">
        <v>171</v>
      </c>
      <c r="D50" s="4" t="s">
        <v>159</v>
      </c>
      <c r="E50" s="4">
        <v>0</v>
      </c>
      <c r="F50" s="4">
        <v>0</v>
      </c>
      <c r="G50" s="20">
        <v>0</v>
      </c>
      <c r="H50" s="25">
        <v>232800</v>
      </c>
      <c r="I50" s="25">
        <v>0</v>
      </c>
      <c r="J50" s="9">
        <f t="shared" si="1"/>
        <v>232800</v>
      </c>
    </row>
    <row r="51" spans="1:10" ht="31.5">
      <c r="A51" s="8">
        <v>66</v>
      </c>
      <c r="B51" s="1" t="s">
        <v>60</v>
      </c>
      <c r="C51" s="4" t="s">
        <v>33</v>
      </c>
      <c r="D51" s="4" t="s">
        <v>34</v>
      </c>
      <c r="E51" s="4">
        <v>155000</v>
      </c>
      <c r="F51" s="4">
        <v>0</v>
      </c>
      <c r="G51" s="20">
        <v>0</v>
      </c>
      <c r="H51" s="20">
        <v>0</v>
      </c>
      <c r="I51" s="25">
        <v>0</v>
      </c>
      <c r="J51" s="9">
        <f t="shared" si="1"/>
        <v>155000</v>
      </c>
    </row>
    <row r="52" spans="1:10">
      <c r="A52" s="8">
        <v>67</v>
      </c>
      <c r="B52" s="1" t="s">
        <v>178</v>
      </c>
      <c r="C52" s="4" t="s">
        <v>179</v>
      </c>
      <c r="D52" s="4" t="s">
        <v>17</v>
      </c>
      <c r="E52" s="4">
        <v>1164000</v>
      </c>
      <c r="F52" s="77">
        <v>2150000</v>
      </c>
      <c r="G52" s="20">
        <v>0</v>
      </c>
      <c r="H52" s="25">
        <v>1676350</v>
      </c>
      <c r="I52" s="24">
        <f>100000+248400</f>
        <v>348400</v>
      </c>
      <c r="J52" s="9">
        <f t="shared" si="1"/>
        <v>5338750</v>
      </c>
    </row>
    <row r="53" spans="1:10">
      <c r="A53" s="8">
        <v>68</v>
      </c>
      <c r="B53" s="1" t="s">
        <v>180</v>
      </c>
      <c r="C53" s="4" t="s">
        <v>181</v>
      </c>
      <c r="D53" s="4" t="s">
        <v>17</v>
      </c>
      <c r="E53" s="4">
        <v>0</v>
      </c>
      <c r="F53" s="77">
        <v>0</v>
      </c>
      <c r="G53" s="20">
        <v>0</v>
      </c>
      <c r="H53" s="25">
        <v>195000</v>
      </c>
      <c r="I53" s="25">
        <v>0</v>
      </c>
      <c r="J53" s="9">
        <f t="shared" si="1"/>
        <v>195000</v>
      </c>
    </row>
    <row r="54" spans="1:10">
      <c r="A54" s="8">
        <v>70</v>
      </c>
      <c r="B54" s="1" t="s">
        <v>184</v>
      </c>
      <c r="C54" s="4" t="s">
        <v>185</v>
      </c>
      <c r="D54" s="4" t="s">
        <v>17</v>
      </c>
      <c r="E54" s="4">
        <v>323000</v>
      </c>
      <c r="F54" s="4">
        <v>0</v>
      </c>
      <c r="G54" s="20">
        <v>0</v>
      </c>
      <c r="H54" s="20">
        <v>0</v>
      </c>
      <c r="I54" s="25">
        <v>0</v>
      </c>
      <c r="J54" s="9">
        <f t="shared" si="1"/>
        <v>323000</v>
      </c>
    </row>
    <row r="55" spans="1:10">
      <c r="A55" s="8">
        <v>72</v>
      </c>
      <c r="B55" s="1" t="s">
        <v>188</v>
      </c>
      <c r="C55" s="4" t="s">
        <v>413</v>
      </c>
      <c r="D55" s="4" t="s">
        <v>17</v>
      </c>
      <c r="E55" s="4">
        <v>0</v>
      </c>
      <c r="F55" s="76">
        <v>290000</v>
      </c>
      <c r="G55" s="20">
        <v>0</v>
      </c>
      <c r="H55" s="25">
        <v>616950</v>
      </c>
      <c r="I55" s="25">
        <v>0</v>
      </c>
      <c r="J55" s="9">
        <f t="shared" si="1"/>
        <v>906950</v>
      </c>
    </row>
    <row r="56" spans="1:10" ht="47.25">
      <c r="A56" s="8">
        <v>73</v>
      </c>
      <c r="B56" s="1" t="s">
        <v>189</v>
      </c>
      <c r="C56" s="4" t="s">
        <v>190</v>
      </c>
      <c r="D56" s="4" t="s">
        <v>17</v>
      </c>
      <c r="E56" s="4">
        <v>287500</v>
      </c>
      <c r="F56" s="76">
        <v>410000</v>
      </c>
      <c r="G56" s="20">
        <v>0</v>
      </c>
      <c r="H56" s="20">
        <v>0</v>
      </c>
      <c r="I56" s="25">
        <v>0</v>
      </c>
      <c r="J56" s="9">
        <f t="shared" si="1"/>
        <v>697500</v>
      </c>
    </row>
    <row r="57" spans="1:10" ht="31.5">
      <c r="A57" s="8">
        <v>74</v>
      </c>
      <c r="B57" s="1" t="s">
        <v>191</v>
      </c>
      <c r="C57" s="4" t="s">
        <v>185</v>
      </c>
      <c r="D57" s="4" t="s">
        <v>17</v>
      </c>
      <c r="E57" s="4">
        <v>490500</v>
      </c>
      <c r="F57" s="4">
        <v>0</v>
      </c>
      <c r="G57" s="20">
        <v>0</v>
      </c>
      <c r="H57" s="25">
        <v>662850</v>
      </c>
      <c r="I57" s="25">
        <v>0</v>
      </c>
      <c r="J57" s="9">
        <f t="shared" si="1"/>
        <v>1153350</v>
      </c>
    </row>
    <row r="58" spans="1:10">
      <c r="A58" s="8">
        <v>75</v>
      </c>
      <c r="B58" s="1" t="s">
        <v>192</v>
      </c>
      <c r="C58" s="4" t="s">
        <v>193</v>
      </c>
      <c r="D58" s="4" t="s">
        <v>17</v>
      </c>
      <c r="E58" s="4">
        <v>804000</v>
      </c>
      <c r="F58" s="76">
        <v>1050000</v>
      </c>
      <c r="G58" s="20">
        <v>0</v>
      </c>
      <c r="H58" s="25">
        <v>1339600</v>
      </c>
      <c r="I58" s="25">
        <v>0</v>
      </c>
      <c r="J58" s="9">
        <f t="shared" si="1"/>
        <v>3193600</v>
      </c>
    </row>
    <row r="59" spans="1:10" ht="31.5">
      <c r="A59" s="8">
        <v>76</v>
      </c>
      <c r="B59" s="1" t="s">
        <v>194</v>
      </c>
      <c r="C59" s="4" t="s">
        <v>187</v>
      </c>
      <c r="D59" s="4" t="s">
        <v>17</v>
      </c>
      <c r="E59" s="4">
        <v>155000</v>
      </c>
      <c r="F59" s="4">
        <v>0</v>
      </c>
      <c r="G59" s="20">
        <v>0</v>
      </c>
      <c r="H59" s="20">
        <v>0</v>
      </c>
      <c r="I59" s="25">
        <v>0</v>
      </c>
      <c r="J59" s="9">
        <f t="shared" si="1"/>
        <v>155000</v>
      </c>
    </row>
    <row r="60" spans="1:10">
      <c r="A60" s="8">
        <v>77</v>
      </c>
      <c r="B60" s="1" t="s">
        <v>195</v>
      </c>
      <c r="C60" s="4" t="s">
        <v>196</v>
      </c>
      <c r="D60" s="4" t="s">
        <v>17</v>
      </c>
      <c r="E60" s="4">
        <v>155000</v>
      </c>
      <c r="F60" s="76">
        <v>790000</v>
      </c>
      <c r="G60" s="20">
        <v>0</v>
      </c>
      <c r="H60" s="25">
        <v>447200</v>
      </c>
      <c r="I60" s="25">
        <v>0</v>
      </c>
      <c r="J60" s="9">
        <f t="shared" si="1"/>
        <v>1392200</v>
      </c>
    </row>
    <row r="61" spans="1:10">
      <c r="A61" s="8">
        <v>78</v>
      </c>
      <c r="B61" s="1" t="s">
        <v>197</v>
      </c>
      <c r="C61" s="4" t="s">
        <v>187</v>
      </c>
      <c r="D61" s="4" t="s">
        <v>17</v>
      </c>
      <c r="E61" s="4">
        <v>512500</v>
      </c>
      <c r="F61" s="76">
        <v>1300000</v>
      </c>
      <c r="G61" s="20">
        <v>290000</v>
      </c>
      <c r="H61" s="25">
        <v>943600</v>
      </c>
      <c r="I61" s="25">
        <v>100000</v>
      </c>
      <c r="J61" s="9">
        <f t="shared" si="1"/>
        <v>3146100</v>
      </c>
    </row>
    <row r="62" spans="1:10">
      <c r="A62" s="8">
        <v>79</v>
      </c>
      <c r="B62" s="1" t="s">
        <v>198</v>
      </c>
      <c r="C62" s="4" t="s">
        <v>193</v>
      </c>
      <c r="D62" s="4" t="s">
        <v>17</v>
      </c>
      <c r="E62" s="4">
        <v>0</v>
      </c>
      <c r="F62" s="76">
        <v>1210000</v>
      </c>
      <c r="G62" s="20">
        <v>0</v>
      </c>
      <c r="H62" s="25">
        <v>801250</v>
      </c>
      <c r="I62" s="25">
        <v>0</v>
      </c>
      <c r="J62" s="9">
        <f t="shared" si="1"/>
        <v>2011250</v>
      </c>
    </row>
    <row r="63" spans="1:10">
      <c r="A63" s="8">
        <v>82</v>
      </c>
      <c r="B63" s="1" t="s">
        <v>202</v>
      </c>
      <c r="C63" s="4" t="s">
        <v>203</v>
      </c>
      <c r="D63" s="4" t="s">
        <v>17</v>
      </c>
      <c r="E63" s="4">
        <v>699500</v>
      </c>
      <c r="F63" s="76">
        <v>0</v>
      </c>
      <c r="G63" s="20">
        <v>0</v>
      </c>
      <c r="H63" s="25">
        <v>1407050</v>
      </c>
      <c r="I63" s="24">
        <v>100000</v>
      </c>
      <c r="J63" s="9">
        <f t="shared" si="1"/>
        <v>2206550</v>
      </c>
    </row>
    <row r="64" spans="1:10">
      <c r="A64" s="8">
        <v>83</v>
      </c>
      <c r="B64" s="1" t="s">
        <v>204</v>
      </c>
      <c r="C64" s="4" t="s">
        <v>205</v>
      </c>
      <c r="D64" s="4" t="s">
        <v>17</v>
      </c>
      <c r="E64" s="4">
        <v>0</v>
      </c>
      <c r="F64" s="76">
        <v>0</v>
      </c>
      <c r="G64" s="20">
        <v>0</v>
      </c>
      <c r="H64" s="20">
        <v>195000</v>
      </c>
      <c r="I64" s="24">
        <v>0</v>
      </c>
      <c r="J64" s="9">
        <f t="shared" si="1"/>
        <v>195000</v>
      </c>
    </row>
    <row r="65" spans="1:10">
      <c r="A65" s="8">
        <v>84</v>
      </c>
      <c r="B65" s="1" t="s">
        <v>5</v>
      </c>
      <c r="C65" s="4" t="s">
        <v>36</v>
      </c>
      <c r="D65" s="4" t="s">
        <v>17</v>
      </c>
      <c r="E65" s="4">
        <v>925328</v>
      </c>
      <c r="F65" s="4">
        <v>0</v>
      </c>
      <c r="G65" s="20">
        <v>0</v>
      </c>
      <c r="H65" s="25">
        <v>1595650</v>
      </c>
      <c r="I65" s="24">
        <v>100000</v>
      </c>
      <c r="J65" s="9">
        <f t="shared" si="1"/>
        <v>2620978</v>
      </c>
    </row>
    <row r="66" spans="1:10" ht="31.5">
      <c r="A66" s="8">
        <v>85</v>
      </c>
      <c r="B66" s="1" t="s">
        <v>206</v>
      </c>
      <c r="C66" s="4" t="s">
        <v>193</v>
      </c>
      <c r="D66" s="4" t="s">
        <v>17</v>
      </c>
      <c r="E66" s="4">
        <v>821267</v>
      </c>
      <c r="F66" s="76">
        <v>1870000</v>
      </c>
      <c r="G66" s="22">
        <v>920000</v>
      </c>
      <c r="H66" s="25">
        <v>1203800</v>
      </c>
      <c r="I66" s="25">
        <v>0</v>
      </c>
      <c r="J66" s="9">
        <f t="shared" si="1"/>
        <v>4815067</v>
      </c>
    </row>
    <row r="67" spans="1:10" ht="31.5">
      <c r="A67" s="8">
        <v>86</v>
      </c>
      <c r="B67" s="1" t="s">
        <v>207</v>
      </c>
      <c r="C67" s="5" t="s">
        <v>36</v>
      </c>
      <c r="D67" s="4" t="s">
        <v>17</v>
      </c>
      <c r="E67" s="4">
        <v>0</v>
      </c>
      <c r="F67" s="4">
        <v>0</v>
      </c>
      <c r="G67" s="20">
        <v>0</v>
      </c>
      <c r="H67" s="25">
        <v>279700</v>
      </c>
      <c r="I67" s="25">
        <v>0</v>
      </c>
      <c r="J67" s="9">
        <f t="shared" si="1"/>
        <v>279700</v>
      </c>
    </row>
    <row r="68" spans="1:10" ht="31.5">
      <c r="A68" s="8">
        <v>88</v>
      </c>
      <c r="B68" s="1" t="s">
        <v>210</v>
      </c>
      <c r="C68" s="4" t="s">
        <v>211</v>
      </c>
      <c r="D68" s="4" t="s">
        <v>17</v>
      </c>
      <c r="E68" s="4">
        <v>501565</v>
      </c>
      <c r="F68" s="76">
        <v>290000</v>
      </c>
      <c r="G68" s="20">
        <v>0</v>
      </c>
      <c r="H68" s="25">
        <v>1475506</v>
      </c>
      <c r="I68" s="25">
        <v>100000</v>
      </c>
      <c r="J68" s="9">
        <f t="shared" ref="J68:J99" si="2">E68+F68+G68+H68+I68</f>
        <v>2367071</v>
      </c>
    </row>
    <row r="69" spans="1:10" ht="31.5">
      <c r="A69" s="8">
        <v>89</v>
      </c>
      <c r="B69" s="1" t="s">
        <v>212</v>
      </c>
      <c r="C69" s="4" t="s">
        <v>213</v>
      </c>
      <c r="D69" s="4" t="s">
        <v>17</v>
      </c>
      <c r="E69" s="4">
        <v>0</v>
      </c>
      <c r="F69" s="76">
        <v>890000</v>
      </c>
      <c r="G69" s="20">
        <v>0</v>
      </c>
      <c r="H69" s="25">
        <v>413250</v>
      </c>
      <c r="I69" s="25">
        <v>0</v>
      </c>
      <c r="J69" s="9">
        <f t="shared" si="2"/>
        <v>1303250</v>
      </c>
    </row>
    <row r="70" spans="1:10" ht="31.5">
      <c r="A70" s="8">
        <v>90</v>
      </c>
      <c r="B70" s="1" t="s">
        <v>214</v>
      </c>
      <c r="C70" s="4" t="s">
        <v>187</v>
      </c>
      <c r="D70" s="4" t="s">
        <v>17</v>
      </c>
      <c r="E70" s="4">
        <v>155000</v>
      </c>
      <c r="F70" s="76">
        <v>1420000</v>
      </c>
      <c r="G70" s="22">
        <v>1228000</v>
      </c>
      <c r="H70" s="25">
        <v>592700</v>
      </c>
      <c r="I70" s="25">
        <v>100000</v>
      </c>
      <c r="J70" s="9">
        <f t="shared" si="2"/>
        <v>3495700</v>
      </c>
    </row>
    <row r="71" spans="1:10">
      <c r="A71" s="8">
        <v>91</v>
      </c>
      <c r="B71" s="1" t="s">
        <v>215</v>
      </c>
      <c r="C71" s="4" t="s">
        <v>209</v>
      </c>
      <c r="D71" s="4" t="s">
        <v>17</v>
      </c>
      <c r="E71" s="4">
        <v>0</v>
      </c>
      <c r="F71" s="4">
        <v>0</v>
      </c>
      <c r="G71" s="22">
        <v>864000</v>
      </c>
      <c r="H71" s="25">
        <v>0</v>
      </c>
      <c r="I71" s="25">
        <v>0</v>
      </c>
      <c r="J71" s="9">
        <f t="shared" si="2"/>
        <v>864000</v>
      </c>
    </row>
    <row r="72" spans="1:10">
      <c r="A72" s="8">
        <v>93</v>
      </c>
      <c r="B72" s="1" t="s">
        <v>218</v>
      </c>
      <c r="C72" s="4" t="s">
        <v>193</v>
      </c>
      <c r="D72" s="4" t="s">
        <v>17</v>
      </c>
      <c r="E72" s="4">
        <v>0</v>
      </c>
      <c r="F72" s="4">
        <v>0</v>
      </c>
      <c r="G72" s="20">
        <v>0</v>
      </c>
      <c r="H72" s="25">
        <v>340500</v>
      </c>
      <c r="I72" s="25">
        <v>0</v>
      </c>
      <c r="J72" s="9">
        <f t="shared" si="2"/>
        <v>340500</v>
      </c>
    </row>
    <row r="73" spans="1:10">
      <c r="A73" s="8">
        <v>94</v>
      </c>
      <c r="B73" s="1" t="s">
        <v>219</v>
      </c>
      <c r="C73" s="4" t="s">
        <v>185</v>
      </c>
      <c r="D73" s="4" t="s">
        <v>17</v>
      </c>
      <c r="E73" s="4">
        <v>155000</v>
      </c>
      <c r="F73" s="76">
        <v>450000</v>
      </c>
      <c r="G73" s="20">
        <v>0</v>
      </c>
      <c r="H73" s="25">
        <v>519950</v>
      </c>
      <c r="I73" s="25">
        <v>0</v>
      </c>
      <c r="J73" s="9">
        <f t="shared" si="2"/>
        <v>1124950</v>
      </c>
    </row>
    <row r="74" spans="1:10">
      <c r="A74" s="8">
        <v>95</v>
      </c>
      <c r="B74" s="1" t="s">
        <v>428</v>
      </c>
      <c r="C74" s="4" t="s">
        <v>187</v>
      </c>
      <c r="D74" s="4" t="s">
        <v>17</v>
      </c>
      <c r="E74" s="4">
        <v>0</v>
      </c>
      <c r="F74" s="4">
        <v>0</v>
      </c>
      <c r="G74" s="20">
        <v>0</v>
      </c>
      <c r="H74" s="20">
        <v>195000</v>
      </c>
      <c r="I74" s="25">
        <v>0</v>
      </c>
      <c r="J74" s="9">
        <f t="shared" si="2"/>
        <v>195000</v>
      </c>
    </row>
    <row r="75" spans="1:10" ht="47.25">
      <c r="A75" s="8">
        <v>99</v>
      </c>
      <c r="B75" s="1" t="s">
        <v>229</v>
      </c>
      <c r="C75" s="4" t="s">
        <v>230</v>
      </c>
      <c r="D75" s="4" t="s">
        <v>226</v>
      </c>
      <c r="E75" s="4">
        <v>0</v>
      </c>
      <c r="F75" s="76">
        <v>310000</v>
      </c>
      <c r="G75" s="20">
        <v>0</v>
      </c>
      <c r="H75" s="20">
        <v>0</v>
      </c>
      <c r="I75" s="25">
        <v>0</v>
      </c>
      <c r="J75" s="9">
        <f t="shared" si="2"/>
        <v>310000</v>
      </c>
    </row>
    <row r="76" spans="1:10" ht="31.5">
      <c r="A76" s="8">
        <v>100</v>
      </c>
      <c r="B76" s="1" t="s">
        <v>231</v>
      </c>
      <c r="C76" s="5" t="s">
        <v>414</v>
      </c>
      <c r="D76" s="4" t="s">
        <v>226</v>
      </c>
      <c r="E76" s="4">
        <v>0</v>
      </c>
      <c r="F76" s="4">
        <v>0</v>
      </c>
      <c r="G76" s="20">
        <v>0</v>
      </c>
      <c r="H76" s="25">
        <v>330800</v>
      </c>
      <c r="I76" s="25">
        <v>0</v>
      </c>
      <c r="J76" s="9">
        <f t="shared" si="2"/>
        <v>330800</v>
      </c>
    </row>
    <row r="77" spans="1:10">
      <c r="A77" s="8">
        <v>102</v>
      </c>
      <c r="B77" s="1" t="s">
        <v>236</v>
      </c>
      <c r="C77" s="4" t="s">
        <v>237</v>
      </c>
      <c r="D77" s="4" t="s">
        <v>235</v>
      </c>
      <c r="E77" s="4">
        <v>155000</v>
      </c>
      <c r="F77" s="76">
        <v>290000</v>
      </c>
      <c r="G77" s="20">
        <v>290000</v>
      </c>
      <c r="H77" s="20">
        <v>0</v>
      </c>
      <c r="I77" s="25">
        <v>0</v>
      </c>
      <c r="J77" s="9">
        <f t="shared" si="2"/>
        <v>735000</v>
      </c>
    </row>
    <row r="78" spans="1:10">
      <c r="A78" s="8">
        <v>106</v>
      </c>
      <c r="B78" s="1" t="s">
        <v>10</v>
      </c>
      <c r="C78" s="4" t="s">
        <v>43</v>
      </c>
      <c r="D78" s="4" t="s">
        <v>44</v>
      </c>
      <c r="E78" s="4">
        <v>155000</v>
      </c>
      <c r="F78" s="4">
        <v>0</v>
      </c>
      <c r="G78" s="20">
        <v>290000</v>
      </c>
      <c r="H78" s="20">
        <v>195000</v>
      </c>
      <c r="I78" s="25">
        <v>0</v>
      </c>
      <c r="J78" s="9">
        <f t="shared" si="2"/>
        <v>640000</v>
      </c>
    </row>
    <row r="79" spans="1:10" ht="47.25">
      <c r="A79" s="8">
        <v>107</v>
      </c>
      <c r="B79" s="1" t="s">
        <v>242</v>
      </c>
      <c r="C79" s="4" t="s">
        <v>243</v>
      </c>
      <c r="D79" s="4" t="s">
        <v>244</v>
      </c>
      <c r="E79" s="4">
        <v>0</v>
      </c>
      <c r="F79" s="4">
        <v>0</v>
      </c>
      <c r="G79" s="20">
        <v>0</v>
      </c>
      <c r="H79" s="25">
        <v>195000</v>
      </c>
      <c r="I79" s="24">
        <f>100000+257600</f>
        <v>357600</v>
      </c>
      <c r="J79" s="9">
        <f t="shared" si="2"/>
        <v>552600</v>
      </c>
    </row>
    <row r="80" spans="1:10">
      <c r="A80" s="8">
        <v>108</v>
      </c>
      <c r="B80" s="1" t="s">
        <v>245</v>
      </c>
      <c r="C80" s="4" t="s">
        <v>246</v>
      </c>
      <c r="D80" s="4" t="s">
        <v>244</v>
      </c>
      <c r="E80" s="4">
        <v>0</v>
      </c>
      <c r="F80" s="76">
        <v>1690000</v>
      </c>
      <c r="G80" s="22">
        <v>1389000</v>
      </c>
      <c r="H80" s="25">
        <v>0</v>
      </c>
      <c r="I80" s="25">
        <v>100000</v>
      </c>
      <c r="J80" s="9">
        <f t="shared" si="2"/>
        <v>3179000</v>
      </c>
    </row>
    <row r="81" spans="1:10">
      <c r="A81" s="8">
        <v>109</v>
      </c>
      <c r="B81" s="1" t="s">
        <v>247</v>
      </c>
      <c r="C81" s="5" t="s">
        <v>262</v>
      </c>
      <c r="D81" s="4" t="s">
        <v>244</v>
      </c>
      <c r="E81" s="4">
        <v>0</v>
      </c>
      <c r="F81" s="72">
        <v>0</v>
      </c>
      <c r="G81" s="20">
        <v>0</v>
      </c>
      <c r="H81" s="25">
        <v>438200</v>
      </c>
      <c r="I81" s="25">
        <v>100000</v>
      </c>
      <c r="J81" s="9">
        <f t="shared" si="2"/>
        <v>538200</v>
      </c>
    </row>
    <row r="82" spans="1:10" ht="31.5">
      <c r="A82" s="8">
        <v>110</v>
      </c>
      <c r="B82" s="1" t="s">
        <v>248</v>
      </c>
      <c r="C82" s="46" t="s">
        <v>249</v>
      </c>
      <c r="D82" s="4" t="s">
        <v>244</v>
      </c>
      <c r="E82" s="4">
        <v>0</v>
      </c>
      <c r="F82" s="76">
        <v>1830000</v>
      </c>
      <c r="G82" s="22">
        <v>2142000</v>
      </c>
      <c r="H82" s="25">
        <v>1226050</v>
      </c>
      <c r="I82" s="25">
        <v>100000</v>
      </c>
      <c r="J82" s="9">
        <f t="shared" si="2"/>
        <v>5298050</v>
      </c>
    </row>
    <row r="83" spans="1:10" ht="31.5">
      <c r="A83" s="8">
        <v>111</v>
      </c>
      <c r="B83" s="1" t="s">
        <v>250</v>
      </c>
      <c r="C83" s="4" t="s">
        <v>251</v>
      </c>
      <c r="D83" s="4" t="s">
        <v>244</v>
      </c>
      <c r="E83" s="4">
        <v>0</v>
      </c>
      <c r="F83" s="76">
        <v>290000</v>
      </c>
      <c r="G83" s="20">
        <v>0</v>
      </c>
      <c r="H83" s="25">
        <v>0</v>
      </c>
      <c r="I83" s="25">
        <v>0</v>
      </c>
      <c r="J83" s="9">
        <f t="shared" si="2"/>
        <v>290000</v>
      </c>
    </row>
    <row r="84" spans="1:10" ht="47.25">
      <c r="A84" s="8">
        <v>112</v>
      </c>
      <c r="B84" s="1" t="s">
        <v>252</v>
      </c>
      <c r="C84" s="4" t="s">
        <v>253</v>
      </c>
      <c r="D84" s="4" t="s">
        <v>25</v>
      </c>
      <c r="E84" s="4">
        <v>0</v>
      </c>
      <c r="F84" s="76">
        <v>0</v>
      </c>
      <c r="G84" s="20">
        <v>0</v>
      </c>
      <c r="H84" s="20">
        <v>0</v>
      </c>
      <c r="I84" s="24">
        <v>100000</v>
      </c>
      <c r="J84" s="9">
        <f t="shared" si="2"/>
        <v>100000</v>
      </c>
    </row>
    <row r="85" spans="1:10" ht="31.5">
      <c r="A85" s="8">
        <v>113</v>
      </c>
      <c r="B85" s="1" t="s">
        <v>2</v>
      </c>
      <c r="C85" s="43" t="s">
        <v>243</v>
      </c>
      <c r="D85" s="4" t="s">
        <v>25</v>
      </c>
      <c r="E85" s="4">
        <v>0</v>
      </c>
      <c r="F85" s="72">
        <v>0</v>
      </c>
      <c r="G85" s="20">
        <v>290000</v>
      </c>
      <c r="H85" s="25">
        <v>195000</v>
      </c>
      <c r="I85" s="25">
        <v>0</v>
      </c>
      <c r="J85" s="9">
        <f t="shared" si="2"/>
        <v>485000</v>
      </c>
    </row>
    <row r="86" spans="1:10">
      <c r="A86" s="8">
        <v>114</v>
      </c>
      <c r="B86" s="1" t="s">
        <v>254</v>
      </c>
      <c r="C86" s="41" t="s">
        <v>255</v>
      </c>
      <c r="D86" s="4" t="s">
        <v>25</v>
      </c>
      <c r="E86" s="4">
        <v>0</v>
      </c>
      <c r="F86" s="76">
        <v>1200000</v>
      </c>
      <c r="G86" s="20">
        <v>290000</v>
      </c>
      <c r="H86" s="25">
        <v>0</v>
      </c>
      <c r="I86" s="25">
        <v>0</v>
      </c>
      <c r="J86" s="9">
        <f t="shared" si="2"/>
        <v>1490000</v>
      </c>
    </row>
    <row r="87" spans="1:10" ht="31.5">
      <c r="A87" s="8">
        <v>116</v>
      </c>
      <c r="B87" s="1" t="s">
        <v>256</v>
      </c>
      <c r="C87" s="4" t="s">
        <v>257</v>
      </c>
      <c r="D87" s="4" t="s">
        <v>258</v>
      </c>
      <c r="E87" s="4">
        <v>298000</v>
      </c>
      <c r="F87" s="72">
        <v>0</v>
      </c>
      <c r="G87" s="20">
        <v>0</v>
      </c>
      <c r="H87" s="25">
        <v>330800</v>
      </c>
      <c r="I87" s="25">
        <v>0</v>
      </c>
      <c r="J87" s="9">
        <f t="shared" si="2"/>
        <v>628800</v>
      </c>
    </row>
    <row r="88" spans="1:10" ht="31.5">
      <c r="A88" s="8">
        <v>117</v>
      </c>
      <c r="B88" s="1" t="s">
        <v>259</v>
      </c>
      <c r="C88" s="4" t="s">
        <v>260</v>
      </c>
      <c r="D88" s="4" t="s">
        <v>258</v>
      </c>
      <c r="E88" s="4">
        <v>789000</v>
      </c>
      <c r="F88" s="72">
        <v>0</v>
      </c>
      <c r="G88" s="20">
        <v>0</v>
      </c>
      <c r="H88" s="25">
        <v>1145600</v>
      </c>
      <c r="I88" s="25">
        <v>0</v>
      </c>
      <c r="J88" s="9">
        <f t="shared" si="2"/>
        <v>1934600</v>
      </c>
    </row>
    <row r="89" spans="1:10">
      <c r="A89" s="8">
        <v>121</v>
      </c>
      <c r="B89" s="40" t="s">
        <v>265</v>
      </c>
      <c r="C89" s="47" t="s">
        <v>266</v>
      </c>
      <c r="D89" s="4" t="s">
        <v>258</v>
      </c>
      <c r="E89" s="4">
        <v>0</v>
      </c>
      <c r="F89" s="76">
        <v>1890000</v>
      </c>
      <c r="G89" s="20">
        <v>0</v>
      </c>
      <c r="H89" s="20">
        <v>0</v>
      </c>
      <c r="I89" s="25">
        <v>0</v>
      </c>
      <c r="J89" s="9">
        <f t="shared" si="2"/>
        <v>1890000</v>
      </c>
    </row>
    <row r="90" spans="1:10" ht="31.5">
      <c r="A90" s="8">
        <v>122</v>
      </c>
      <c r="B90" s="1" t="s">
        <v>267</v>
      </c>
      <c r="C90" s="4" t="s">
        <v>268</v>
      </c>
      <c r="D90" s="4" t="s">
        <v>25</v>
      </c>
      <c r="E90" s="4">
        <v>776500</v>
      </c>
      <c r="F90" s="76">
        <v>1510000</v>
      </c>
      <c r="G90" s="20">
        <v>0</v>
      </c>
      <c r="H90" s="25">
        <v>898250</v>
      </c>
      <c r="I90" s="25">
        <v>0</v>
      </c>
      <c r="J90" s="9">
        <f t="shared" si="2"/>
        <v>3184750</v>
      </c>
    </row>
    <row r="91" spans="1:10">
      <c r="A91" s="8">
        <v>123</v>
      </c>
      <c r="B91" s="1" t="s">
        <v>1</v>
      </c>
      <c r="C91" s="5" t="s">
        <v>415</v>
      </c>
      <c r="D91" s="4" t="s">
        <v>38</v>
      </c>
      <c r="E91" s="4">
        <v>0</v>
      </c>
      <c r="F91" s="4">
        <v>0</v>
      </c>
      <c r="G91" s="20">
        <v>0</v>
      </c>
      <c r="H91" s="25">
        <v>694100</v>
      </c>
      <c r="I91" s="25">
        <v>0</v>
      </c>
      <c r="J91" s="9">
        <f t="shared" si="2"/>
        <v>694100</v>
      </c>
    </row>
    <row r="92" spans="1:10">
      <c r="A92" s="8">
        <v>124</v>
      </c>
      <c r="B92" s="1" t="s">
        <v>6</v>
      </c>
      <c r="C92" s="4" t="s">
        <v>37</v>
      </c>
      <c r="D92" s="4" t="s">
        <v>38</v>
      </c>
      <c r="E92" s="4">
        <v>155000</v>
      </c>
      <c r="F92" s="4">
        <v>0</v>
      </c>
      <c r="G92" s="20">
        <v>0</v>
      </c>
      <c r="H92" s="20">
        <v>287625</v>
      </c>
      <c r="I92" s="25">
        <v>0</v>
      </c>
      <c r="J92" s="9">
        <f t="shared" si="2"/>
        <v>442625</v>
      </c>
    </row>
    <row r="93" spans="1:10">
      <c r="A93" s="8">
        <v>126</v>
      </c>
      <c r="B93" s="1" t="s">
        <v>276</v>
      </c>
      <c r="C93" s="4" t="s">
        <v>277</v>
      </c>
      <c r="D93" s="4" t="s">
        <v>275</v>
      </c>
      <c r="E93" s="4">
        <v>705000</v>
      </c>
      <c r="F93" s="4">
        <v>0</v>
      </c>
      <c r="G93" s="20">
        <v>1340000</v>
      </c>
      <c r="H93" s="25">
        <v>1068000</v>
      </c>
      <c r="I93" s="25">
        <v>0</v>
      </c>
      <c r="J93" s="9">
        <f t="shared" si="2"/>
        <v>3113000</v>
      </c>
    </row>
    <row r="94" spans="1:10">
      <c r="A94" s="8">
        <v>128</v>
      </c>
      <c r="B94" s="1" t="s">
        <v>280</v>
      </c>
      <c r="C94" s="41" t="s">
        <v>416</v>
      </c>
      <c r="D94" s="4" t="s">
        <v>275</v>
      </c>
      <c r="E94" s="4">
        <v>0</v>
      </c>
      <c r="F94" s="4">
        <v>0</v>
      </c>
      <c r="G94" s="22">
        <v>290000</v>
      </c>
      <c r="H94" s="25">
        <v>0</v>
      </c>
      <c r="I94" s="25">
        <v>0</v>
      </c>
      <c r="J94" s="9">
        <f t="shared" si="2"/>
        <v>290000</v>
      </c>
    </row>
    <row r="95" spans="1:10">
      <c r="A95" s="8">
        <v>129</v>
      </c>
      <c r="B95" s="1" t="s">
        <v>281</v>
      </c>
      <c r="C95" s="4" t="s">
        <v>282</v>
      </c>
      <c r="D95" s="4" t="s">
        <v>275</v>
      </c>
      <c r="E95" s="4">
        <v>155000</v>
      </c>
      <c r="F95" s="4">
        <v>0</v>
      </c>
      <c r="G95" s="20">
        <v>0</v>
      </c>
      <c r="H95" s="20">
        <v>0</v>
      </c>
      <c r="I95" s="25">
        <v>0</v>
      </c>
      <c r="J95" s="9">
        <f t="shared" si="2"/>
        <v>155000</v>
      </c>
    </row>
    <row r="96" spans="1:10" ht="31.5">
      <c r="A96" s="8">
        <v>130</v>
      </c>
      <c r="B96" s="1" t="s">
        <v>283</v>
      </c>
      <c r="C96" s="4" t="s">
        <v>284</v>
      </c>
      <c r="D96" s="4" t="s">
        <v>275</v>
      </c>
      <c r="E96" s="4">
        <v>152000</v>
      </c>
      <c r="F96" s="4">
        <v>0</v>
      </c>
      <c r="G96" s="20">
        <v>0</v>
      </c>
      <c r="H96" s="20">
        <v>0</v>
      </c>
      <c r="I96" s="25">
        <v>0</v>
      </c>
      <c r="J96" s="9">
        <f t="shared" si="2"/>
        <v>152000</v>
      </c>
    </row>
    <row r="97" spans="1:10" ht="31.5">
      <c r="A97" s="8">
        <v>131</v>
      </c>
      <c r="B97" s="55" t="s">
        <v>288</v>
      </c>
      <c r="C97" s="56" t="s">
        <v>289</v>
      </c>
      <c r="D97" s="56" t="s">
        <v>21</v>
      </c>
      <c r="E97" s="56">
        <v>155000</v>
      </c>
      <c r="F97" s="56">
        <v>0</v>
      </c>
      <c r="G97" s="57">
        <v>0</v>
      </c>
      <c r="H97" s="57">
        <v>0</v>
      </c>
      <c r="I97" s="58">
        <v>0</v>
      </c>
      <c r="J97" s="9">
        <f t="shared" si="2"/>
        <v>155000</v>
      </c>
    </row>
    <row r="98" spans="1:10" ht="31.5">
      <c r="A98" s="8">
        <v>132</v>
      </c>
      <c r="B98" s="1" t="s">
        <v>290</v>
      </c>
      <c r="C98" s="91" t="s">
        <v>417</v>
      </c>
      <c r="D98" s="4" t="s">
        <v>21</v>
      </c>
      <c r="E98" s="4">
        <v>0</v>
      </c>
      <c r="F98" s="4">
        <v>0</v>
      </c>
      <c r="G98" s="20">
        <v>0</v>
      </c>
      <c r="H98" s="20">
        <v>256750</v>
      </c>
      <c r="I98" s="25">
        <v>0</v>
      </c>
      <c r="J98" s="9">
        <f t="shared" si="2"/>
        <v>256750</v>
      </c>
    </row>
    <row r="99" spans="1:10" ht="30">
      <c r="A99" s="8">
        <v>134</v>
      </c>
      <c r="B99" s="2" t="s">
        <v>15</v>
      </c>
      <c r="C99" s="13" t="s">
        <v>41</v>
      </c>
      <c r="D99" s="4" t="s">
        <v>21</v>
      </c>
      <c r="E99" s="4">
        <v>0</v>
      </c>
      <c r="F99" s="4">
        <v>0</v>
      </c>
      <c r="G99" s="20">
        <v>0</v>
      </c>
      <c r="H99" s="20">
        <v>0</v>
      </c>
      <c r="I99" s="25">
        <v>100000</v>
      </c>
      <c r="J99" s="9">
        <f t="shared" si="2"/>
        <v>100000</v>
      </c>
    </row>
    <row r="100" spans="1:10" ht="31.5">
      <c r="A100" s="8">
        <v>135</v>
      </c>
      <c r="B100" s="1" t="s">
        <v>294</v>
      </c>
      <c r="C100" s="91" t="s">
        <v>419</v>
      </c>
      <c r="D100" s="4" t="s">
        <v>21</v>
      </c>
      <c r="E100" s="4">
        <v>0</v>
      </c>
      <c r="F100" s="4">
        <v>0</v>
      </c>
      <c r="G100" s="20">
        <v>0</v>
      </c>
      <c r="H100" s="25">
        <v>394250</v>
      </c>
      <c r="I100" s="25">
        <v>0</v>
      </c>
      <c r="J100" s="9">
        <f t="shared" ref="J100:J131" si="3">E100+F100+G100+H100+I100</f>
        <v>394250</v>
      </c>
    </row>
    <row r="101" spans="1:10" ht="31.5">
      <c r="A101" s="8">
        <v>136</v>
      </c>
      <c r="B101" s="40" t="s">
        <v>295</v>
      </c>
      <c r="C101" s="41" t="s">
        <v>296</v>
      </c>
      <c r="D101" s="4" t="s">
        <v>21</v>
      </c>
      <c r="E101" s="4">
        <v>0</v>
      </c>
      <c r="F101" s="76">
        <v>1230000</v>
      </c>
      <c r="G101" s="26">
        <v>609000</v>
      </c>
      <c r="H101" s="25">
        <v>0</v>
      </c>
      <c r="I101" s="25">
        <v>0</v>
      </c>
      <c r="J101" s="9">
        <f t="shared" si="3"/>
        <v>1839000</v>
      </c>
    </row>
    <row r="102" spans="1:10" ht="37.5">
      <c r="A102" s="8">
        <v>137</v>
      </c>
      <c r="B102" s="1" t="s">
        <v>297</v>
      </c>
      <c r="C102" s="91" t="s">
        <v>418</v>
      </c>
      <c r="D102" s="4" t="s">
        <v>21</v>
      </c>
      <c r="E102" s="4">
        <v>0</v>
      </c>
      <c r="F102" s="76">
        <v>0</v>
      </c>
      <c r="G102" s="20">
        <v>0</v>
      </c>
      <c r="H102" s="25">
        <v>195000</v>
      </c>
      <c r="I102" s="25">
        <v>0</v>
      </c>
      <c r="J102" s="9">
        <f t="shared" si="3"/>
        <v>195000</v>
      </c>
    </row>
    <row r="103" spans="1:10" ht="37.5">
      <c r="A103" s="8">
        <v>139</v>
      </c>
      <c r="B103" s="1" t="s">
        <v>4</v>
      </c>
      <c r="C103" s="91" t="s">
        <v>420</v>
      </c>
      <c r="D103" s="4" t="s">
        <v>32</v>
      </c>
      <c r="E103" s="4">
        <v>0</v>
      </c>
      <c r="F103" s="4">
        <v>0</v>
      </c>
      <c r="G103" s="20">
        <v>0</v>
      </c>
      <c r="H103" s="25">
        <v>423800</v>
      </c>
      <c r="I103" s="25">
        <v>0</v>
      </c>
      <c r="J103" s="9">
        <f t="shared" si="3"/>
        <v>423800</v>
      </c>
    </row>
    <row r="104" spans="1:10" ht="31.5">
      <c r="A104" s="8">
        <v>140</v>
      </c>
      <c r="B104" s="1" t="s">
        <v>301</v>
      </c>
      <c r="C104" s="46" t="s">
        <v>302</v>
      </c>
      <c r="D104" s="4" t="s">
        <v>32</v>
      </c>
      <c r="E104" s="4">
        <v>0</v>
      </c>
      <c r="F104" s="76">
        <v>0</v>
      </c>
      <c r="G104" s="20">
        <v>0</v>
      </c>
      <c r="H104" s="25">
        <v>733900</v>
      </c>
      <c r="I104" s="25">
        <v>0</v>
      </c>
      <c r="J104" s="9">
        <f t="shared" si="3"/>
        <v>733900</v>
      </c>
    </row>
    <row r="105" spans="1:10" ht="31.5">
      <c r="A105" s="8">
        <v>141</v>
      </c>
      <c r="B105" s="1" t="s">
        <v>303</v>
      </c>
      <c r="C105" s="46" t="s">
        <v>304</v>
      </c>
      <c r="D105" s="4" t="s">
        <v>32</v>
      </c>
      <c r="E105" s="4">
        <v>0</v>
      </c>
      <c r="F105" s="76">
        <v>0</v>
      </c>
      <c r="G105" s="20">
        <v>0</v>
      </c>
      <c r="H105" s="25">
        <v>1184650</v>
      </c>
      <c r="I105" s="25">
        <v>100000</v>
      </c>
      <c r="J105" s="9">
        <f t="shared" si="3"/>
        <v>1284650</v>
      </c>
    </row>
    <row r="106" spans="1:10" ht="18.75">
      <c r="A106" s="8">
        <v>143</v>
      </c>
      <c r="B106" s="1" t="s">
        <v>306</v>
      </c>
      <c r="C106" s="91" t="s">
        <v>304</v>
      </c>
      <c r="D106" s="4" t="s">
        <v>32</v>
      </c>
      <c r="E106" s="4">
        <v>0</v>
      </c>
      <c r="F106" s="76">
        <v>1860000</v>
      </c>
      <c r="G106" s="20">
        <v>0</v>
      </c>
      <c r="H106" s="25">
        <v>733350</v>
      </c>
      <c r="I106" s="25">
        <v>0</v>
      </c>
      <c r="J106" s="9">
        <f t="shared" si="3"/>
        <v>2593350</v>
      </c>
    </row>
    <row r="107" spans="1:10">
      <c r="A107" s="8">
        <v>144</v>
      </c>
      <c r="B107" s="1" t="s">
        <v>308</v>
      </c>
      <c r="C107" s="61" t="s">
        <v>309</v>
      </c>
      <c r="D107" s="4" t="s">
        <v>24</v>
      </c>
      <c r="E107" s="4">
        <v>0</v>
      </c>
      <c r="F107" s="4">
        <v>0</v>
      </c>
      <c r="G107" s="20">
        <v>0</v>
      </c>
      <c r="H107" s="25">
        <v>271600</v>
      </c>
      <c r="I107" s="25">
        <v>0</v>
      </c>
      <c r="J107" s="9">
        <f t="shared" si="3"/>
        <v>271600</v>
      </c>
    </row>
    <row r="108" spans="1:10">
      <c r="A108" s="8">
        <v>145</v>
      </c>
      <c r="B108" s="1" t="s">
        <v>310</v>
      </c>
      <c r="C108" s="12" t="s">
        <v>448</v>
      </c>
      <c r="D108" s="4" t="s">
        <v>24</v>
      </c>
      <c r="E108" s="4">
        <v>881000</v>
      </c>
      <c r="F108" s="4">
        <v>0</v>
      </c>
      <c r="G108" s="20">
        <v>0</v>
      </c>
      <c r="H108" s="25">
        <v>1020900</v>
      </c>
      <c r="I108" s="25">
        <v>100000</v>
      </c>
      <c r="J108" s="9">
        <f t="shared" si="3"/>
        <v>2001900</v>
      </c>
    </row>
    <row r="109" spans="1:10" ht="30">
      <c r="A109" s="8">
        <v>146</v>
      </c>
      <c r="B109" s="2" t="s">
        <v>312</v>
      </c>
      <c r="C109" s="13" t="s">
        <v>313</v>
      </c>
      <c r="D109" s="4" t="s">
        <v>24</v>
      </c>
      <c r="E109" s="4">
        <v>0</v>
      </c>
      <c r="F109" s="4">
        <v>0</v>
      </c>
      <c r="G109" s="20">
        <v>0</v>
      </c>
      <c r="H109" s="25">
        <v>0</v>
      </c>
      <c r="I109" s="25">
        <v>100000</v>
      </c>
      <c r="J109" s="9">
        <f t="shared" si="3"/>
        <v>100000</v>
      </c>
    </row>
    <row r="110" spans="1:10">
      <c r="A110" s="8">
        <v>147</v>
      </c>
      <c r="B110" s="1" t="s">
        <v>314</v>
      </c>
      <c r="C110" s="12" t="s">
        <v>26</v>
      </c>
      <c r="D110" s="4" t="s">
        <v>24</v>
      </c>
      <c r="E110" s="4">
        <v>155000</v>
      </c>
      <c r="F110" s="4">
        <v>0</v>
      </c>
      <c r="G110" s="20">
        <v>0</v>
      </c>
      <c r="H110" s="25">
        <v>607050</v>
      </c>
      <c r="I110" s="25">
        <v>0</v>
      </c>
      <c r="J110" s="9">
        <f t="shared" si="3"/>
        <v>762050</v>
      </c>
    </row>
    <row r="111" spans="1:10">
      <c r="A111" s="8">
        <v>148</v>
      </c>
      <c r="B111" s="1" t="s">
        <v>315</v>
      </c>
      <c r="C111" s="12" t="s">
        <v>316</v>
      </c>
      <c r="D111" s="4" t="s">
        <v>24</v>
      </c>
      <c r="E111" s="4">
        <v>0</v>
      </c>
      <c r="F111" s="4">
        <v>0</v>
      </c>
      <c r="G111" s="20">
        <v>0</v>
      </c>
      <c r="H111" s="25">
        <v>195000</v>
      </c>
      <c r="I111" s="25">
        <v>100000</v>
      </c>
      <c r="J111" s="9">
        <f t="shared" si="3"/>
        <v>295000</v>
      </c>
    </row>
    <row r="112" spans="1:10">
      <c r="A112" s="8">
        <v>150</v>
      </c>
      <c r="B112" s="1" t="s">
        <v>319</v>
      </c>
      <c r="C112" s="12" t="s">
        <v>320</v>
      </c>
      <c r="D112" s="4" t="s">
        <v>24</v>
      </c>
      <c r="E112" s="4">
        <v>155000</v>
      </c>
      <c r="F112" s="4">
        <v>0</v>
      </c>
      <c r="G112" s="20">
        <v>0</v>
      </c>
      <c r="H112" s="20">
        <v>345350</v>
      </c>
      <c r="I112" s="25">
        <v>0</v>
      </c>
      <c r="J112" s="9">
        <f t="shared" si="3"/>
        <v>500350</v>
      </c>
    </row>
    <row r="113" spans="1:10">
      <c r="A113" s="8">
        <v>151</v>
      </c>
      <c r="B113" s="1" t="s">
        <v>321</v>
      </c>
      <c r="C113" s="12" t="s">
        <v>313</v>
      </c>
      <c r="D113" s="4" t="s">
        <v>24</v>
      </c>
      <c r="E113" s="4">
        <v>255000</v>
      </c>
      <c r="F113" s="4">
        <v>0</v>
      </c>
      <c r="G113" s="20">
        <v>0</v>
      </c>
      <c r="H113" s="25">
        <v>392250</v>
      </c>
      <c r="I113" s="25">
        <v>100000</v>
      </c>
      <c r="J113" s="9">
        <f t="shared" si="3"/>
        <v>747250</v>
      </c>
    </row>
    <row r="114" spans="1:10" ht="47.25">
      <c r="A114" s="8">
        <v>152</v>
      </c>
      <c r="B114" s="1" t="s">
        <v>322</v>
      </c>
      <c r="C114" s="12" t="s">
        <v>323</v>
      </c>
      <c r="D114" s="4" t="s">
        <v>24</v>
      </c>
      <c r="E114" s="4">
        <v>137500</v>
      </c>
      <c r="F114" s="4">
        <v>0</v>
      </c>
      <c r="G114" s="20">
        <v>0</v>
      </c>
      <c r="H114" s="25">
        <v>359450</v>
      </c>
      <c r="I114" s="25">
        <v>0</v>
      </c>
      <c r="J114" s="9">
        <f t="shared" si="3"/>
        <v>496950</v>
      </c>
    </row>
    <row r="115" spans="1:10">
      <c r="A115" s="8">
        <v>154</v>
      </c>
      <c r="B115" s="1" t="s">
        <v>325</v>
      </c>
      <c r="C115" s="61" t="s">
        <v>326</v>
      </c>
      <c r="D115" s="4" t="s">
        <v>24</v>
      </c>
      <c r="E115" s="4">
        <v>0</v>
      </c>
      <c r="F115" s="4">
        <v>0</v>
      </c>
      <c r="G115" s="22">
        <v>931000</v>
      </c>
      <c r="H115" s="25">
        <v>557300</v>
      </c>
      <c r="I115" s="25">
        <v>0</v>
      </c>
      <c r="J115" s="9">
        <f t="shared" si="3"/>
        <v>1488300</v>
      </c>
    </row>
    <row r="116" spans="1:10">
      <c r="A116" s="8">
        <v>155</v>
      </c>
      <c r="B116" s="1" t="s">
        <v>327</v>
      </c>
      <c r="C116" s="12" t="s">
        <v>313</v>
      </c>
      <c r="D116" s="4" t="s">
        <v>24</v>
      </c>
      <c r="E116" s="4">
        <v>155000</v>
      </c>
      <c r="F116" s="4">
        <v>0</v>
      </c>
      <c r="G116" s="20">
        <v>0</v>
      </c>
      <c r="H116" s="20">
        <v>258750</v>
      </c>
      <c r="I116" s="25">
        <v>0</v>
      </c>
      <c r="J116" s="9">
        <f t="shared" si="3"/>
        <v>413750</v>
      </c>
    </row>
    <row r="117" spans="1:10">
      <c r="A117" s="8">
        <v>156</v>
      </c>
      <c r="B117" s="1" t="s">
        <v>329</v>
      </c>
      <c r="C117" s="12" t="s">
        <v>330</v>
      </c>
      <c r="D117" s="4" t="s">
        <v>24</v>
      </c>
      <c r="E117" s="4">
        <v>1039000</v>
      </c>
      <c r="F117" s="76">
        <v>1010000</v>
      </c>
      <c r="G117" s="22">
        <v>899000</v>
      </c>
      <c r="H117" s="25">
        <v>1164700</v>
      </c>
      <c r="I117" s="24">
        <f>100000+276000</f>
        <v>376000</v>
      </c>
      <c r="J117" s="9">
        <f t="shared" si="3"/>
        <v>4488700</v>
      </c>
    </row>
    <row r="118" spans="1:10" ht="31.5">
      <c r="A118" s="8">
        <v>157</v>
      </c>
      <c r="B118" s="1" t="s">
        <v>331</v>
      </c>
      <c r="C118" s="5" t="s">
        <v>421</v>
      </c>
      <c r="D118" s="4" t="s">
        <v>24</v>
      </c>
      <c r="E118" s="4">
        <v>0</v>
      </c>
      <c r="F118" s="4">
        <v>0</v>
      </c>
      <c r="G118" s="20">
        <v>0</v>
      </c>
      <c r="H118" s="25">
        <v>195000</v>
      </c>
      <c r="I118" s="25">
        <v>100000</v>
      </c>
      <c r="J118" s="9">
        <f t="shared" si="3"/>
        <v>295000</v>
      </c>
    </row>
    <row r="119" spans="1:10">
      <c r="A119" s="8">
        <v>158</v>
      </c>
      <c r="B119" s="1" t="s">
        <v>332</v>
      </c>
      <c r="C119" s="4" t="s">
        <v>333</v>
      </c>
      <c r="D119" s="4" t="s">
        <v>24</v>
      </c>
      <c r="E119" s="4">
        <v>741983</v>
      </c>
      <c r="F119" s="4">
        <v>0</v>
      </c>
      <c r="G119" s="22">
        <v>1078065</v>
      </c>
      <c r="H119" s="25">
        <v>1012650</v>
      </c>
      <c r="I119" s="25">
        <v>0</v>
      </c>
      <c r="J119" s="9">
        <f t="shared" si="3"/>
        <v>2832698</v>
      </c>
    </row>
    <row r="120" spans="1:10">
      <c r="A120" s="8">
        <v>159</v>
      </c>
      <c r="B120" s="1" t="s">
        <v>334</v>
      </c>
      <c r="C120" s="4" t="s">
        <v>335</v>
      </c>
      <c r="D120" s="4" t="s">
        <v>24</v>
      </c>
      <c r="E120" s="4">
        <v>155000</v>
      </c>
      <c r="F120" s="4">
        <v>0</v>
      </c>
      <c r="G120" s="20">
        <v>0</v>
      </c>
      <c r="H120" s="25">
        <v>841750</v>
      </c>
      <c r="I120" s="25">
        <v>100000</v>
      </c>
      <c r="J120" s="9">
        <f t="shared" si="3"/>
        <v>1096750</v>
      </c>
    </row>
    <row r="121" spans="1:10">
      <c r="A121" s="8">
        <v>160</v>
      </c>
      <c r="B121" s="1" t="s">
        <v>336</v>
      </c>
      <c r="C121" s="4" t="s">
        <v>26</v>
      </c>
      <c r="D121" s="4" t="s">
        <v>24</v>
      </c>
      <c r="E121" s="4">
        <v>412000</v>
      </c>
      <c r="F121" s="4">
        <v>0</v>
      </c>
      <c r="G121" s="20">
        <v>0</v>
      </c>
      <c r="H121" s="25">
        <v>689400</v>
      </c>
      <c r="I121" s="25">
        <v>100000</v>
      </c>
      <c r="J121" s="9">
        <f t="shared" si="3"/>
        <v>1201400</v>
      </c>
    </row>
    <row r="122" spans="1:10">
      <c r="A122" s="8">
        <v>161</v>
      </c>
      <c r="B122" s="1" t="s">
        <v>337</v>
      </c>
      <c r="C122" s="5" t="s">
        <v>335</v>
      </c>
      <c r="D122" s="4" t="s">
        <v>24</v>
      </c>
      <c r="E122" s="4">
        <v>0</v>
      </c>
      <c r="F122" s="4">
        <v>0</v>
      </c>
      <c r="G122" s="20">
        <v>0</v>
      </c>
      <c r="H122" s="25">
        <v>195000</v>
      </c>
      <c r="I122" s="25">
        <v>0</v>
      </c>
      <c r="J122" s="9">
        <f t="shared" si="3"/>
        <v>195000</v>
      </c>
    </row>
    <row r="123" spans="1:10" ht="31.5">
      <c r="A123" s="8">
        <v>162</v>
      </c>
      <c r="B123" s="1" t="s">
        <v>471</v>
      </c>
      <c r="C123" s="4" t="s">
        <v>26</v>
      </c>
      <c r="D123" s="4" t="s">
        <v>24</v>
      </c>
      <c r="E123" s="4">
        <v>343000</v>
      </c>
      <c r="F123" s="4">
        <v>0</v>
      </c>
      <c r="G123" s="20">
        <v>0</v>
      </c>
      <c r="H123" s="25">
        <v>835150</v>
      </c>
      <c r="I123" s="25">
        <v>0</v>
      </c>
      <c r="J123" s="9">
        <f t="shared" si="3"/>
        <v>1178150</v>
      </c>
    </row>
    <row r="124" spans="1:10">
      <c r="A124" s="8">
        <v>163</v>
      </c>
      <c r="B124" s="1" t="s">
        <v>339</v>
      </c>
      <c r="C124" s="4" t="s">
        <v>335</v>
      </c>
      <c r="D124" s="4" t="s">
        <v>24</v>
      </c>
      <c r="E124" s="4">
        <v>155000</v>
      </c>
      <c r="F124" s="4">
        <v>0</v>
      </c>
      <c r="G124" s="20">
        <v>0</v>
      </c>
      <c r="H124" s="20">
        <v>0</v>
      </c>
      <c r="I124" s="25">
        <v>0</v>
      </c>
      <c r="J124" s="9">
        <f t="shared" si="3"/>
        <v>155000</v>
      </c>
    </row>
    <row r="125" spans="1:10">
      <c r="A125" s="8">
        <v>164</v>
      </c>
      <c r="B125" s="1" t="s">
        <v>340</v>
      </c>
      <c r="C125" s="4" t="s">
        <v>341</v>
      </c>
      <c r="D125" s="4" t="s">
        <v>24</v>
      </c>
      <c r="E125" s="4">
        <v>762000</v>
      </c>
      <c r="F125" s="76">
        <v>290000</v>
      </c>
      <c r="G125" s="20">
        <v>0</v>
      </c>
      <c r="H125" s="25">
        <v>953000</v>
      </c>
      <c r="I125" s="25">
        <v>0</v>
      </c>
      <c r="J125" s="9">
        <f t="shared" si="3"/>
        <v>2005000</v>
      </c>
    </row>
    <row r="126" spans="1:10" ht="31.5">
      <c r="A126" s="8">
        <v>165</v>
      </c>
      <c r="B126" s="1" t="s">
        <v>342</v>
      </c>
      <c r="C126" s="4" t="s">
        <v>343</v>
      </c>
      <c r="D126" s="4" t="s">
        <v>24</v>
      </c>
      <c r="E126" s="4">
        <v>155000</v>
      </c>
      <c r="F126" s="76">
        <v>1140000</v>
      </c>
      <c r="G126" s="20">
        <v>0</v>
      </c>
      <c r="H126" s="20">
        <v>0</v>
      </c>
      <c r="I126" s="25">
        <v>0</v>
      </c>
      <c r="J126" s="9">
        <f t="shared" si="3"/>
        <v>1295000</v>
      </c>
    </row>
    <row r="127" spans="1:10" ht="47.25">
      <c r="A127" s="8">
        <v>166</v>
      </c>
      <c r="B127" s="1" t="s">
        <v>344</v>
      </c>
      <c r="C127" s="4" t="s">
        <v>345</v>
      </c>
      <c r="D127" s="4" t="s">
        <v>24</v>
      </c>
      <c r="E127" s="4">
        <v>0</v>
      </c>
      <c r="F127" s="4">
        <v>0</v>
      </c>
      <c r="G127" s="20">
        <v>0</v>
      </c>
      <c r="H127" s="20">
        <v>195000</v>
      </c>
      <c r="I127" s="25">
        <v>0</v>
      </c>
      <c r="J127" s="9">
        <f t="shared" si="3"/>
        <v>195000</v>
      </c>
    </row>
    <row r="128" spans="1:10">
      <c r="A128" s="8">
        <v>167</v>
      </c>
      <c r="B128" s="1" t="s">
        <v>346</v>
      </c>
      <c r="C128" s="4" t="s">
        <v>347</v>
      </c>
      <c r="D128" s="4" t="s">
        <v>24</v>
      </c>
      <c r="E128" s="4">
        <v>927000</v>
      </c>
      <c r="F128" s="76">
        <v>1340000</v>
      </c>
      <c r="G128" s="22">
        <v>1323000</v>
      </c>
      <c r="H128" s="20">
        <v>195000</v>
      </c>
      <c r="I128" s="25">
        <v>100000</v>
      </c>
      <c r="J128" s="9">
        <f t="shared" si="3"/>
        <v>3885000</v>
      </c>
    </row>
    <row r="129" spans="1:10">
      <c r="A129" s="8">
        <v>168</v>
      </c>
      <c r="B129" s="1" t="s">
        <v>348</v>
      </c>
      <c r="C129" s="5" t="s">
        <v>422</v>
      </c>
      <c r="D129" s="4" t="s">
        <v>24</v>
      </c>
      <c r="E129" s="4">
        <v>0</v>
      </c>
      <c r="F129" s="4">
        <v>0</v>
      </c>
      <c r="G129" s="20">
        <v>0</v>
      </c>
      <c r="H129" s="20">
        <v>195000</v>
      </c>
      <c r="I129" s="25">
        <v>0</v>
      </c>
      <c r="J129" s="9">
        <f t="shared" si="3"/>
        <v>195000</v>
      </c>
    </row>
    <row r="130" spans="1:10">
      <c r="A130" s="8">
        <v>169</v>
      </c>
      <c r="B130" s="63" t="s">
        <v>349</v>
      </c>
      <c r="C130" s="5" t="s">
        <v>423</v>
      </c>
      <c r="D130" s="4" t="s">
        <v>24</v>
      </c>
      <c r="E130" s="4">
        <v>0</v>
      </c>
      <c r="F130" s="4">
        <v>0</v>
      </c>
      <c r="G130" s="20">
        <v>0</v>
      </c>
      <c r="H130" s="20">
        <v>258750</v>
      </c>
      <c r="I130" s="25">
        <v>0</v>
      </c>
      <c r="J130" s="9">
        <f t="shared" si="3"/>
        <v>258750</v>
      </c>
    </row>
    <row r="131" spans="1:10">
      <c r="A131" s="8">
        <v>170</v>
      </c>
      <c r="B131" s="2" t="s">
        <v>350</v>
      </c>
      <c r="C131" s="4" t="s">
        <v>347</v>
      </c>
      <c r="D131" s="4" t="s">
        <v>24</v>
      </c>
      <c r="E131" s="4">
        <v>0</v>
      </c>
      <c r="F131" s="4">
        <v>0</v>
      </c>
      <c r="G131" s="20">
        <v>0</v>
      </c>
      <c r="H131" s="20">
        <v>0</v>
      </c>
      <c r="I131" s="25">
        <v>100000</v>
      </c>
      <c r="J131" s="9">
        <f t="shared" si="3"/>
        <v>100000</v>
      </c>
    </row>
    <row r="132" spans="1:10" ht="31.5">
      <c r="A132" s="8">
        <v>173</v>
      </c>
      <c r="B132" s="1" t="s">
        <v>353</v>
      </c>
      <c r="C132" s="46" t="s">
        <v>354</v>
      </c>
      <c r="D132" s="4" t="s">
        <v>24</v>
      </c>
      <c r="E132" s="4">
        <v>0</v>
      </c>
      <c r="F132" s="4">
        <v>0</v>
      </c>
      <c r="G132" s="22">
        <v>1092000</v>
      </c>
      <c r="H132" s="25">
        <v>1321050</v>
      </c>
      <c r="I132" s="25">
        <v>0</v>
      </c>
      <c r="J132" s="9">
        <f t="shared" ref="J132:J149" si="4">E132+F132+G132+H132+I132</f>
        <v>2413050</v>
      </c>
    </row>
    <row r="133" spans="1:10" ht="31.5">
      <c r="A133" s="8">
        <v>174</v>
      </c>
      <c r="B133" s="1" t="s">
        <v>355</v>
      </c>
      <c r="C133" s="4" t="s">
        <v>335</v>
      </c>
      <c r="D133" s="4" t="s">
        <v>24</v>
      </c>
      <c r="E133" s="4">
        <v>247000</v>
      </c>
      <c r="F133" s="76">
        <v>990000</v>
      </c>
      <c r="G133" s="22">
        <v>177414</v>
      </c>
      <c r="H133" s="25">
        <v>1144000</v>
      </c>
      <c r="I133" s="25">
        <v>100000</v>
      </c>
      <c r="J133" s="9">
        <f t="shared" si="4"/>
        <v>2658414</v>
      </c>
    </row>
    <row r="134" spans="1:10">
      <c r="A134" s="8">
        <v>175</v>
      </c>
      <c r="B134" s="1" t="s">
        <v>356</v>
      </c>
      <c r="C134" s="4" t="s">
        <v>313</v>
      </c>
      <c r="D134" s="4" t="s">
        <v>24</v>
      </c>
      <c r="E134" s="4">
        <v>0</v>
      </c>
      <c r="F134" s="4">
        <v>0</v>
      </c>
      <c r="G134" s="20">
        <v>0</v>
      </c>
      <c r="H134" s="20">
        <v>195000</v>
      </c>
      <c r="I134" s="25">
        <v>0</v>
      </c>
      <c r="J134" s="9">
        <f t="shared" si="4"/>
        <v>195000</v>
      </c>
    </row>
    <row r="135" spans="1:10">
      <c r="A135" s="8">
        <v>176</v>
      </c>
      <c r="B135" s="1" t="s">
        <v>119</v>
      </c>
      <c r="C135" s="4" t="s">
        <v>309</v>
      </c>
      <c r="D135" s="4" t="s">
        <v>24</v>
      </c>
      <c r="E135" s="4">
        <v>155000</v>
      </c>
      <c r="F135" s="4">
        <v>0</v>
      </c>
      <c r="G135" s="20">
        <v>0</v>
      </c>
      <c r="H135" s="20">
        <v>0</v>
      </c>
      <c r="I135" s="25">
        <v>100000</v>
      </c>
      <c r="J135" s="9">
        <f t="shared" si="4"/>
        <v>255000</v>
      </c>
    </row>
    <row r="136" spans="1:10" ht="31.5">
      <c r="A136" s="8">
        <v>177</v>
      </c>
      <c r="B136" s="1" t="s">
        <v>357</v>
      </c>
      <c r="C136" s="12" t="s">
        <v>358</v>
      </c>
      <c r="D136" s="4" t="s">
        <v>24</v>
      </c>
      <c r="E136" s="4">
        <v>566000</v>
      </c>
      <c r="F136" s="76">
        <v>1620000</v>
      </c>
      <c r="G136" s="20">
        <v>0</v>
      </c>
      <c r="H136" s="25">
        <v>840750</v>
      </c>
      <c r="I136" s="25">
        <v>0</v>
      </c>
      <c r="J136" s="9">
        <f t="shared" si="4"/>
        <v>3026750</v>
      </c>
    </row>
    <row r="137" spans="1:10">
      <c r="A137" s="8">
        <v>178</v>
      </c>
      <c r="B137" s="42" t="s">
        <v>359</v>
      </c>
      <c r="C137" s="64" t="s">
        <v>360</v>
      </c>
      <c r="D137" s="4" t="s">
        <v>24</v>
      </c>
      <c r="E137" s="4">
        <v>0</v>
      </c>
      <c r="F137" s="4">
        <v>0</v>
      </c>
      <c r="G137" s="22">
        <v>1550000</v>
      </c>
      <c r="H137" s="25">
        <v>0</v>
      </c>
      <c r="I137" s="25">
        <v>0</v>
      </c>
      <c r="J137" s="9">
        <f t="shared" si="4"/>
        <v>1550000</v>
      </c>
    </row>
    <row r="138" spans="1:10">
      <c r="A138" s="8">
        <v>179</v>
      </c>
      <c r="B138" s="2" t="s">
        <v>14</v>
      </c>
      <c r="C138" s="13" t="s">
        <v>26</v>
      </c>
      <c r="D138" s="4" t="s">
        <v>24</v>
      </c>
      <c r="E138" s="4">
        <v>0</v>
      </c>
      <c r="F138" s="4">
        <v>0</v>
      </c>
      <c r="G138" s="26">
        <v>0</v>
      </c>
      <c r="H138" s="25">
        <v>0</v>
      </c>
      <c r="I138" s="25">
        <v>100000</v>
      </c>
      <c r="J138" s="9">
        <f t="shared" si="4"/>
        <v>100000</v>
      </c>
    </row>
    <row r="139" spans="1:10" ht="31.5">
      <c r="A139" s="8">
        <v>181</v>
      </c>
      <c r="B139" s="1" t="s">
        <v>8</v>
      </c>
      <c r="C139" s="5" t="s">
        <v>426</v>
      </c>
      <c r="D139" s="4" t="s">
        <v>62</v>
      </c>
      <c r="E139" s="4">
        <v>0</v>
      </c>
      <c r="F139" s="76">
        <v>0</v>
      </c>
      <c r="G139" s="20">
        <v>0</v>
      </c>
      <c r="H139" s="25">
        <v>195000</v>
      </c>
      <c r="I139" s="25">
        <v>0</v>
      </c>
      <c r="J139" s="9">
        <f t="shared" si="4"/>
        <v>195000</v>
      </c>
    </row>
    <row r="140" spans="1:10" ht="31.5">
      <c r="A140" s="8">
        <v>183</v>
      </c>
      <c r="B140" s="1" t="s">
        <v>364</v>
      </c>
      <c r="C140" s="4" t="s">
        <v>365</v>
      </c>
      <c r="D140" s="4" t="s">
        <v>23</v>
      </c>
      <c r="E140" s="4">
        <f>399694+3753</f>
        <v>403447</v>
      </c>
      <c r="F140" s="4">
        <v>0</v>
      </c>
      <c r="G140" s="20">
        <v>0</v>
      </c>
      <c r="H140" s="25">
        <v>1079050</v>
      </c>
      <c r="I140" s="25">
        <v>0</v>
      </c>
      <c r="J140" s="9">
        <f t="shared" si="4"/>
        <v>1482497</v>
      </c>
    </row>
    <row r="141" spans="1:10">
      <c r="A141" s="8">
        <v>185</v>
      </c>
      <c r="B141" s="1" t="s">
        <v>368</v>
      </c>
      <c r="C141" s="4" t="s">
        <v>369</v>
      </c>
      <c r="D141" s="4" t="s">
        <v>23</v>
      </c>
      <c r="E141" s="4">
        <v>0</v>
      </c>
      <c r="F141" s="4">
        <v>0</v>
      </c>
      <c r="G141" s="20">
        <v>0</v>
      </c>
      <c r="H141" s="20">
        <v>195000</v>
      </c>
      <c r="I141" s="25">
        <v>100000</v>
      </c>
      <c r="J141" s="9">
        <f t="shared" si="4"/>
        <v>295000</v>
      </c>
    </row>
    <row r="142" spans="1:10">
      <c r="A142" s="8">
        <v>186</v>
      </c>
      <c r="B142" s="1" t="s">
        <v>370</v>
      </c>
      <c r="C142" s="4" t="s">
        <v>371</v>
      </c>
      <c r="D142" s="4" t="s">
        <v>23</v>
      </c>
      <c r="E142" s="4">
        <v>453500</v>
      </c>
      <c r="F142" s="4">
        <v>0</v>
      </c>
      <c r="G142" s="20">
        <v>0</v>
      </c>
      <c r="H142" s="25">
        <v>636450</v>
      </c>
      <c r="I142" s="25">
        <v>100000</v>
      </c>
      <c r="J142" s="9">
        <f t="shared" si="4"/>
        <v>1189950</v>
      </c>
    </row>
    <row r="143" spans="1:10">
      <c r="A143" s="8">
        <v>187</v>
      </c>
      <c r="B143" s="1" t="s">
        <v>372</v>
      </c>
      <c r="C143" s="4" t="s">
        <v>371</v>
      </c>
      <c r="D143" s="4" t="s">
        <v>23</v>
      </c>
      <c r="E143" s="4">
        <v>155000</v>
      </c>
      <c r="F143" s="4">
        <v>0</v>
      </c>
      <c r="G143" s="20">
        <v>0</v>
      </c>
      <c r="H143" s="25">
        <v>238650</v>
      </c>
      <c r="I143" s="25">
        <v>0</v>
      </c>
      <c r="J143" s="9">
        <f t="shared" si="4"/>
        <v>393650</v>
      </c>
    </row>
    <row r="144" spans="1:10">
      <c r="A144" s="8">
        <v>188</v>
      </c>
      <c r="B144" s="1" t="s">
        <v>373</v>
      </c>
      <c r="C144" s="4" t="s">
        <v>374</v>
      </c>
      <c r="D144" s="4" t="s">
        <v>23</v>
      </c>
      <c r="E144" s="4">
        <v>719000</v>
      </c>
      <c r="F144" s="4">
        <v>0</v>
      </c>
      <c r="G144" s="20">
        <v>0</v>
      </c>
      <c r="H144" s="20">
        <v>0</v>
      </c>
      <c r="I144" s="25">
        <v>100000</v>
      </c>
      <c r="J144" s="9">
        <f t="shared" si="4"/>
        <v>819000</v>
      </c>
    </row>
    <row r="145" spans="1:10">
      <c r="A145" s="8">
        <v>189</v>
      </c>
      <c r="B145" s="1" t="s">
        <v>375</v>
      </c>
      <c r="C145" s="4" t="s">
        <v>376</v>
      </c>
      <c r="D145" s="4" t="s">
        <v>23</v>
      </c>
      <c r="E145" s="4">
        <v>155000</v>
      </c>
      <c r="F145" s="4">
        <v>0</v>
      </c>
      <c r="G145" s="20">
        <v>0</v>
      </c>
      <c r="H145" s="20">
        <v>195000</v>
      </c>
      <c r="I145" s="25">
        <v>100000</v>
      </c>
      <c r="J145" s="9">
        <f t="shared" si="4"/>
        <v>450000</v>
      </c>
    </row>
    <row r="146" spans="1:10" ht="31.5">
      <c r="A146" s="8">
        <v>190</v>
      </c>
      <c r="B146" s="1" t="s">
        <v>472</v>
      </c>
      <c r="C146" s="4" t="s">
        <v>378</v>
      </c>
      <c r="D146" s="4" t="s">
        <v>23</v>
      </c>
      <c r="E146" s="4">
        <v>529000</v>
      </c>
      <c r="F146" s="4">
        <v>0</v>
      </c>
      <c r="G146" s="20">
        <v>0</v>
      </c>
      <c r="H146" s="25">
        <v>787400</v>
      </c>
      <c r="I146" s="25">
        <v>0</v>
      </c>
      <c r="J146" s="9">
        <f t="shared" si="4"/>
        <v>1316400</v>
      </c>
    </row>
    <row r="147" spans="1:10">
      <c r="A147" s="8">
        <v>191</v>
      </c>
      <c r="B147" s="40" t="s">
        <v>379</v>
      </c>
      <c r="C147" s="41" t="s">
        <v>380</v>
      </c>
      <c r="D147" s="4" t="s">
        <v>23</v>
      </c>
      <c r="E147" s="4">
        <v>0</v>
      </c>
      <c r="F147" s="76">
        <f>1200000+70000</f>
        <v>1270000</v>
      </c>
      <c r="G147" s="20">
        <v>0</v>
      </c>
      <c r="H147" s="25">
        <v>0</v>
      </c>
      <c r="I147" s="25">
        <v>0</v>
      </c>
      <c r="J147" s="9">
        <f t="shared" si="4"/>
        <v>1270000</v>
      </c>
    </row>
    <row r="148" spans="1:10" ht="31.5">
      <c r="A148" s="8">
        <v>192</v>
      </c>
      <c r="B148" s="1" t="s">
        <v>383</v>
      </c>
      <c r="C148" s="4" t="s">
        <v>380</v>
      </c>
      <c r="D148" s="4" t="s">
        <v>23</v>
      </c>
      <c r="E148" s="4">
        <v>498500</v>
      </c>
      <c r="F148" s="4">
        <v>0</v>
      </c>
      <c r="G148" s="20">
        <v>0</v>
      </c>
      <c r="H148" s="20">
        <v>0</v>
      </c>
      <c r="I148" s="25">
        <v>0</v>
      </c>
      <c r="J148" s="9">
        <f t="shared" si="4"/>
        <v>498500</v>
      </c>
    </row>
    <row r="149" spans="1:10">
      <c r="A149" s="8">
        <v>194</v>
      </c>
      <c r="B149" s="1" t="s">
        <v>385</v>
      </c>
      <c r="C149" s="4" t="s">
        <v>386</v>
      </c>
      <c r="D149" s="4" t="s">
        <v>23</v>
      </c>
      <c r="E149" s="4">
        <v>155000</v>
      </c>
      <c r="F149" s="4">
        <v>0</v>
      </c>
      <c r="G149" s="20">
        <v>0</v>
      </c>
      <c r="H149" s="20">
        <v>0</v>
      </c>
      <c r="I149" s="25">
        <v>0</v>
      </c>
      <c r="J149" s="9">
        <f t="shared" si="4"/>
        <v>155000</v>
      </c>
    </row>
    <row r="150" spans="1:10" s="127" customFormat="1" ht="16.5" thickBot="1">
      <c r="A150" s="112"/>
      <c r="B150" s="113" t="s">
        <v>63</v>
      </c>
      <c r="C150" s="114"/>
      <c r="D150" s="114"/>
      <c r="E150" s="114">
        <f t="shared" ref="E150:J150" si="5">SUM(E4:E149)</f>
        <v>31213052</v>
      </c>
      <c r="F150" s="114">
        <f t="shared" si="5"/>
        <v>36620000</v>
      </c>
      <c r="G150" s="114">
        <f t="shared" si="5"/>
        <v>24874479</v>
      </c>
      <c r="H150" s="114">
        <f t="shared" si="5"/>
        <v>62724231</v>
      </c>
      <c r="I150" s="114">
        <f t="shared" si="5"/>
        <v>4682000</v>
      </c>
      <c r="J150" s="114">
        <f t="shared" si="5"/>
        <v>160113762</v>
      </c>
    </row>
    <row r="151" spans="1:10" ht="16.5" thickTop="1">
      <c r="A151" s="3"/>
      <c r="F151" s="75"/>
      <c r="G151" s="75"/>
    </row>
    <row r="153" spans="1:10">
      <c r="A153" s="3"/>
    </row>
  </sheetData>
  <autoFilter ref="A3:BM150"/>
  <mergeCells count="3">
    <mergeCell ref="A1:J1"/>
    <mergeCell ref="E2:J2"/>
    <mergeCell ref="A2:D2"/>
  </mergeCells>
  <conditionalFormatting sqref="B51">
    <cfRule type="duplicateValues" dxfId="164" priority="15"/>
  </conditionalFormatting>
  <conditionalFormatting sqref="A3">
    <cfRule type="duplicateValues" dxfId="163" priority="36"/>
  </conditionalFormatting>
  <conditionalFormatting sqref="B151:D1048576 C150:D150 B132:B137 B81:B82 B52 B110:B130 B90:B98 B25:B50 B100:B108 B84:B87 B139:B150 B3:D3 B4:B21 B54:B79">
    <cfRule type="duplicateValues" dxfId="162" priority="38"/>
  </conditionalFormatting>
  <conditionalFormatting sqref="B150:D1048576">
    <cfRule type="duplicateValues" dxfId="161" priority="57"/>
  </conditionalFormatting>
  <conditionalFormatting sqref="C150:D150">
    <cfRule type="duplicateValues" dxfId="160" priority="60"/>
  </conditionalFormatting>
  <conditionalFormatting sqref="B150:D150">
    <cfRule type="duplicateValues" dxfId="159" priority="61"/>
  </conditionalFormatting>
  <conditionalFormatting sqref="B3:D3">
    <cfRule type="duplicateValues" dxfId="15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4"/>
  <sheetViews>
    <sheetView topLeftCell="A156" workbookViewId="0">
      <selection activeCell="D173" sqref="D173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2.140625" style="31" customWidth="1"/>
    <col min="6" max="6" width="13.140625" style="3" customWidth="1"/>
    <col min="7" max="9" width="10.7109375" style="3" customWidth="1"/>
    <col min="10" max="10" width="14.140625" style="3" customWidth="1"/>
    <col min="11" max="16384" width="9.140625" style="3"/>
  </cols>
  <sheetData>
    <row r="1" spans="1:38" s="6" customFormat="1" ht="23.25" customHeight="1">
      <c r="A1" s="179" t="s">
        <v>487</v>
      </c>
      <c r="B1" s="179"/>
      <c r="C1" s="179"/>
      <c r="D1" s="179"/>
      <c r="E1" s="179"/>
      <c r="F1" s="179"/>
      <c r="G1" s="179"/>
      <c r="H1" s="179"/>
      <c r="I1" s="179"/>
      <c r="J1" s="179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 customHeight="1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</row>
    <row r="3" spans="1:38" s="7" customFormat="1" ht="47.25">
      <c r="A3" s="129" t="s">
        <v>47</v>
      </c>
      <c r="B3" s="129" t="s">
        <v>13</v>
      </c>
      <c r="C3" s="129" t="s">
        <v>46</v>
      </c>
      <c r="D3" s="129" t="s">
        <v>16</v>
      </c>
      <c r="E3" s="128" t="s">
        <v>388</v>
      </c>
      <c r="F3" s="128" t="s">
        <v>54</v>
      </c>
      <c r="G3" s="128" t="s">
        <v>55</v>
      </c>
      <c r="H3" s="128" t="s">
        <v>56</v>
      </c>
      <c r="I3" s="128" t="s">
        <v>389</v>
      </c>
      <c r="J3" s="131" t="s">
        <v>57</v>
      </c>
    </row>
    <row r="4" spans="1:38">
      <c r="A4" s="8">
        <v>1</v>
      </c>
      <c r="B4" s="1" t="s">
        <v>66</v>
      </c>
      <c r="C4" s="4" t="s">
        <v>67</v>
      </c>
      <c r="D4" s="4" t="s">
        <v>29</v>
      </c>
      <c r="E4" s="4">
        <f>165000+154000+198000+20000+60000</f>
        <v>597000</v>
      </c>
      <c r="F4" s="4">
        <v>0</v>
      </c>
      <c r="G4" s="4">
        <v>0</v>
      </c>
      <c r="H4" s="10">
        <f>805550+120000</f>
        <v>925550</v>
      </c>
      <c r="I4" s="10">
        <v>0</v>
      </c>
      <c r="J4" s="9">
        <f t="shared" ref="J4:J35" si="0">E4+F4+G4+H4+I4</f>
        <v>1522550</v>
      </c>
    </row>
    <row r="5" spans="1:38">
      <c r="A5" s="8">
        <v>2</v>
      </c>
      <c r="B5" s="1" t="s">
        <v>68</v>
      </c>
      <c r="C5" s="4" t="s">
        <v>39</v>
      </c>
      <c r="D5" s="4" t="s">
        <v>29</v>
      </c>
      <c r="E5" s="4">
        <v>220000</v>
      </c>
      <c r="F5" s="4">
        <v>0</v>
      </c>
      <c r="G5" s="4">
        <v>0</v>
      </c>
      <c r="H5" s="10">
        <v>145500</v>
      </c>
      <c r="I5" s="10">
        <v>0</v>
      </c>
      <c r="J5" s="9">
        <f t="shared" si="0"/>
        <v>365500</v>
      </c>
    </row>
    <row r="6" spans="1:38">
      <c r="A6" s="8">
        <v>3</v>
      </c>
      <c r="B6" s="1" t="s">
        <v>69</v>
      </c>
      <c r="C6" s="4" t="s">
        <v>67</v>
      </c>
      <c r="D6" s="4" t="s">
        <v>29</v>
      </c>
      <c r="E6" s="4">
        <v>330000</v>
      </c>
      <c r="F6" s="4">
        <v>0</v>
      </c>
      <c r="G6" s="4">
        <v>0</v>
      </c>
      <c r="H6" s="10">
        <f>669300+90000</f>
        <v>759300</v>
      </c>
      <c r="I6" s="10">
        <v>0</v>
      </c>
      <c r="J6" s="9">
        <f t="shared" si="0"/>
        <v>1089300</v>
      </c>
    </row>
    <row r="7" spans="1:38">
      <c r="A7" s="8">
        <v>4</v>
      </c>
      <c r="B7" s="1" t="s">
        <v>70</v>
      </c>
      <c r="C7" s="4" t="s">
        <v>71</v>
      </c>
      <c r="D7" s="4" t="s">
        <v>29</v>
      </c>
      <c r="E7" s="4">
        <f>155000+313500</f>
        <v>468500</v>
      </c>
      <c r="F7" s="4">
        <v>0</v>
      </c>
      <c r="G7" s="4">
        <v>2759000</v>
      </c>
      <c r="H7" s="10">
        <f>620800+150000</f>
        <v>770800</v>
      </c>
      <c r="I7" s="10">
        <v>0</v>
      </c>
      <c r="J7" s="9">
        <f t="shared" si="0"/>
        <v>3998300</v>
      </c>
    </row>
    <row r="8" spans="1:38">
      <c r="A8" s="8">
        <v>5</v>
      </c>
      <c r="B8" s="1" t="s">
        <v>11</v>
      </c>
      <c r="C8" s="4" t="s">
        <v>39</v>
      </c>
      <c r="D8" s="4" t="s">
        <v>29</v>
      </c>
      <c r="E8" s="4">
        <v>0</v>
      </c>
      <c r="F8" s="76">
        <v>920000</v>
      </c>
      <c r="G8" s="4">
        <v>840000</v>
      </c>
      <c r="H8" s="10">
        <v>1051200</v>
      </c>
      <c r="I8" s="10">
        <v>0</v>
      </c>
      <c r="J8" s="9">
        <f t="shared" si="0"/>
        <v>2811200</v>
      </c>
    </row>
    <row r="9" spans="1:38">
      <c r="A9" s="8">
        <v>6</v>
      </c>
      <c r="B9" s="1" t="s">
        <v>72</v>
      </c>
      <c r="C9" s="33" t="s">
        <v>73</v>
      </c>
      <c r="D9" s="4" t="s">
        <v>29</v>
      </c>
      <c r="E9" s="4">
        <v>0</v>
      </c>
      <c r="F9" s="4">
        <v>0</v>
      </c>
      <c r="G9" s="4">
        <v>0</v>
      </c>
      <c r="H9" s="10">
        <f>494700+150000</f>
        <v>644700</v>
      </c>
      <c r="I9" s="10">
        <v>0</v>
      </c>
      <c r="J9" s="9">
        <f t="shared" si="0"/>
        <v>644700</v>
      </c>
    </row>
    <row r="10" spans="1:38">
      <c r="A10" s="8">
        <v>7</v>
      </c>
      <c r="B10" s="1" t="s">
        <v>74</v>
      </c>
      <c r="C10" s="4" t="s">
        <v>75</v>
      </c>
      <c r="D10" s="4" t="s">
        <v>29</v>
      </c>
      <c r="E10" s="4">
        <v>220000</v>
      </c>
      <c r="F10" s="4">
        <v>0</v>
      </c>
      <c r="G10" s="4">
        <v>0</v>
      </c>
      <c r="H10" s="10">
        <v>523800</v>
      </c>
      <c r="I10" s="10">
        <v>0</v>
      </c>
      <c r="J10" s="9">
        <f t="shared" si="0"/>
        <v>743800</v>
      </c>
    </row>
    <row r="11" spans="1:38">
      <c r="A11" s="8">
        <v>8</v>
      </c>
      <c r="B11" s="1" t="s">
        <v>76</v>
      </c>
      <c r="C11" s="5" t="s">
        <v>67</v>
      </c>
      <c r="D11" s="4" t="s">
        <v>29</v>
      </c>
      <c r="E11" s="4">
        <v>0</v>
      </c>
      <c r="F11" s="4">
        <v>0</v>
      </c>
      <c r="G11" s="4">
        <v>0</v>
      </c>
      <c r="H11" s="10">
        <f>1004850+120000</f>
        <v>1124850</v>
      </c>
      <c r="I11" s="10">
        <v>0</v>
      </c>
      <c r="J11" s="9">
        <f t="shared" si="0"/>
        <v>1124850</v>
      </c>
    </row>
    <row r="12" spans="1:38">
      <c r="A12" s="8">
        <v>9</v>
      </c>
      <c r="B12" s="1" t="s">
        <v>77</v>
      </c>
      <c r="C12" s="4" t="s">
        <v>78</v>
      </c>
      <c r="D12" s="4" t="s">
        <v>29</v>
      </c>
      <c r="E12" s="4">
        <v>0</v>
      </c>
      <c r="F12" s="76">
        <v>290000</v>
      </c>
      <c r="G12" s="4">
        <v>0</v>
      </c>
      <c r="H12" s="10">
        <v>0</v>
      </c>
      <c r="I12" s="10">
        <v>0</v>
      </c>
      <c r="J12" s="9">
        <f t="shared" si="0"/>
        <v>290000</v>
      </c>
    </row>
    <row r="13" spans="1:38" ht="31.5">
      <c r="A13" s="8">
        <v>10</v>
      </c>
      <c r="B13" s="1" t="s">
        <v>79</v>
      </c>
      <c r="C13" s="4" t="s">
        <v>80</v>
      </c>
      <c r="D13" s="4" t="s">
        <v>29</v>
      </c>
      <c r="E13" s="4">
        <f>155000+32667</f>
        <v>187667</v>
      </c>
      <c r="F13" s="4">
        <v>0</v>
      </c>
      <c r="G13" s="4">
        <v>0</v>
      </c>
      <c r="H13" s="10">
        <f>787850+210000</f>
        <v>997850</v>
      </c>
      <c r="I13" s="10">
        <v>0</v>
      </c>
      <c r="J13" s="9">
        <f t="shared" si="0"/>
        <v>1185517</v>
      </c>
    </row>
    <row r="14" spans="1:38">
      <c r="A14" s="8">
        <v>11</v>
      </c>
      <c r="B14" s="1" t="s">
        <v>81</v>
      </c>
      <c r="C14" s="4" t="s">
        <v>82</v>
      </c>
      <c r="D14" s="4" t="s">
        <v>29</v>
      </c>
      <c r="E14" s="4">
        <f>155000+190500+20000</f>
        <v>365500</v>
      </c>
      <c r="F14" s="76">
        <v>970000</v>
      </c>
      <c r="G14" s="4">
        <v>0</v>
      </c>
      <c r="H14" s="4">
        <v>0</v>
      </c>
      <c r="I14" s="10">
        <v>0</v>
      </c>
      <c r="J14" s="9">
        <f t="shared" si="0"/>
        <v>1335500</v>
      </c>
    </row>
    <row r="15" spans="1:38">
      <c r="A15" s="8">
        <v>12</v>
      </c>
      <c r="B15" s="1" t="s">
        <v>84</v>
      </c>
      <c r="C15" s="4" t="s">
        <v>85</v>
      </c>
      <c r="D15" s="4" t="s">
        <v>35</v>
      </c>
      <c r="E15" s="4">
        <v>155000</v>
      </c>
      <c r="F15" s="4">
        <v>0</v>
      </c>
      <c r="G15" s="4">
        <v>0</v>
      </c>
      <c r="H15" s="4">
        <v>0</v>
      </c>
      <c r="I15" s="10">
        <v>0</v>
      </c>
      <c r="J15" s="9">
        <f t="shared" si="0"/>
        <v>155000</v>
      </c>
    </row>
    <row r="16" spans="1:38">
      <c r="A16" s="8">
        <v>13</v>
      </c>
      <c r="B16" s="1" t="s">
        <v>7</v>
      </c>
      <c r="C16" s="4" t="s">
        <v>40</v>
      </c>
      <c r="D16" s="4" t="s">
        <v>35</v>
      </c>
      <c r="E16" s="4">
        <f>418500+93000+46500</f>
        <v>558000</v>
      </c>
      <c r="F16" s="4">
        <v>0</v>
      </c>
      <c r="G16" s="4">
        <v>0</v>
      </c>
      <c r="H16" s="4">
        <v>0</v>
      </c>
      <c r="I16" s="10">
        <v>0</v>
      </c>
      <c r="J16" s="9">
        <f t="shared" si="0"/>
        <v>558000</v>
      </c>
    </row>
    <row r="17" spans="1:10" ht="31.5">
      <c r="A17" s="8">
        <v>14</v>
      </c>
      <c r="B17" s="1" t="s">
        <v>87</v>
      </c>
      <c r="C17" s="4" t="s">
        <v>88</v>
      </c>
      <c r="D17" s="4" t="s">
        <v>18</v>
      </c>
      <c r="E17" s="4">
        <v>155000</v>
      </c>
      <c r="F17" s="4">
        <v>0</v>
      </c>
      <c r="G17" s="4">
        <v>0</v>
      </c>
      <c r="H17" s="10">
        <v>259750</v>
      </c>
      <c r="I17" s="10">
        <v>376000</v>
      </c>
      <c r="J17" s="9">
        <f t="shared" si="0"/>
        <v>790750</v>
      </c>
    </row>
    <row r="18" spans="1:10">
      <c r="A18" s="8">
        <v>15</v>
      </c>
      <c r="B18" s="1" t="s">
        <v>89</v>
      </c>
      <c r="C18" s="4" t="s">
        <v>90</v>
      </c>
      <c r="D18" s="4" t="s">
        <v>18</v>
      </c>
      <c r="E18" s="4">
        <v>155000</v>
      </c>
      <c r="F18" s="4">
        <v>0</v>
      </c>
      <c r="G18" s="4">
        <v>0</v>
      </c>
      <c r="H18" s="10">
        <f>258750+140000</f>
        <v>398750</v>
      </c>
      <c r="I18" s="10">
        <v>376000</v>
      </c>
      <c r="J18" s="9">
        <f t="shared" si="0"/>
        <v>929750</v>
      </c>
    </row>
    <row r="19" spans="1:10" ht="31.5">
      <c r="A19" s="8">
        <v>16</v>
      </c>
      <c r="B19" s="1" t="s">
        <v>91</v>
      </c>
      <c r="C19" s="4" t="s">
        <v>92</v>
      </c>
      <c r="D19" s="4" t="s">
        <v>18</v>
      </c>
      <c r="E19" s="4">
        <f>462000+77000+286000+330000+110000+40000</f>
        <v>1305000</v>
      </c>
      <c r="F19" s="4">
        <v>0</v>
      </c>
      <c r="G19" s="4">
        <v>1516000</v>
      </c>
      <c r="H19" s="4">
        <v>0</v>
      </c>
      <c r="I19" s="10">
        <v>0</v>
      </c>
      <c r="J19" s="9">
        <f t="shared" si="0"/>
        <v>2821000</v>
      </c>
    </row>
    <row r="20" spans="1:10">
      <c r="A20" s="8">
        <v>17</v>
      </c>
      <c r="B20" s="1" t="s">
        <v>9</v>
      </c>
      <c r="C20" s="4" t="s">
        <v>42</v>
      </c>
      <c r="D20" s="4" t="s">
        <v>18</v>
      </c>
      <c r="E20" s="4">
        <v>0</v>
      </c>
      <c r="F20" s="4">
        <v>0</v>
      </c>
      <c r="G20" s="4">
        <v>1575000</v>
      </c>
      <c r="H20" s="10">
        <v>1018500</v>
      </c>
      <c r="I20" s="10">
        <v>522000</v>
      </c>
      <c r="J20" s="9">
        <f t="shared" si="0"/>
        <v>3115500</v>
      </c>
    </row>
    <row r="21" spans="1:10" ht="31.5">
      <c r="A21" s="8">
        <v>18</v>
      </c>
      <c r="B21" s="1" t="s">
        <v>93</v>
      </c>
      <c r="C21" s="4" t="s">
        <v>94</v>
      </c>
      <c r="D21" s="4" t="s">
        <v>18</v>
      </c>
      <c r="E21" s="4">
        <v>379500</v>
      </c>
      <c r="F21" s="4">
        <v>0</v>
      </c>
      <c r="G21" s="4">
        <v>0</v>
      </c>
      <c r="H21" s="10">
        <v>436500</v>
      </c>
      <c r="I21" s="10">
        <v>0</v>
      </c>
      <c r="J21" s="9">
        <f t="shared" si="0"/>
        <v>816000</v>
      </c>
    </row>
    <row r="22" spans="1:10">
      <c r="A22" s="8">
        <v>19</v>
      </c>
      <c r="B22" s="1" t="s">
        <v>97</v>
      </c>
      <c r="C22" s="4" t="s">
        <v>96</v>
      </c>
      <c r="D22" s="4" t="s">
        <v>98</v>
      </c>
      <c r="E22" s="4">
        <v>-155000</v>
      </c>
      <c r="F22" s="4">
        <v>0</v>
      </c>
      <c r="G22" s="4">
        <v>0</v>
      </c>
      <c r="H22" s="4">
        <v>0</v>
      </c>
      <c r="I22" s="10">
        <v>0</v>
      </c>
      <c r="J22" s="9">
        <f t="shared" si="0"/>
        <v>-155000</v>
      </c>
    </row>
    <row r="23" spans="1:10" ht="30">
      <c r="A23" s="8">
        <v>20</v>
      </c>
      <c r="B23" s="2" t="s">
        <v>99</v>
      </c>
      <c r="C23" s="4" t="s">
        <v>96</v>
      </c>
      <c r="D23" s="4" t="s">
        <v>98</v>
      </c>
      <c r="E23" s="5">
        <v>0</v>
      </c>
      <c r="F23" s="4">
        <v>0</v>
      </c>
      <c r="G23" s="4">
        <v>0</v>
      </c>
      <c r="H23" s="4">
        <v>0</v>
      </c>
      <c r="I23" s="10">
        <v>100000</v>
      </c>
      <c r="J23" s="9">
        <f t="shared" si="0"/>
        <v>100000</v>
      </c>
    </row>
    <row r="24" spans="1:10">
      <c r="A24" s="8">
        <v>21</v>
      </c>
      <c r="B24" s="1" t="s">
        <v>101</v>
      </c>
      <c r="C24" s="4" t="s">
        <v>102</v>
      </c>
      <c r="D24" s="4" t="s">
        <v>31</v>
      </c>
      <c r="E24" s="4">
        <v>155000</v>
      </c>
      <c r="F24" s="4">
        <v>0</v>
      </c>
      <c r="G24" s="20">
        <v>0</v>
      </c>
      <c r="H24" s="20">
        <v>0</v>
      </c>
      <c r="I24" s="25">
        <v>0</v>
      </c>
      <c r="J24" s="9">
        <f t="shared" si="0"/>
        <v>155000</v>
      </c>
    </row>
    <row r="25" spans="1:10">
      <c r="A25" s="8">
        <v>22</v>
      </c>
      <c r="B25" s="1" t="s">
        <v>103</v>
      </c>
      <c r="C25" s="4" t="s">
        <v>104</v>
      </c>
      <c r="D25" s="4" t="s">
        <v>31</v>
      </c>
      <c r="E25" s="4">
        <f>33000+115933</f>
        <v>148933</v>
      </c>
      <c r="F25" s="76">
        <v>290000</v>
      </c>
      <c r="G25" s="4">
        <v>252000</v>
      </c>
      <c r="H25" s="25">
        <v>122950</v>
      </c>
      <c r="I25" s="25">
        <v>276000</v>
      </c>
      <c r="J25" s="9">
        <f t="shared" si="0"/>
        <v>1089883</v>
      </c>
    </row>
    <row r="26" spans="1:10">
      <c r="A26" s="8">
        <v>23</v>
      </c>
      <c r="B26" s="1" t="s">
        <v>12</v>
      </c>
      <c r="C26" s="4" t="s">
        <v>45</v>
      </c>
      <c r="D26" s="4" t="s">
        <v>31</v>
      </c>
      <c r="E26" s="4">
        <v>155000</v>
      </c>
      <c r="F26" s="76">
        <v>820000</v>
      </c>
      <c r="G26" s="4">
        <v>530000</v>
      </c>
      <c r="H26" s="20">
        <v>0</v>
      </c>
      <c r="I26" s="25">
        <v>0</v>
      </c>
      <c r="J26" s="9">
        <f t="shared" si="0"/>
        <v>1505000</v>
      </c>
    </row>
    <row r="27" spans="1:10">
      <c r="A27" s="8">
        <v>24</v>
      </c>
      <c r="B27" s="1" t="s">
        <v>110</v>
      </c>
      <c r="C27" s="4" t="s">
        <v>108</v>
      </c>
      <c r="D27" s="4" t="s">
        <v>108</v>
      </c>
      <c r="E27" s="4">
        <f>44000+22000+8000+140000</f>
        <v>214000</v>
      </c>
      <c r="F27" s="4">
        <v>0</v>
      </c>
      <c r="G27" s="20">
        <v>0</v>
      </c>
      <c r="H27" s="20">
        <v>0</v>
      </c>
      <c r="I27" s="25">
        <v>0</v>
      </c>
      <c r="J27" s="9">
        <f t="shared" si="0"/>
        <v>214000</v>
      </c>
    </row>
    <row r="28" spans="1:10" ht="31.5">
      <c r="A28" s="8">
        <v>25</v>
      </c>
      <c r="B28" s="1" t="s">
        <v>111</v>
      </c>
      <c r="C28" s="4" t="s">
        <v>108</v>
      </c>
      <c r="D28" s="4" t="s">
        <v>108</v>
      </c>
      <c r="E28" s="4">
        <v>0</v>
      </c>
      <c r="F28" s="4">
        <v>0</v>
      </c>
      <c r="G28" s="20">
        <v>0</v>
      </c>
      <c r="H28" s="24">
        <f>32950+112000</f>
        <v>144950</v>
      </c>
      <c r="I28" s="25">
        <v>0</v>
      </c>
      <c r="J28" s="9">
        <f t="shared" si="0"/>
        <v>144950</v>
      </c>
    </row>
    <row r="29" spans="1:10">
      <c r="A29" s="8">
        <v>26</v>
      </c>
      <c r="B29" s="40" t="s">
        <v>112</v>
      </c>
      <c r="C29" s="4" t="s">
        <v>108</v>
      </c>
      <c r="D29" s="4" t="s">
        <v>108</v>
      </c>
      <c r="E29" s="4">
        <v>0</v>
      </c>
      <c r="F29" s="76">
        <v>1200000</v>
      </c>
      <c r="G29" s="20">
        <v>0</v>
      </c>
      <c r="H29" s="24">
        <v>0</v>
      </c>
      <c r="I29" s="25">
        <v>0</v>
      </c>
      <c r="J29" s="9">
        <f t="shared" si="0"/>
        <v>1200000</v>
      </c>
    </row>
    <row r="30" spans="1:10">
      <c r="A30" s="8">
        <v>27</v>
      </c>
      <c r="B30" s="1" t="s">
        <v>113</v>
      </c>
      <c r="C30" s="41" t="s">
        <v>114</v>
      </c>
      <c r="D30" s="4" t="s">
        <v>108</v>
      </c>
      <c r="E30" s="4">
        <v>0</v>
      </c>
      <c r="F30" s="4">
        <v>0</v>
      </c>
      <c r="G30" s="20">
        <v>0</v>
      </c>
      <c r="H30" s="24">
        <v>199000</v>
      </c>
      <c r="I30" s="25">
        <v>0</v>
      </c>
      <c r="J30" s="9">
        <f t="shared" si="0"/>
        <v>199000</v>
      </c>
    </row>
    <row r="31" spans="1:10">
      <c r="A31" s="8">
        <v>28</v>
      </c>
      <c r="B31" s="1" t="s">
        <v>115</v>
      </c>
      <c r="C31" s="4" t="s">
        <v>116</v>
      </c>
      <c r="D31" s="4" t="s">
        <v>108</v>
      </c>
      <c r="E31" s="4">
        <v>303500</v>
      </c>
      <c r="F31" s="4">
        <v>0</v>
      </c>
      <c r="G31" s="4">
        <v>404000</v>
      </c>
      <c r="H31" s="24">
        <v>449800</v>
      </c>
      <c r="I31" s="25">
        <v>100000</v>
      </c>
      <c r="J31" s="9">
        <f t="shared" si="0"/>
        <v>1257300</v>
      </c>
    </row>
    <row r="32" spans="1:10" ht="31.5">
      <c r="A32" s="8">
        <v>29</v>
      </c>
      <c r="B32" s="1" t="s">
        <v>117</v>
      </c>
      <c r="C32" s="4" t="s">
        <v>114</v>
      </c>
      <c r="D32" s="4" t="s">
        <v>108</v>
      </c>
      <c r="E32" s="4">
        <v>0</v>
      </c>
      <c r="F32" s="76">
        <v>-290000</v>
      </c>
      <c r="G32" s="20">
        <v>0</v>
      </c>
      <c r="H32" s="24">
        <v>0</v>
      </c>
      <c r="I32" s="25">
        <v>0</v>
      </c>
      <c r="J32" s="9">
        <f t="shared" si="0"/>
        <v>-290000</v>
      </c>
    </row>
    <row r="33" spans="1:10">
      <c r="A33" s="8">
        <v>30</v>
      </c>
      <c r="B33" s="1" t="s">
        <v>118</v>
      </c>
      <c r="C33" s="4" t="s">
        <v>108</v>
      </c>
      <c r="D33" s="4" t="s">
        <v>108</v>
      </c>
      <c r="E33" s="4">
        <f>155000+40000</f>
        <v>195000</v>
      </c>
      <c r="F33" s="4">
        <v>0</v>
      </c>
      <c r="G33" s="20">
        <v>0</v>
      </c>
      <c r="H33" s="20">
        <v>0</v>
      </c>
      <c r="I33" s="25">
        <v>0</v>
      </c>
      <c r="J33" s="9">
        <f t="shared" si="0"/>
        <v>195000</v>
      </c>
    </row>
    <row r="34" spans="1:10">
      <c r="A34" s="8">
        <v>31</v>
      </c>
      <c r="B34" s="1" t="s">
        <v>121</v>
      </c>
      <c r="C34" s="4" t="s">
        <v>108</v>
      </c>
      <c r="D34" s="4" t="s">
        <v>108</v>
      </c>
      <c r="E34" s="4">
        <v>44000</v>
      </c>
      <c r="F34" s="4">
        <v>0</v>
      </c>
      <c r="G34" s="20">
        <v>0</v>
      </c>
      <c r="H34" s="24">
        <v>188250</v>
      </c>
      <c r="I34" s="25">
        <v>0</v>
      </c>
      <c r="J34" s="9">
        <f t="shared" si="0"/>
        <v>232250</v>
      </c>
    </row>
    <row r="35" spans="1:10" ht="31.5">
      <c r="A35" s="8">
        <v>32</v>
      </c>
      <c r="B35" s="1" t="s">
        <v>123</v>
      </c>
      <c r="C35" s="4" t="s">
        <v>124</v>
      </c>
      <c r="D35" s="4" t="s">
        <v>20</v>
      </c>
      <c r="E35" s="5">
        <v>0</v>
      </c>
      <c r="F35" s="4">
        <v>0</v>
      </c>
      <c r="G35" s="20">
        <v>0</v>
      </c>
      <c r="H35" s="25">
        <f>202300+70000</f>
        <v>272300</v>
      </c>
      <c r="I35" s="25">
        <v>0</v>
      </c>
      <c r="J35" s="9">
        <f t="shared" si="0"/>
        <v>272300</v>
      </c>
    </row>
    <row r="36" spans="1:10" ht="31.5">
      <c r="A36" s="8">
        <v>33</v>
      </c>
      <c r="B36" s="1" t="s">
        <v>125</v>
      </c>
      <c r="C36" s="4" t="s">
        <v>126</v>
      </c>
      <c r="D36" s="4" t="s">
        <v>20</v>
      </c>
      <c r="E36" s="4">
        <f>60500+60500+200000</f>
        <v>321000</v>
      </c>
      <c r="F36" s="4">
        <v>0</v>
      </c>
      <c r="G36" s="20">
        <v>0</v>
      </c>
      <c r="H36" s="25">
        <v>377050</v>
      </c>
      <c r="I36" s="25">
        <v>0</v>
      </c>
      <c r="J36" s="9">
        <f t="shared" ref="J36:J67" si="1">E36+F36+G36+H36+I36</f>
        <v>698050</v>
      </c>
    </row>
    <row r="37" spans="1:10">
      <c r="A37" s="8">
        <v>34</v>
      </c>
      <c r="B37" s="1" t="s">
        <v>127</v>
      </c>
      <c r="C37" s="4" t="s">
        <v>128</v>
      </c>
      <c r="D37" s="4" t="s">
        <v>20</v>
      </c>
      <c r="E37" s="4">
        <v>311100</v>
      </c>
      <c r="F37" s="4">
        <v>0</v>
      </c>
      <c r="G37" s="20">
        <v>0</v>
      </c>
      <c r="H37" s="20">
        <v>0</v>
      </c>
      <c r="I37" s="25">
        <v>0</v>
      </c>
      <c r="J37" s="9">
        <f t="shared" si="1"/>
        <v>311100</v>
      </c>
    </row>
    <row r="38" spans="1:10">
      <c r="A38" s="8">
        <v>35</v>
      </c>
      <c r="B38" s="1" t="s">
        <v>129</v>
      </c>
      <c r="C38" s="4" t="s">
        <v>130</v>
      </c>
      <c r="D38" s="4" t="s">
        <v>20</v>
      </c>
      <c r="E38" s="4">
        <v>0</v>
      </c>
      <c r="F38" s="4">
        <v>0</v>
      </c>
      <c r="G38" s="20">
        <v>0</v>
      </c>
      <c r="H38" s="25">
        <v>73150</v>
      </c>
      <c r="I38" s="25">
        <v>0</v>
      </c>
      <c r="J38" s="9">
        <f t="shared" si="1"/>
        <v>73150</v>
      </c>
    </row>
    <row r="39" spans="1:10" ht="31.5">
      <c r="A39" s="8">
        <v>36</v>
      </c>
      <c r="B39" s="1" t="s">
        <v>131</v>
      </c>
      <c r="C39" s="4" t="s">
        <v>132</v>
      </c>
      <c r="D39" s="4" t="s">
        <v>20</v>
      </c>
      <c r="E39" s="4">
        <f>71500+71500+231000</f>
        <v>374000</v>
      </c>
      <c r="F39" s="4">
        <v>0</v>
      </c>
      <c r="G39" s="20">
        <v>0</v>
      </c>
      <c r="H39" s="25">
        <v>174600</v>
      </c>
      <c r="I39" s="25">
        <v>0</v>
      </c>
      <c r="J39" s="9">
        <f t="shared" si="1"/>
        <v>548600</v>
      </c>
    </row>
    <row r="40" spans="1:10">
      <c r="A40" s="8">
        <v>37</v>
      </c>
      <c r="B40" s="1" t="s">
        <v>52</v>
      </c>
      <c r="C40" s="4" t="s">
        <v>30</v>
      </c>
      <c r="D40" s="4" t="s">
        <v>20</v>
      </c>
      <c r="E40" s="4">
        <f>108000+36000</f>
        <v>144000</v>
      </c>
      <c r="F40" s="4">
        <v>0</v>
      </c>
      <c r="G40" s="20">
        <v>0</v>
      </c>
      <c r="H40" s="20">
        <v>0</v>
      </c>
      <c r="I40" s="25">
        <v>0</v>
      </c>
      <c r="J40" s="9">
        <f t="shared" si="1"/>
        <v>144000</v>
      </c>
    </row>
    <row r="41" spans="1:10" ht="31.5">
      <c r="A41" s="8">
        <v>38</v>
      </c>
      <c r="B41" s="1" t="s">
        <v>133</v>
      </c>
      <c r="C41" s="4" t="s">
        <v>134</v>
      </c>
      <c r="D41" s="4" t="s">
        <v>20</v>
      </c>
      <c r="E41" s="4">
        <f>82500+82500</f>
        <v>165000</v>
      </c>
      <c r="F41" s="4">
        <v>0</v>
      </c>
      <c r="G41" s="4">
        <v>448000</v>
      </c>
      <c r="H41" s="25">
        <v>412250</v>
      </c>
      <c r="I41" s="25">
        <v>0</v>
      </c>
      <c r="J41" s="9">
        <f t="shared" si="1"/>
        <v>1025250</v>
      </c>
    </row>
    <row r="42" spans="1:10" ht="47.25">
      <c r="A42" s="8">
        <v>39</v>
      </c>
      <c r="B42" s="1" t="s">
        <v>135</v>
      </c>
      <c r="C42" s="4" t="s">
        <v>124</v>
      </c>
      <c r="D42" s="4" t="s">
        <v>20</v>
      </c>
      <c r="E42" s="4">
        <f>60500+60500+170500</f>
        <v>291500</v>
      </c>
      <c r="F42" s="4">
        <v>0</v>
      </c>
      <c r="G42" s="20">
        <v>0</v>
      </c>
      <c r="H42" s="25">
        <v>375250</v>
      </c>
      <c r="I42" s="25">
        <v>100000</v>
      </c>
      <c r="J42" s="9">
        <f t="shared" si="1"/>
        <v>766750</v>
      </c>
    </row>
    <row r="43" spans="1:10">
      <c r="A43" s="8">
        <v>40</v>
      </c>
      <c r="B43" s="1" t="s">
        <v>137</v>
      </c>
      <c r="C43" s="5" t="s">
        <v>409</v>
      </c>
      <c r="D43" s="4" t="s">
        <v>19</v>
      </c>
      <c r="E43" s="5">
        <v>0</v>
      </c>
      <c r="F43" s="4">
        <v>0</v>
      </c>
      <c r="G43" s="20">
        <v>0</v>
      </c>
      <c r="H43" s="25">
        <f>546900+180000</f>
        <v>726900</v>
      </c>
      <c r="I43" s="25">
        <v>540000</v>
      </c>
      <c r="J43" s="9">
        <f t="shared" si="1"/>
        <v>1266900</v>
      </c>
    </row>
    <row r="44" spans="1:10">
      <c r="A44" s="8">
        <v>41</v>
      </c>
      <c r="B44" s="1" t="s">
        <v>394</v>
      </c>
      <c r="C44" s="12" t="s">
        <v>395</v>
      </c>
      <c r="D44" s="4" t="s">
        <v>19</v>
      </c>
      <c r="E44" s="5">
        <v>0</v>
      </c>
      <c r="F44" s="4">
        <v>0</v>
      </c>
      <c r="G44" s="20">
        <v>0</v>
      </c>
      <c r="H44" s="25">
        <v>0</v>
      </c>
      <c r="I44" s="25">
        <v>-100000</v>
      </c>
      <c r="J44" s="9">
        <f t="shared" si="1"/>
        <v>-100000</v>
      </c>
    </row>
    <row r="45" spans="1:10">
      <c r="A45" s="8">
        <v>42</v>
      </c>
      <c r="B45" s="1" t="s">
        <v>59</v>
      </c>
      <c r="C45" s="12" t="s">
        <v>27</v>
      </c>
      <c r="D45" s="4" t="s">
        <v>19</v>
      </c>
      <c r="E45" s="4">
        <v>0</v>
      </c>
      <c r="F45" s="4">
        <v>0</v>
      </c>
      <c r="G45" s="20">
        <v>0</v>
      </c>
      <c r="H45" s="20">
        <v>36000</v>
      </c>
      <c r="I45" s="25">
        <v>0</v>
      </c>
      <c r="J45" s="9">
        <f t="shared" si="1"/>
        <v>36000</v>
      </c>
    </row>
    <row r="46" spans="1:10">
      <c r="A46" s="8">
        <v>43</v>
      </c>
      <c r="B46" s="1" t="s">
        <v>138</v>
      </c>
      <c r="C46" s="12" t="s">
        <v>139</v>
      </c>
      <c r="D46" s="4" t="s">
        <v>19</v>
      </c>
      <c r="E46" s="4">
        <f>323000+565000</f>
        <v>888000</v>
      </c>
      <c r="F46" s="76">
        <v>1890000</v>
      </c>
      <c r="G46" s="4">
        <v>2310000</v>
      </c>
      <c r="H46" s="25">
        <v>436500</v>
      </c>
      <c r="I46" s="25">
        <v>0</v>
      </c>
      <c r="J46" s="9">
        <f t="shared" si="1"/>
        <v>5524500</v>
      </c>
    </row>
    <row r="47" spans="1:10">
      <c r="A47" s="8">
        <v>44</v>
      </c>
      <c r="B47" s="1" t="s">
        <v>140</v>
      </c>
      <c r="C47" s="12" t="s">
        <v>141</v>
      </c>
      <c r="D47" s="4" t="s">
        <v>19</v>
      </c>
      <c r="E47" s="4">
        <f>5500+11000</f>
        <v>16500</v>
      </c>
      <c r="F47" s="4">
        <v>0</v>
      </c>
      <c r="G47" s="4">
        <v>0</v>
      </c>
      <c r="H47" s="25">
        <v>95900</v>
      </c>
      <c r="I47" s="25">
        <v>230000</v>
      </c>
      <c r="J47" s="9">
        <f t="shared" si="1"/>
        <v>342400</v>
      </c>
    </row>
    <row r="48" spans="1:10">
      <c r="A48" s="8">
        <v>45</v>
      </c>
      <c r="B48" s="1" t="s">
        <v>142</v>
      </c>
      <c r="C48" s="5" t="s">
        <v>410</v>
      </c>
      <c r="D48" s="4" t="s">
        <v>19</v>
      </c>
      <c r="E48" s="4">
        <v>0</v>
      </c>
      <c r="F48" s="4">
        <v>0</v>
      </c>
      <c r="G48" s="4">
        <v>0</v>
      </c>
      <c r="H48" s="25">
        <v>254000</v>
      </c>
      <c r="I48" s="25">
        <v>0</v>
      </c>
      <c r="J48" s="9">
        <f t="shared" si="1"/>
        <v>254000</v>
      </c>
    </row>
    <row r="49" spans="1:10">
      <c r="A49" s="8">
        <v>46</v>
      </c>
      <c r="B49" s="1" t="s">
        <v>143</v>
      </c>
      <c r="C49" s="12" t="s">
        <v>144</v>
      </c>
      <c r="D49" s="4" t="s">
        <v>19</v>
      </c>
      <c r="E49" s="4">
        <v>0</v>
      </c>
      <c r="F49" s="4">
        <v>0</v>
      </c>
      <c r="G49" s="4">
        <v>0</v>
      </c>
      <c r="H49" s="20">
        <v>0</v>
      </c>
      <c r="I49" s="25">
        <v>348400</v>
      </c>
      <c r="J49" s="9">
        <f t="shared" si="1"/>
        <v>348400</v>
      </c>
    </row>
    <row r="50" spans="1:10" ht="47.25">
      <c r="A50" s="8">
        <v>47</v>
      </c>
      <c r="B50" s="1" t="s">
        <v>145</v>
      </c>
      <c r="C50" s="12" t="s">
        <v>146</v>
      </c>
      <c r="D50" s="4" t="s">
        <v>19</v>
      </c>
      <c r="E50" s="4">
        <v>155000</v>
      </c>
      <c r="F50" s="4">
        <v>0</v>
      </c>
      <c r="G50" s="4">
        <v>290000</v>
      </c>
      <c r="H50" s="25">
        <v>67900</v>
      </c>
      <c r="I50" s="25">
        <v>0</v>
      </c>
      <c r="J50" s="9">
        <f t="shared" si="1"/>
        <v>512900</v>
      </c>
    </row>
    <row r="51" spans="1:10">
      <c r="A51" s="8">
        <v>48</v>
      </c>
      <c r="B51" s="1" t="s">
        <v>151</v>
      </c>
      <c r="C51" s="4" t="s">
        <v>152</v>
      </c>
      <c r="D51" s="4" t="s">
        <v>153</v>
      </c>
      <c r="E51" s="4">
        <v>187500</v>
      </c>
      <c r="F51" s="4">
        <v>0</v>
      </c>
      <c r="G51" s="20">
        <v>0</v>
      </c>
      <c r="H51" s="25">
        <v>223100</v>
      </c>
      <c r="I51" s="25">
        <v>230000</v>
      </c>
      <c r="J51" s="9">
        <f t="shared" si="1"/>
        <v>640600</v>
      </c>
    </row>
    <row r="52" spans="1:10" ht="31.5">
      <c r="A52" s="8">
        <v>49</v>
      </c>
      <c r="B52" s="1" t="s">
        <v>154</v>
      </c>
      <c r="C52" s="4" t="s">
        <v>155</v>
      </c>
      <c r="D52" s="4" t="s">
        <v>153</v>
      </c>
      <c r="E52" s="4">
        <v>22000</v>
      </c>
      <c r="F52" s="4">
        <v>0</v>
      </c>
      <c r="G52" s="20">
        <v>0</v>
      </c>
      <c r="H52" s="25">
        <v>586850</v>
      </c>
      <c r="I52" s="25">
        <v>0</v>
      </c>
      <c r="J52" s="9">
        <f t="shared" si="1"/>
        <v>608850</v>
      </c>
    </row>
    <row r="53" spans="1:10" ht="31.5">
      <c r="A53" s="8">
        <v>50</v>
      </c>
      <c r="B53" s="1" t="s">
        <v>156</v>
      </c>
      <c r="C53" s="5" t="s">
        <v>411</v>
      </c>
      <c r="D53" s="4" t="s">
        <v>153</v>
      </c>
      <c r="E53" s="4">
        <v>0</v>
      </c>
      <c r="F53" s="4">
        <v>0</v>
      </c>
      <c r="G53" s="20">
        <v>0</v>
      </c>
      <c r="H53" s="20">
        <v>-195000</v>
      </c>
      <c r="I53" s="25">
        <v>0</v>
      </c>
      <c r="J53" s="9">
        <f t="shared" si="1"/>
        <v>-195000</v>
      </c>
    </row>
    <row r="54" spans="1:10" ht="31.5">
      <c r="A54" s="8">
        <v>51</v>
      </c>
      <c r="B54" s="1" t="s">
        <v>160</v>
      </c>
      <c r="C54" s="4" t="s">
        <v>161</v>
      </c>
      <c r="D54" s="4" t="s">
        <v>159</v>
      </c>
      <c r="E54" s="4">
        <v>155000</v>
      </c>
      <c r="F54" s="4">
        <v>0</v>
      </c>
      <c r="G54" s="20">
        <v>0</v>
      </c>
      <c r="H54" s="20">
        <v>0</v>
      </c>
      <c r="I54" s="25">
        <v>0</v>
      </c>
      <c r="J54" s="9">
        <f t="shared" si="1"/>
        <v>155000</v>
      </c>
    </row>
    <row r="55" spans="1:10">
      <c r="A55" s="8">
        <v>52</v>
      </c>
      <c r="B55" s="1" t="s">
        <v>162</v>
      </c>
      <c r="C55" s="4" t="s">
        <v>163</v>
      </c>
      <c r="D55" s="4" t="s">
        <v>159</v>
      </c>
      <c r="E55" s="4">
        <f>60500+60500+286000+100000</f>
        <v>507000</v>
      </c>
      <c r="F55" s="4">
        <v>0</v>
      </c>
      <c r="G55" s="20">
        <v>0</v>
      </c>
      <c r="H55" s="20">
        <v>0</v>
      </c>
      <c r="I55" s="25">
        <v>0</v>
      </c>
      <c r="J55" s="9">
        <f t="shared" si="1"/>
        <v>507000</v>
      </c>
    </row>
    <row r="56" spans="1:10">
      <c r="A56" s="8">
        <v>53</v>
      </c>
      <c r="B56" s="1" t="s">
        <v>164</v>
      </c>
      <c r="C56" s="4" t="s">
        <v>165</v>
      </c>
      <c r="D56" s="4" t="s">
        <v>159</v>
      </c>
      <c r="E56" s="4">
        <v>87500</v>
      </c>
      <c r="F56" s="4">
        <v>0</v>
      </c>
      <c r="G56" s="20">
        <v>0</v>
      </c>
      <c r="H56" s="25">
        <v>0</v>
      </c>
      <c r="I56" s="25">
        <v>0</v>
      </c>
      <c r="J56" s="9">
        <f t="shared" si="1"/>
        <v>87500</v>
      </c>
    </row>
    <row r="57" spans="1:10">
      <c r="A57" s="8">
        <v>54</v>
      </c>
      <c r="B57" s="1" t="s">
        <v>166</v>
      </c>
      <c r="C57" s="4" t="s">
        <v>167</v>
      </c>
      <c r="D57" s="4" t="s">
        <v>159</v>
      </c>
      <c r="E57" s="4">
        <f>155000+104500+93500+110000+20000</f>
        <v>483000</v>
      </c>
      <c r="F57" s="4">
        <v>0</v>
      </c>
      <c r="G57" s="20">
        <v>0</v>
      </c>
      <c r="H57" s="20">
        <v>0</v>
      </c>
      <c r="I57" s="25">
        <v>0</v>
      </c>
      <c r="J57" s="9">
        <f t="shared" si="1"/>
        <v>483000</v>
      </c>
    </row>
    <row r="58" spans="1:10">
      <c r="A58" s="8">
        <v>55</v>
      </c>
      <c r="B58" s="1" t="s">
        <v>168</v>
      </c>
      <c r="C58" s="4" t="s">
        <v>169</v>
      </c>
      <c r="D58" s="4" t="s">
        <v>159</v>
      </c>
      <c r="E58" s="4">
        <v>469000</v>
      </c>
      <c r="F58" s="4">
        <v>0</v>
      </c>
      <c r="G58" s="20">
        <v>0</v>
      </c>
      <c r="H58" s="20">
        <v>0</v>
      </c>
      <c r="I58" s="25">
        <v>0</v>
      </c>
      <c r="J58" s="9">
        <f t="shared" si="1"/>
        <v>469000</v>
      </c>
    </row>
    <row r="59" spans="1:10">
      <c r="A59" s="8">
        <v>56</v>
      </c>
      <c r="B59" s="1" t="s">
        <v>170</v>
      </c>
      <c r="C59" s="4" t="s">
        <v>171</v>
      </c>
      <c r="D59" s="4" t="s">
        <v>159</v>
      </c>
      <c r="E59" s="4">
        <v>0</v>
      </c>
      <c r="F59" s="4">
        <v>0</v>
      </c>
      <c r="G59" s="20">
        <v>0</v>
      </c>
      <c r="H59" s="25">
        <v>424050</v>
      </c>
      <c r="I59" s="25">
        <v>0</v>
      </c>
      <c r="J59" s="9">
        <f t="shared" si="1"/>
        <v>424050</v>
      </c>
    </row>
    <row r="60" spans="1:10">
      <c r="A60" s="8">
        <v>57</v>
      </c>
      <c r="B60" s="1" t="s">
        <v>172</v>
      </c>
      <c r="C60" s="4" t="s">
        <v>165</v>
      </c>
      <c r="D60" s="4" t="s">
        <v>159</v>
      </c>
      <c r="E60" s="4">
        <v>155000</v>
      </c>
      <c r="F60" s="4">
        <v>0</v>
      </c>
      <c r="G60" s="20">
        <v>0</v>
      </c>
      <c r="H60" s="20">
        <v>0</v>
      </c>
      <c r="I60" s="25">
        <v>0</v>
      </c>
      <c r="J60" s="9">
        <f t="shared" si="1"/>
        <v>155000</v>
      </c>
    </row>
    <row r="61" spans="1:10" ht="31.5">
      <c r="A61" s="8">
        <v>58</v>
      </c>
      <c r="B61" s="1" t="s">
        <v>173</v>
      </c>
      <c r="C61" s="4" t="s">
        <v>174</v>
      </c>
      <c r="D61" s="4" t="s">
        <v>159</v>
      </c>
      <c r="E61" s="4">
        <v>155000</v>
      </c>
      <c r="F61" s="4">
        <v>0</v>
      </c>
      <c r="G61" s="20">
        <v>0</v>
      </c>
      <c r="H61" s="20">
        <v>0</v>
      </c>
      <c r="I61" s="25">
        <v>0</v>
      </c>
      <c r="J61" s="9">
        <f t="shared" si="1"/>
        <v>155000</v>
      </c>
    </row>
    <row r="62" spans="1:10">
      <c r="A62" s="8">
        <v>59</v>
      </c>
      <c r="B62" s="1" t="s">
        <v>175</v>
      </c>
      <c r="C62" s="4" t="s">
        <v>163</v>
      </c>
      <c r="D62" s="4" t="s">
        <v>159</v>
      </c>
      <c r="E62" s="4">
        <v>155000</v>
      </c>
      <c r="F62" s="4">
        <v>0</v>
      </c>
      <c r="G62" s="20">
        <v>0</v>
      </c>
      <c r="H62" s="20">
        <v>0</v>
      </c>
      <c r="I62" s="25">
        <v>0</v>
      </c>
      <c r="J62" s="9">
        <f t="shared" si="1"/>
        <v>155000</v>
      </c>
    </row>
    <row r="63" spans="1:10" ht="31.5">
      <c r="A63" s="8">
        <v>60</v>
      </c>
      <c r="B63" s="1" t="s">
        <v>60</v>
      </c>
      <c r="C63" s="4" t="s">
        <v>33</v>
      </c>
      <c r="D63" s="4" t="s">
        <v>34</v>
      </c>
      <c r="E63" s="4">
        <f>180000-155000</f>
        <v>25000</v>
      </c>
      <c r="F63" s="4">
        <v>0</v>
      </c>
      <c r="G63" s="20">
        <v>0</v>
      </c>
      <c r="H63" s="20">
        <v>0</v>
      </c>
      <c r="I63" s="25">
        <v>0</v>
      </c>
      <c r="J63" s="9">
        <f t="shared" si="1"/>
        <v>25000</v>
      </c>
    </row>
    <row r="64" spans="1:10">
      <c r="A64" s="8">
        <v>61</v>
      </c>
      <c r="B64" s="1" t="s">
        <v>178</v>
      </c>
      <c r="C64" s="4" t="s">
        <v>179</v>
      </c>
      <c r="D64" s="4" t="s">
        <v>17</v>
      </c>
      <c r="E64" s="4">
        <f>110000+110000+330000+110000+80000</f>
        <v>740000</v>
      </c>
      <c r="F64" s="77">
        <v>1650000</v>
      </c>
      <c r="G64" s="4">
        <v>590000</v>
      </c>
      <c r="H64" s="25">
        <f>792000+30000</f>
        <v>822000</v>
      </c>
      <c r="I64" s="25">
        <v>0</v>
      </c>
      <c r="J64" s="9">
        <f t="shared" si="1"/>
        <v>3802000</v>
      </c>
    </row>
    <row r="65" spans="1:10">
      <c r="A65" s="8">
        <v>62</v>
      </c>
      <c r="B65" s="1" t="s">
        <v>180</v>
      </c>
      <c r="C65" s="4" t="s">
        <v>181</v>
      </c>
      <c r="D65" s="4" t="s">
        <v>17</v>
      </c>
      <c r="E65" s="4">
        <v>155000</v>
      </c>
      <c r="F65" s="77">
        <v>390000</v>
      </c>
      <c r="G65" s="4">
        <v>0</v>
      </c>
      <c r="H65" s="25">
        <f>165550+208000</f>
        <v>373550</v>
      </c>
      <c r="I65" s="25">
        <v>0</v>
      </c>
      <c r="J65" s="9">
        <f t="shared" si="1"/>
        <v>918550</v>
      </c>
    </row>
    <row r="66" spans="1:10">
      <c r="A66" s="8">
        <v>63</v>
      </c>
      <c r="B66" s="1" t="s">
        <v>182</v>
      </c>
      <c r="C66" s="4" t="s">
        <v>183</v>
      </c>
      <c r="D66" s="4" t="s">
        <v>17</v>
      </c>
      <c r="E66" s="4">
        <v>0</v>
      </c>
      <c r="F66" s="77">
        <v>290000</v>
      </c>
      <c r="G66" s="4">
        <v>0</v>
      </c>
      <c r="H66" s="25">
        <v>225000</v>
      </c>
      <c r="I66" s="25">
        <v>0</v>
      </c>
      <c r="J66" s="9">
        <f t="shared" si="1"/>
        <v>515000</v>
      </c>
    </row>
    <row r="67" spans="1:10">
      <c r="A67" s="8">
        <v>64</v>
      </c>
      <c r="B67" s="1" t="s">
        <v>184</v>
      </c>
      <c r="C67" s="4" t="s">
        <v>185</v>
      </c>
      <c r="D67" s="4" t="s">
        <v>17</v>
      </c>
      <c r="E67" s="4">
        <f>93500+55000+253000+71500+55000+20000+60000</f>
        <v>608000</v>
      </c>
      <c r="F67" s="4">
        <v>0</v>
      </c>
      <c r="G67" s="4">
        <v>0</v>
      </c>
      <c r="H67" s="20">
        <v>0</v>
      </c>
      <c r="I67" s="25">
        <v>0</v>
      </c>
      <c r="J67" s="9">
        <f t="shared" si="1"/>
        <v>608000</v>
      </c>
    </row>
    <row r="68" spans="1:10">
      <c r="A68" s="8">
        <v>65</v>
      </c>
      <c r="B68" s="42" t="s">
        <v>186</v>
      </c>
      <c r="C68" s="43" t="s">
        <v>187</v>
      </c>
      <c r="D68" s="4" t="s">
        <v>17</v>
      </c>
      <c r="E68" s="4">
        <v>0</v>
      </c>
      <c r="F68" s="4">
        <v>0</v>
      </c>
      <c r="G68" s="4">
        <v>290000</v>
      </c>
      <c r="H68" s="20">
        <v>0</v>
      </c>
      <c r="I68" s="25">
        <v>0</v>
      </c>
      <c r="J68" s="9">
        <f t="shared" ref="J68:J99" si="2">E68+F68+G68+H68+I68</f>
        <v>290000</v>
      </c>
    </row>
    <row r="69" spans="1:10">
      <c r="A69" s="8">
        <v>66</v>
      </c>
      <c r="B69" s="1" t="s">
        <v>188</v>
      </c>
      <c r="C69" s="4" t="s">
        <v>413</v>
      </c>
      <c r="D69" s="4" t="s">
        <v>17</v>
      </c>
      <c r="E69" s="4">
        <v>0</v>
      </c>
      <c r="F69" s="76">
        <v>1620000</v>
      </c>
      <c r="G69" s="20">
        <v>0</v>
      </c>
      <c r="H69" s="25">
        <v>708100</v>
      </c>
      <c r="I69" s="25">
        <v>0</v>
      </c>
      <c r="J69" s="9">
        <f t="shared" si="2"/>
        <v>2328100</v>
      </c>
    </row>
    <row r="70" spans="1:10" ht="47.25">
      <c r="A70" s="8">
        <v>67</v>
      </c>
      <c r="B70" s="1" t="s">
        <v>189</v>
      </c>
      <c r="C70" s="4" t="s">
        <v>190</v>
      </c>
      <c r="D70" s="4" t="s">
        <v>17</v>
      </c>
      <c r="E70" s="4">
        <f>137000+74000+352000</f>
        <v>563000</v>
      </c>
      <c r="F70" s="76">
        <v>940000</v>
      </c>
      <c r="G70" s="20">
        <v>0</v>
      </c>
      <c r="H70" s="25">
        <v>350200</v>
      </c>
      <c r="I70" s="25">
        <v>0</v>
      </c>
      <c r="J70" s="9">
        <f t="shared" si="2"/>
        <v>1853200</v>
      </c>
    </row>
    <row r="71" spans="1:10" ht="31.5">
      <c r="A71" s="8">
        <v>68</v>
      </c>
      <c r="B71" s="1" t="s">
        <v>191</v>
      </c>
      <c r="C71" s="4" t="s">
        <v>185</v>
      </c>
      <c r="D71" s="4" t="s">
        <v>17</v>
      </c>
      <c r="E71" s="4">
        <f>93500+99000+396000+99000</f>
        <v>687500</v>
      </c>
      <c r="F71" s="4">
        <v>0</v>
      </c>
      <c r="G71" s="20">
        <v>0</v>
      </c>
      <c r="H71" s="25">
        <v>522700</v>
      </c>
      <c r="I71" s="25">
        <v>0</v>
      </c>
      <c r="J71" s="9">
        <f t="shared" si="2"/>
        <v>1210200</v>
      </c>
    </row>
    <row r="72" spans="1:10">
      <c r="A72" s="8">
        <v>69</v>
      </c>
      <c r="B72" s="1" t="s">
        <v>192</v>
      </c>
      <c r="C72" s="4" t="s">
        <v>193</v>
      </c>
      <c r="D72" s="4" t="s">
        <v>17</v>
      </c>
      <c r="E72" s="4">
        <f>99000+99000+297000</f>
        <v>495000</v>
      </c>
      <c r="F72" s="76">
        <v>760000</v>
      </c>
      <c r="G72" s="20">
        <v>0</v>
      </c>
      <c r="H72" s="25">
        <v>582000</v>
      </c>
      <c r="I72" s="25">
        <v>366800</v>
      </c>
      <c r="J72" s="9">
        <f t="shared" si="2"/>
        <v>2203800</v>
      </c>
    </row>
    <row r="73" spans="1:10" ht="31.5">
      <c r="A73" s="8">
        <v>70</v>
      </c>
      <c r="B73" s="1" t="s">
        <v>194</v>
      </c>
      <c r="C73" s="4" t="s">
        <v>187</v>
      </c>
      <c r="D73" s="4" t="s">
        <v>17</v>
      </c>
      <c r="E73" s="4">
        <v>151000</v>
      </c>
      <c r="F73" s="4">
        <v>0</v>
      </c>
      <c r="G73" s="20">
        <v>0</v>
      </c>
      <c r="H73" s="20">
        <v>0</v>
      </c>
      <c r="I73" s="25">
        <v>0</v>
      </c>
      <c r="J73" s="9">
        <f t="shared" si="2"/>
        <v>151000</v>
      </c>
    </row>
    <row r="74" spans="1:10">
      <c r="A74" s="8">
        <v>71</v>
      </c>
      <c r="B74" s="1" t="s">
        <v>195</v>
      </c>
      <c r="C74" s="4" t="s">
        <v>196</v>
      </c>
      <c r="D74" s="4" t="s">
        <v>17</v>
      </c>
      <c r="E74" s="4">
        <v>154000</v>
      </c>
      <c r="F74" s="76">
        <v>1260000</v>
      </c>
      <c r="G74" s="20">
        <v>0</v>
      </c>
      <c r="H74" s="25">
        <v>504400</v>
      </c>
      <c r="I74" s="25">
        <v>0</v>
      </c>
      <c r="J74" s="9">
        <f t="shared" si="2"/>
        <v>1918400</v>
      </c>
    </row>
    <row r="75" spans="1:10">
      <c r="A75" s="8">
        <v>72</v>
      </c>
      <c r="B75" s="1" t="s">
        <v>197</v>
      </c>
      <c r="C75" s="4" t="s">
        <v>187</v>
      </c>
      <c r="D75" s="4" t="s">
        <v>17</v>
      </c>
      <c r="E75" s="4">
        <f>104500+110000+110000</f>
        <v>324500</v>
      </c>
      <c r="F75" s="76">
        <v>1480000</v>
      </c>
      <c r="G75" s="20">
        <v>0</v>
      </c>
      <c r="H75" s="20">
        <v>780850</v>
      </c>
      <c r="I75" s="25">
        <v>276000</v>
      </c>
      <c r="J75" s="9">
        <f t="shared" si="2"/>
        <v>2861350</v>
      </c>
    </row>
    <row r="76" spans="1:10">
      <c r="A76" s="8">
        <v>73</v>
      </c>
      <c r="B76" s="1" t="s">
        <v>198</v>
      </c>
      <c r="C76" s="4" t="s">
        <v>193</v>
      </c>
      <c r="D76" s="4" t="s">
        <v>17</v>
      </c>
      <c r="E76" s="4">
        <v>0</v>
      </c>
      <c r="F76" s="76">
        <v>1000000</v>
      </c>
      <c r="G76" s="20">
        <v>0</v>
      </c>
      <c r="H76" s="25">
        <v>582000</v>
      </c>
      <c r="I76" s="25">
        <v>0</v>
      </c>
      <c r="J76" s="9">
        <f t="shared" si="2"/>
        <v>1582000</v>
      </c>
    </row>
    <row r="77" spans="1:10" ht="31.5">
      <c r="A77" s="8">
        <v>74</v>
      </c>
      <c r="B77" s="1" t="s">
        <v>199</v>
      </c>
      <c r="C77" s="4" t="s">
        <v>185</v>
      </c>
      <c r="D77" s="4" t="s">
        <v>17</v>
      </c>
      <c r="E77" s="4">
        <v>0</v>
      </c>
      <c r="F77" s="4">
        <v>0</v>
      </c>
      <c r="G77" s="20">
        <v>0</v>
      </c>
      <c r="H77" s="25">
        <v>680900</v>
      </c>
      <c r="I77" s="25">
        <v>0</v>
      </c>
      <c r="J77" s="9">
        <f t="shared" si="2"/>
        <v>680900</v>
      </c>
    </row>
    <row r="78" spans="1:10">
      <c r="A78" s="8">
        <v>75</v>
      </c>
      <c r="B78" s="1" t="s">
        <v>200</v>
      </c>
      <c r="C78" s="4" t="s">
        <v>201</v>
      </c>
      <c r="D78" s="4" t="s">
        <v>17</v>
      </c>
      <c r="E78" s="4">
        <f>155000+72000</f>
        <v>227000</v>
      </c>
      <c r="F78" s="4">
        <v>0</v>
      </c>
      <c r="G78" s="20">
        <v>0</v>
      </c>
      <c r="H78" s="25">
        <v>310500</v>
      </c>
      <c r="I78" s="25">
        <v>0</v>
      </c>
      <c r="J78" s="9">
        <f t="shared" si="2"/>
        <v>537500</v>
      </c>
    </row>
    <row r="79" spans="1:10">
      <c r="A79" s="8">
        <v>76</v>
      </c>
      <c r="B79" s="1" t="s">
        <v>202</v>
      </c>
      <c r="C79" s="4" t="s">
        <v>203</v>
      </c>
      <c r="D79" s="4" t="s">
        <v>17</v>
      </c>
      <c r="E79" s="4">
        <f>198000+324500</f>
        <v>522500</v>
      </c>
      <c r="F79" s="76">
        <v>290000</v>
      </c>
      <c r="G79" s="20">
        <v>0</v>
      </c>
      <c r="H79" s="25">
        <v>582000</v>
      </c>
      <c r="I79" s="25">
        <v>0</v>
      </c>
      <c r="J79" s="9">
        <f t="shared" si="2"/>
        <v>1394500</v>
      </c>
    </row>
    <row r="80" spans="1:10">
      <c r="A80" s="8">
        <v>77</v>
      </c>
      <c r="B80" s="1" t="s">
        <v>204</v>
      </c>
      <c r="C80" s="4" t="s">
        <v>205</v>
      </c>
      <c r="D80" s="4" t="s">
        <v>17</v>
      </c>
      <c r="E80" s="4">
        <v>155000</v>
      </c>
      <c r="F80" s="76">
        <v>290000</v>
      </c>
      <c r="G80" s="20">
        <v>0</v>
      </c>
      <c r="H80" s="25">
        <v>237650</v>
      </c>
      <c r="I80" s="25">
        <v>0</v>
      </c>
      <c r="J80" s="9">
        <f t="shared" si="2"/>
        <v>682650</v>
      </c>
    </row>
    <row r="81" spans="1:10">
      <c r="A81" s="8">
        <v>78</v>
      </c>
      <c r="B81" s="1" t="s">
        <v>5</v>
      </c>
      <c r="C81" s="4" t="s">
        <v>36</v>
      </c>
      <c r="D81" s="4" t="s">
        <v>17</v>
      </c>
      <c r="E81" s="4">
        <f>104500+104500+330000+220000+110000</f>
        <v>869000</v>
      </c>
      <c r="F81" s="4">
        <v>0</v>
      </c>
      <c r="G81" s="20">
        <v>0</v>
      </c>
      <c r="H81" s="25">
        <v>1129700</v>
      </c>
      <c r="I81" s="25">
        <f>276000+540000</f>
        <v>816000</v>
      </c>
      <c r="J81" s="9">
        <f t="shared" si="2"/>
        <v>2814700</v>
      </c>
    </row>
    <row r="82" spans="1:10" ht="31.5">
      <c r="A82" s="8">
        <v>79</v>
      </c>
      <c r="B82" s="1" t="s">
        <v>206</v>
      </c>
      <c r="C82" s="4" t="s">
        <v>193</v>
      </c>
      <c r="D82" s="4" t="s">
        <v>17</v>
      </c>
      <c r="E82" s="4">
        <f>99000+99000+297000</f>
        <v>495000</v>
      </c>
      <c r="F82" s="76">
        <v>1200000</v>
      </c>
      <c r="G82" s="4">
        <v>434000</v>
      </c>
      <c r="H82" s="25">
        <v>446200</v>
      </c>
      <c r="I82" s="25">
        <v>0</v>
      </c>
      <c r="J82" s="9">
        <f t="shared" si="2"/>
        <v>2575200</v>
      </c>
    </row>
    <row r="83" spans="1:10" ht="31.5">
      <c r="A83" s="8">
        <v>80</v>
      </c>
      <c r="B83" s="1" t="s">
        <v>207</v>
      </c>
      <c r="C83" s="5" t="s">
        <v>36</v>
      </c>
      <c r="D83" s="4" t="s">
        <v>17</v>
      </c>
      <c r="E83" s="4">
        <v>0</v>
      </c>
      <c r="F83" s="4">
        <v>0</v>
      </c>
      <c r="G83" s="4">
        <v>0</v>
      </c>
      <c r="H83" s="25">
        <v>140400</v>
      </c>
      <c r="I83" s="25">
        <v>0</v>
      </c>
      <c r="J83" s="9">
        <f t="shared" si="2"/>
        <v>140400</v>
      </c>
    </row>
    <row r="84" spans="1:10">
      <c r="A84" s="8">
        <v>81</v>
      </c>
      <c r="B84" s="44" t="s">
        <v>208</v>
      </c>
      <c r="C84" s="45" t="s">
        <v>209</v>
      </c>
      <c r="D84" s="4" t="s">
        <v>17</v>
      </c>
      <c r="E84" s="4">
        <v>0</v>
      </c>
      <c r="F84" s="76">
        <v>530000</v>
      </c>
      <c r="G84" s="4">
        <v>0</v>
      </c>
      <c r="H84" s="25">
        <v>0</v>
      </c>
      <c r="I84" s="25">
        <v>0</v>
      </c>
      <c r="J84" s="9">
        <f t="shared" si="2"/>
        <v>530000</v>
      </c>
    </row>
    <row r="85" spans="1:10" ht="31.5">
      <c r="A85" s="8">
        <v>82</v>
      </c>
      <c r="B85" s="1" t="s">
        <v>210</v>
      </c>
      <c r="C85" s="4" t="s">
        <v>211</v>
      </c>
      <c r="D85" s="4" t="s">
        <v>17</v>
      </c>
      <c r="E85" s="4">
        <f>544500+110000</f>
        <v>654500</v>
      </c>
      <c r="F85" s="76">
        <v>870000</v>
      </c>
      <c r="G85" s="4">
        <v>0</v>
      </c>
      <c r="H85" s="25">
        <v>557750</v>
      </c>
      <c r="I85" s="25">
        <v>276000</v>
      </c>
      <c r="J85" s="9">
        <f t="shared" si="2"/>
        <v>2358250</v>
      </c>
    </row>
    <row r="86" spans="1:10" ht="31.5">
      <c r="A86" s="8">
        <v>83</v>
      </c>
      <c r="B86" s="1" t="s">
        <v>212</v>
      </c>
      <c r="C86" s="4" t="s">
        <v>213</v>
      </c>
      <c r="D86" s="4" t="s">
        <v>17</v>
      </c>
      <c r="E86" s="4">
        <v>155000</v>
      </c>
      <c r="F86" s="76">
        <v>580000</v>
      </c>
      <c r="G86" s="4">
        <v>0</v>
      </c>
      <c r="H86" s="25">
        <v>548050</v>
      </c>
      <c r="I86" s="25">
        <v>0</v>
      </c>
      <c r="J86" s="9">
        <f t="shared" si="2"/>
        <v>1283050</v>
      </c>
    </row>
    <row r="87" spans="1:10" ht="31.5">
      <c r="A87" s="8">
        <v>84</v>
      </c>
      <c r="B87" s="1" t="s">
        <v>214</v>
      </c>
      <c r="C87" s="4" t="s">
        <v>187</v>
      </c>
      <c r="D87" s="4" t="s">
        <v>17</v>
      </c>
      <c r="E87" s="4">
        <f>52983+660000</f>
        <v>712983</v>
      </c>
      <c r="F87" s="76">
        <v>200000</v>
      </c>
      <c r="G87" s="4">
        <v>182000</v>
      </c>
      <c r="H87" s="25">
        <v>530500</v>
      </c>
      <c r="I87" s="25">
        <v>276000</v>
      </c>
      <c r="J87" s="9">
        <f t="shared" si="2"/>
        <v>1901483</v>
      </c>
    </row>
    <row r="88" spans="1:10">
      <c r="A88" s="8">
        <v>85</v>
      </c>
      <c r="B88" s="1" t="s">
        <v>215</v>
      </c>
      <c r="C88" s="4" t="s">
        <v>209</v>
      </c>
      <c r="D88" s="4" t="s">
        <v>17</v>
      </c>
      <c r="E88" s="4">
        <v>0</v>
      </c>
      <c r="F88" s="4">
        <v>0</v>
      </c>
      <c r="G88" s="4">
        <v>1078000</v>
      </c>
      <c r="H88" s="25">
        <v>453700</v>
      </c>
      <c r="I88" s="25">
        <v>0</v>
      </c>
      <c r="J88" s="9">
        <f t="shared" si="2"/>
        <v>1531700</v>
      </c>
    </row>
    <row r="89" spans="1:10" ht="47.25">
      <c r="A89" s="8">
        <v>86</v>
      </c>
      <c r="B89" s="1" t="s">
        <v>217</v>
      </c>
      <c r="C89" s="4" t="s">
        <v>211</v>
      </c>
      <c r="D89" s="4" t="s">
        <v>17</v>
      </c>
      <c r="E89" s="4">
        <f>155000+52903</f>
        <v>207903</v>
      </c>
      <c r="F89" s="4">
        <v>0</v>
      </c>
      <c r="G89" s="20">
        <v>0</v>
      </c>
      <c r="H89" s="20">
        <v>0</v>
      </c>
      <c r="I89" s="25">
        <v>0</v>
      </c>
      <c r="J89" s="9">
        <f t="shared" si="2"/>
        <v>207903</v>
      </c>
    </row>
    <row r="90" spans="1:10">
      <c r="A90" s="8">
        <v>87</v>
      </c>
      <c r="B90" s="1" t="s">
        <v>218</v>
      </c>
      <c r="C90" s="4" t="s">
        <v>193</v>
      </c>
      <c r="D90" s="4" t="s">
        <v>17</v>
      </c>
      <c r="E90" s="4">
        <v>0</v>
      </c>
      <c r="F90" s="4">
        <v>0</v>
      </c>
      <c r="G90" s="20">
        <v>0</v>
      </c>
      <c r="H90" s="25">
        <v>455900</v>
      </c>
      <c r="I90" s="25">
        <v>0</v>
      </c>
      <c r="J90" s="9">
        <f t="shared" si="2"/>
        <v>455900</v>
      </c>
    </row>
    <row r="91" spans="1:10">
      <c r="A91" s="8">
        <v>88</v>
      </c>
      <c r="B91" s="1" t="s">
        <v>219</v>
      </c>
      <c r="C91" s="4" t="s">
        <v>185</v>
      </c>
      <c r="D91" s="4" t="s">
        <v>17</v>
      </c>
      <c r="E91" s="4">
        <v>108928</v>
      </c>
      <c r="F91" s="76">
        <v>720000</v>
      </c>
      <c r="G91" s="20">
        <v>0</v>
      </c>
      <c r="H91" s="25">
        <v>349200</v>
      </c>
      <c r="I91" s="25">
        <v>0</v>
      </c>
      <c r="J91" s="9">
        <f t="shared" si="2"/>
        <v>1178128</v>
      </c>
    </row>
    <row r="92" spans="1:10">
      <c r="A92" s="8">
        <v>89</v>
      </c>
      <c r="B92" s="1" t="s">
        <v>428</v>
      </c>
      <c r="C92" s="4" t="s">
        <v>187</v>
      </c>
      <c r="D92" s="4" t="s">
        <v>17</v>
      </c>
      <c r="E92" s="4">
        <v>155000</v>
      </c>
      <c r="F92" s="4">
        <v>0</v>
      </c>
      <c r="G92" s="20">
        <v>0</v>
      </c>
      <c r="H92" s="25">
        <v>446200</v>
      </c>
      <c r="I92" s="25">
        <v>0</v>
      </c>
      <c r="J92" s="9">
        <f t="shared" si="2"/>
        <v>601200</v>
      </c>
    </row>
    <row r="93" spans="1:10">
      <c r="A93" s="8">
        <v>90</v>
      </c>
      <c r="B93" s="1" t="s">
        <v>221</v>
      </c>
      <c r="C93" s="4" t="s">
        <v>222</v>
      </c>
      <c r="D93" s="4" t="s">
        <v>17</v>
      </c>
      <c r="E93" s="4">
        <v>155000</v>
      </c>
      <c r="F93" s="4">
        <v>0</v>
      </c>
      <c r="G93" s="20">
        <v>0</v>
      </c>
      <c r="H93" s="25">
        <v>195000</v>
      </c>
      <c r="I93" s="25">
        <v>0</v>
      </c>
      <c r="J93" s="9">
        <f t="shared" si="2"/>
        <v>350000</v>
      </c>
    </row>
    <row r="94" spans="1:10" ht="31.5">
      <c r="A94" s="8">
        <v>91</v>
      </c>
      <c r="B94" s="1" t="s">
        <v>223</v>
      </c>
      <c r="C94" s="4" t="s">
        <v>224</v>
      </c>
      <c r="D94" s="4" t="s">
        <v>17</v>
      </c>
      <c r="E94" s="4">
        <v>155000</v>
      </c>
      <c r="F94" s="4">
        <v>0</v>
      </c>
      <c r="G94" s="4">
        <v>290000</v>
      </c>
      <c r="H94" s="25">
        <v>195000</v>
      </c>
      <c r="I94" s="25">
        <v>0</v>
      </c>
      <c r="J94" s="9">
        <f t="shared" si="2"/>
        <v>640000</v>
      </c>
    </row>
    <row r="95" spans="1:10" ht="31.5">
      <c r="A95" s="8">
        <v>92</v>
      </c>
      <c r="B95" s="1" t="s">
        <v>227</v>
      </c>
      <c r="C95" s="5" t="s">
        <v>228</v>
      </c>
      <c r="D95" s="4" t="s">
        <v>226</v>
      </c>
      <c r="E95" s="5">
        <v>0</v>
      </c>
      <c r="F95" s="4">
        <v>0</v>
      </c>
      <c r="G95" s="4">
        <v>273000</v>
      </c>
      <c r="H95" s="25">
        <v>0</v>
      </c>
      <c r="I95" s="25">
        <v>0</v>
      </c>
      <c r="J95" s="9">
        <f t="shared" si="2"/>
        <v>273000</v>
      </c>
    </row>
    <row r="96" spans="1:10" ht="47.25">
      <c r="A96" s="8">
        <v>93</v>
      </c>
      <c r="B96" s="1" t="s">
        <v>229</v>
      </c>
      <c r="C96" s="4" t="s">
        <v>230</v>
      </c>
      <c r="D96" s="4" t="s">
        <v>226</v>
      </c>
      <c r="E96" s="5">
        <v>0</v>
      </c>
      <c r="F96" s="76">
        <v>480000</v>
      </c>
      <c r="G96" s="4">
        <v>0</v>
      </c>
      <c r="H96" s="25">
        <v>0</v>
      </c>
      <c r="I96" s="25">
        <v>0</v>
      </c>
      <c r="J96" s="9">
        <f t="shared" si="2"/>
        <v>480000</v>
      </c>
    </row>
    <row r="97" spans="1:10" ht="31.5">
      <c r="A97" s="8">
        <v>94</v>
      </c>
      <c r="B97" s="1" t="s">
        <v>231</v>
      </c>
      <c r="C97" s="5" t="s">
        <v>414</v>
      </c>
      <c r="D97" s="4" t="s">
        <v>226</v>
      </c>
      <c r="E97" s="5">
        <v>0</v>
      </c>
      <c r="F97" s="4">
        <v>0</v>
      </c>
      <c r="G97" s="4">
        <v>0</v>
      </c>
      <c r="H97" s="25">
        <f>106700+198000</f>
        <v>304700</v>
      </c>
      <c r="I97" s="25">
        <v>0</v>
      </c>
      <c r="J97" s="9">
        <f t="shared" si="2"/>
        <v>304700</v>
      </c>
    </row>
    <row r="98" spans="1:10">
      <c r="A98" s="8">
        <v>95</v>
      </c>
      <c r="B98" s="1" t="s">
        <v>236</v>
      </c>
      <c r="C98" s="4" t="s">
        <v>237</v>
      </c>
      <c r="D98" s="4" t="s">
        <v>235</v>
      </c>
      <c r="E98" s="4">
        <v>0</v>
      </c>
      <c r="F98" s="76">
        <v>0</v>
      </c>
      <c r="G98" s="4">
        <v>175000</v>
      </c>
      <c r="H98" s="20">
        <v>0</v>
      </c>
      <c r="I98" s="25">
        <v>0</v>
      </c>
      <c r="J98" s="9">
        <f t="shared" si="2"/>
        <v>175000</v>
      </c>
    </row>
    <row r="99" spans="1:10">
      <c r="A99" s="8">
        <v>96</v>
      </c>
      <c r="B99" s="1" t="s">
        <v>470</v>
      </c>
      <c r="C99" s="4" t="s">
        <v>239</v>
      </c>
      <c r="D99" s="4" t="s">
        <v>235</v>
      </c>
      <c r="E99" s="4">
        <f>155000+31667+20000</f>
        <v>206667</v>
      </c>
      <c r="F99" s="4">
        <v>0</v>
      </c>
      <c r="G99" s="20">
        <v>0</v>
      </c>
      <c r="H99" s="20">
        <v>0</v>
      </c>
      <c r="I99" s="25">
        <v>0</v>
      </c>
      <c r="J99" s="9">
        <f t="shared" si="2"/>
        <v>206667</v>
      </c>
    </row>
    <row r="100" spans="1:10">
      <c r="A100" s="8">
        <v>97</v>
      </c>
      <c r="B100" s="1" t="s">
        <v>10</v>
      </c>
      <c r="C100" s="4" t="s">
        <v>43</v>
      </c>
      <c r="D100" s="4" t="s">
        <v>44</v>
      </c>
      <c r="E100" s="5">
        <v>0</v>
      </c>
      <c r="F100" s="4">
        <v>0</v>
      </c>
      <c r="G100" s="20">
        <v>0</v>
      </c>
      <c r="H100" s="20">
        <v>96000</v>
      </c>
      <c r="I100" s="25">
        <v>0</v>
      </c>
      <c r="J100" s="9">
        <f t="shared" ref="J100:J131" si="3">E100+F100+G100+H100+I100</f>
        <v>96000</v>
      </c>
    </row>
    <row r="101" spans="1:10" ht="47.25">
      <c r="A101" s="8">
        <v>98</v>
      </c>
      <c r="B101" s="1" t="s">
        <v>242</v>
      </c>
      <c r="C101" s="4" t="s">
        <v>243</v>
      </c>
      <c r="D101" s="4" t="s">
        <v>244</v>
      </c>
      <c r="E101" s="4">
        <v>155000</v>
      </c>
      <c r="F101" s="4">
        <v>0</v>
      </c>
      <c r="G101" s="4">
        <v>290000</v>
      </c>
      <c r="H101" s="20">
        <v>0</v>
      </c>
      <c r="I101" s="25">
        <v>0</v>
      </c>
      <c r="J101" s="9">
        <f t="shared" si="3"/>
        <v>445000</v>
      </c>
    </row>
    <row r="102" spans="1:10">
      <c r="A102" s="8">
        <v>99</v>
      </c>
      <c r="B102" s="1" t="s">
        <v>245</v>
      </c>
      <c r="C102" s="4" t="s">
        <v>246</v>
      </c>
      <c r="D102" s="4" t="s">
        <v>244</v>
      </c>
      <c r="E102" s="5">
        <v>0</v>
      </c>
      <c r="F102" s="76">
        <v>1290000</v>
      </c>
      <c r="G102" s="4">
        <v>1080000</v>
      </c>
      <c r="H102" s="20">
        <v>0</v>
      </c>
      <c r="I102" s="25">
        <v>540000</v>
      </c>
      <c r="J102" s="9">
        <f t="shared" si="3"/>
        <v>2910000</v>
      </c>
    </row>
    <row r="103" spans="1:10">
      <c r="A103" s="8">
        <v>100</v>
      </c>
      <c r="B103" s="1" t="s">
        <v>247</v>
      </c>
      <c r="C103" s="5" t="s">
        <v>262</v>
      </c>
      <c r="D103" s="4" t="s">
        <v>244</v>
      </c>
      <c r="E103" s="5">
        <v>0</v>
      </c>
      <c r="F103" s="4">
        <v>0</v>
      </c>
      <c r="G103" s="4">
        <v>0</v>
      </c>
      <c r="H103" s="25">
        <v>274300</v>
      </c>
      <c r="I103" s="25">
        <v>0</v>
      </c>
      <c r="J103" s="9">
        <f t="shared" si="3"/>
        <v>274300</v>
      </c>
    </row>
    <row r="104" spans="1:10" ht="31.5">
      <c r="A104" s="8">
        <v>101</v>
      </c>
      <c r="B104" s="1" t="s">
        <v>248</v>
      </c>
      <c r="C104" s="46" t="s">
        <v>249</v>
      </c>
      <c r="D104" s="4" t="s">
        <v>244</v>
      </c>
      <c r="E104" s="5">
        <v>0</v>
      </c>
      <c r="F104" s="76">
        <v>1500000</v>
      </c>
      <c r="G104" s="4">
        <v>840000</v>
      </c>
      <c r="H104" s="25">
        <v>607150</v>
      </c>
      <c r="I104" s="25">
        <v>522000</v>
      </c>
      <c r="J104" s="9">
        <f t="shared" si="3"/>
        <v>3469150</v>
      </c>
    </row>
    <row r="105" spans="1:10" ht="47.25">
      <c r="A105" s="8">
        <v>102</v>
      </c>
      <c r="B105" s="1" t="s">
        <v>252</v>
      </c>
      <c r="C105" s="4" t="s">
        <v>253</v>
      </c>
      <c r="D105" s="4" t="s">
        <v>25</v>
      </c>
      <c r="E105" s="4">
        <f>891000+110000</f>
        <v>1001000</v>
      </c>
      <c r="F105" s="76">
        <v>1800000</v>
      </c>
      <c r="G105" s="4">
        <v>0</v>
      </c>
      <c r="H105" s="20">
        <v>0</v>
      </c>
      <c r="I105" s="25">
        <v>0</v>
      </c>
      <c r="J105" s="9">
        <f t="shared" si="3"/>
        <v>2801000</v>
      </c>
    </row>
    <row r="106" spans="1:10" ht="31.5">
      <c r="A106" s="8">
        <v>103</v>
      </c>
      <c r="B106" s="1" t="s">
        <v>2</v>
      </c>
      <c r="C106" s="43" t="s">
        <v>243</v>
      </c>
      <c r="D106" s="4" t="s">
        <v>25</v>
      </c>
      <c r="E106" s="4">
        <v>0</v>
      </c>
      <c r="F106" s="4">
        <v>0</v>
      </c>
      <c r="G106" s="4">
        <v>-290000</v>
      </c>
      <c r="H106" s="20">
        <v>0</v>
      </c>
      <c r="I106" s="25">
        <v>0</v>
      </c>
      <c r="J106" s="9">
        <f t="shared" si="3"/>
        <v>-290000</v>
      </c>
    </row>
    <row r="107" spans="1:10">
      <c r="A107" s="8">
        <v>104</v>
      </c>
      <c r="B107" s="1" t="s">
        <v>254</v>
      </c>
      <c r="C107" s="41" t="s">
        <v>255</v>
      </c>
      <c r="D107" s="4" t="s">
        <v>25</v>
      </c>
      <c r="E107" s="4">
        <v>0</v>
      </c>
      <c r="F107" s="76">
        <v>2060000</v>
      </c>
      <c r="G107" s="4">
        <v>1008000</v>
      </c>
      <c r="H107" s="20">
        <v>0</v>
      </c>
      <c r="I107" s="25">
        <v>0</v>
      </c>
      <c r="J107" s="9">
        <f t="shared" si="3"/>
        <v>3068000</v>
      </c>
    </row>
    <row r="108" spans="1:10">
      <c r="A108" s="8">
        <v>105</v>
      </c>
      <c r="B108" s="1" t="s">
        <v>474</v>
      </c>
      <c r="C108" s="41"/>
      <c r="D108" s="4" t="s">
        <v>25</v>
      </c>
      <c r="E108" s="4">
        <v>0</v>
      </c>
      <c r="F108" s="76">
        <v>-200000</v>
      </c>
      <c r="G108" s="4">
        <v>0</v>
      </c>
      <c r="H108" s="20">
        <v>0</v>
      </c>
      <c r="I108" s="25">
        <v>0</v>
      </c>
      <c r="J108" s="9">
        <f t="shared" si="3"/>
        <v>-200000</v>
      </c>
    </row>
    <row r="109" spans="1:10" ht="31.5">
      <c r="A109" s="8">
        <v>106</v>
      </c>
      <c r="B109" s="1" t="s">
        <v>256</v>
      </c>
      <c r="C109" s="4" t="s">
        <v>257</v>
      </c>
      <c r="D109" s="4" t="s">
        <v>258</v>
      </c>
      <c r="E109" s="4">
        <v>60000</v>
      </c>
      <c r="F109" s="4">
        <v>0</v>
      </c>
      <c r="G109" s="20">
        <v>0</v>
      </c>
      <c r="H109" s="20">
        <v>0</v>
      </c>
      <c r="I109" s="25">
        <v>0</v>
      </c>
      <c r="J109" s="9">
        <f t="shared" si="3"/>
        <v>60000</v>
      </c>
    </row>
    <row r="110" spans="1:10" ht="31.5">
      <c r="A110" s="8">
        <v>107</v>
      </c>
      <c r="B110" s="1" t="s">
        <v>259</v>
      </c>
      <c r="C110" s="4" t="s">
        <v>260</v>
      </c>
      <c r="D110" s="4" t="s">
        <v>258</v>
      </c>
      <c r="E110" s="4">
        <f>71500+71500</f>
        <v>143000</v>
      </c>
      <c r="F110" s="4">
        <v>0</v>
      </c>
      <c r="G110" s="20">
        <v>0</v>
      </c>
      <c r="H110" s="25">
        <v>916650</v>
      </c>
      <c r="I110" s="25">
        <v>100000</v>
      </c>
      <c r="J110" s="9">
        <f t="shared" si="3"/>
        <v>1159650</v>
      </c>
    </row>
    <row r="111" spans="1:10" ht="31.5">
      <c r="A111" s="8">
        <v>108</v>
      </c>
      <c r="B111" s="1" t="s">
        <v>259</v>
      </c>
      <c r="C111" s="4" t="s">
        <v>246</v>
      </c>
      <c r="D111" s="4" t="s">
        <v>258</v>
      </c>
      <c r="E111" s="4">
        <f>155000+453000</f>
        <v>608000</v>
      </c>
      <c r="F111" s="4">
        <v>0</v>
      </c>
      <c r="G111" s="20">
        <v>0</v>
      </c>
      <c r="H111" s="20">
        <v>0</v>
      </c>
      <c r="I111" s="25">
        <v>0</v>
      </c>
      <c r="J111" s="9">
        <f t="shared" si="3"/>
        <v>608000</v>
      </c>
    </row>
    <row r="112" spans="1:10">
      <c r="A112" s="8">
        <v>109</v>
      </c>
      <c r="B112" s="42" t="s">
        <v>261</v>
      </c>
      <c r="C112" s="43" t="s">
        <v>262</v>
      </c>
      <c r="D112" s="4" t="s">
        <v>258</v>
      </c>
      <c r="E112" s="4">
        <v>0</v>
      </c>
      <c r="F112" s="4">
        <v>0</v>
      </c>
      <c r="G112" s="4">
        <v>290000</v>
      </c>
      <c r="H112" s="20">
        <v>0</v>
      </c>
      <c r="I112" s="25">
        <v>0</v>
      </c>
      <c r="J112" s="9">
        <f t="shared" si="3"/>
        <v>290000</v>
      </c>
    </row>
    <row r="113" spans="1:10">
      <c r="A113" s="8">
        <v>110</v>
      </c>
      <c r="B113" s="44" t="s">
        <v>263</v>
      </c>
      <c r="C113" s="45" t="s">
        <v>264</v>
      </c>
      <c r="D113" s="4" t="s">
        <v>258</v>
      </c>
      <c r="E113" s="4">
        <v>0</v>
      </c>
      <c r="F113" s="76">
        <v>430000</v>
      </c>
      <c r="G113" s="20">
        <v>0</v>
      </c>
      <c r="H113" s="20">
        <v>0</v>
      </c>
      <c r="I113" s="25">
        <v>0</v>
      </c>
      <c r="J113" s="9">
        <f t="shared" si="3"/>
        <v>430000</v>
      </c>
    </row>
    <row r="114" spans="1:10">
      <c r="A114" s="8">
        <v>111</v>
      </c>
      <c r="B114" s="40" t="s">
        <v>265</v>
      </c>
      <c r="C114" s="47" t="s">
        <v>266</v>
      </c>
      <c r="D114" s="4" t="s">
        <v>258</v>
      </c>
      <c r="E114" s="4">
        <v>0</v>
      </c>
      <c r="F114" s="76">
        <v>200000</v>
      </c>
      <c r="G114" s="20">
        <v>0</v>
      </c>
      <c r="H114" s="20">
        <v>0</v>
      </c>
      <c r="I114" s="25">
        <v>100000</v>
      </c>
      <c r="J114" s="9">
        <f t="shared" si="3"/>
        <v>300000</v>
      </c>
    </row>
    <row r="115" spans="1:10" ht="31.5">
      <c r="A115" s="8">
        <v>112</v>
      </c>
      <c r="B115" s="1" t="s">
        <v>267</v>
      </c>
      <c r="C115" s="4" t="s">
        <v>268</v>
      </c>
      <c r="D115" s="4" t="s">
        <v>25</v>
      </c>
      <c r="E115" s="4">
        <f>82500+159500+341000</f>
        <v>583000</v>
      </c>
      <c r="F115" s="76">
        <v>1530000</v>
      </c>
      <c r="G115" s="20">
        <v>0</v>
      </c>
      <c r="H115" s="25">
        <v>572300</v>
      </c>
      <c r="I115" s="25">
        <v>0</v>
      </c>
      <c r="J115" s="9">
        <f t="shared" si="3"/>
        <v>2685300</v>
      </c>
    </row>
    <row r="116" spans="1:10">
      <c r="A116" s="8">
        <v>113</v>
      </c>
      <c r="B116" s="1" t="s">
        <v>1</v>
      </c>
      <c r="C116" s="5" t="s">
        <v>415</v>
      </c>
      <c r="D116" s="4" t="s">
        <v>38</v>
      </c>
      <c r="E116" s="4">
        <v>0</v>
      </c>
      <c r="F116" s="4">
        <v>0</v>
      </c>
      <c r="G116" s="20">
        <v>0</v>
      </c>
      <c r="H116" s="25">
        <v>478450</v>
      </c>
      <c r="I116" s="25">
        <v>0</v>
      </c>
      <c r="J116" s="9">
        <f t="shared" si="3"/>
        <v>478450</v>
      </c>
    </row>
    <row r="117" spans="1:10">
      <c r="A117" s="8">
        <v>114</v>
      </c>
      <c r="B117" s="1" t="s">
        <v>6</v>
      </c>
      <c r="C117" s="4" t="s">
        <v>37</v>
      </c>
      <c r="D117" s="4" t="s">
        <v>38</v>
      </c>
      <c r="E117" s="4">
        <v>354000</v>
      </c>
      <c r="F117" s="4">
        <v>0</v>
      </c>
      <c r="G117" s="20">
        <v>0</v>
      </c>
      <c r="H117" s="25">
        <v>488550</v>
      </c>
      <c r="I117" s="25">
        <v>0</v>
      </c>
      <c r="J117" s="9">
        <f t="shared" si="3"/>
        <v>842550</v>
      </c>
    </row>
    <row r="118" spans="1:10" ht="31.5">
      <c r="A118" s="8">
        <v>115</v>
      </c>
      <c r="B118" s="44" t="s">
        <v>272</v>
      </c>
      <c r="C118" s="45" t="s">
        <v>271</v>
      </c>
      <c r="D118" s="45" t="s">
        <v>273</v>
      </c>
      <c r="E118" s="5">
        <v>0</v>
      </c>
      <c r="F118" s="76">
        <v>290000</v>
      </c>
      <c r="G118" s="20">
        <v>0</v>
      </c>
      <c r="H118" s="25">
        <v>0</v>
      </c>
      <c r="I118" s="25">
        <v>0</v>
      </c>
      <c r="J118" s="9">
        <f t="shared" si="3"/>
        <v>290000</v>
      </c>
    </row>
    <row r="119" spans="1:10">
      <c r="A119" s="8">
        <v>116</v>
      </c>
      <c r="B119" s="1" t="s">
        <v>276</v>
      </c>
      <c r="C119" s="4" t="s">
        <v>277</v>
      </c>
      <c r="D119" s="4" t="s">
        <v>275</v>
      </c>
      <c r="E119" s="4">
        <f>110000+65000+265000</f>
        <v>440000</v>
      </c>
      <c r="F119" s="4">
        <v>0</v>
      </c>
      <c r="G119" s="4">
        <v>826000</v>
      </c>
      <c r="H119" s="25">
        <v>582000</v>
      </c>
      <c r="I119" s="25">
        <v>0</v>
      </c>
      <c r="J119" s="9">
        <f t="shared" si="3"/>
        <v>1848000</v>
      </c>
    </row>
    <row r="120" spans="1:10" ht="31.5">
      <c r="A120" s="8">
        <v>117</v>
      </c>
      <c r="B120" s="40" t="s">
        <v>278</v>
      </c>
      <c r="C120" s="41" t="s">
        <v>279</v>
      </c>
      <c r="D120" s="4" t="s">
        <v>275</v>
      </c>
      <c r="E120" s="4">
        <v>0</v>
      </c>
      <c r="F120" s="76">
        <v>360000</v>
      </c>
      <c r="G120" s="20">
        <v>0</v>
      </c>
      <c r="H120" s="25">
        <v>0</v>
      </c>
      <c r="I120" s="25">
        <v>0</v>
      </c>
      <c r="J120" s="9">
        <f t="shared" si="3"/>
        <v>360000</v>
      </c>
    </row>
    <row r="121" spans="1:10">
      <c r="A121" s="8">
        <v>118</v>
      </c>
      <c r="B121" s="1" t="s">
        <v>280</v>
      </c>
      <c r="C121" s="41" t="s">
        <v>416</v>
      </c>
      <c r="D121" s="4" t="s">
        <v>275</v>
      </c>
      <c r="E121" s="4">
        <v>-155000</v>
      </c>
      <c r="F121" s="4">
        <v>0</v>
      </c>
      <c r="G121" s="20">
        <v>0</v>
      </c>
      <c r="H121" s="20">
        <v>0</v>
      </c>
      <c r="I121" s="25">
        <v>0</v>
      </c>
      <c r="J121" s="9">
        <f t="shared" si="3"/>
        <v>-155000</v>
      </c>
    </row>
    <row r="122" spans="1:10" ht="31.5">
      <c r="A122" s="8">
        <v>119</v>
      </c>
      <c r="B122" s="1" t="s">
        <v>283</v>
      </c>
      <c r="C122" s="4" t="s">
        <v>284</v>
      </c>
      <c r="D122" s="4" t="s">
        <v>275</v>
      </c>
      <c r="E122" s="4">
        <v>514500</v>
      </c>
      <c r="F122" s="4">
        <v>0</v>
      </c>
      <c r="G122" s="20">
        <v>0</v>
      </c>
      <c r="H122" s="25">
        <v>0</v>
      </c>
      <c r="I122" s="25">
        <v>0</v>
      </c>
      <c r="J122" s="9">
        <f t="shared" si="3"/>
        <v>514500</v>
      </c>
    </row>
    <row r="123" spans="1:10" ht="31.5">
      <c r="A123" s="8">
        <v>120</v>
      </c>
      <c r="B123" s="55" t="s">
        <v>288</v>
      </c>
      <c r="C123" s="56" t="s">
        <v>289</v>
      </c>
      <c r="D123" s="56" t="s">
        <v>21</v>
      </c>
      <c r="E123" s="56">
        <f>100000+50000</f>
        <v>150000</v>
      </c>
      <c r="F123" s="56">
        <v>0</v>
      </c>
      <c r="G123" s="57">
        <v>0</v>
      </c>
      <c r="H123" s="57">
        <v>0</v>
      </c>
      <c r="I123" s="58">
        <v>100000</v>
      </c>
      <c r="J123" s="9">
        <f t="shared" si="3"/>
        <v>250000</v>
      </c>
    </row>
    <row r="124" spans="1:10" ht="31.5">
      <c r="A124" s="8">
        <v>121</v>
      </c>
      <c r="B124" s="1" t="s">
        <v>290</v>
      </c>
      <c r="C124" s="91" t="s">
        <v>417</v>
      </c>
      <c r="D124" s="4" t="s">
        <v>21</v>
      </c>
      <c r="E124" s="4">
        <v>0</v>
      </c>
      <c r="F124" s="4">
        <v>0</v>
      </c>
      <c r="G124" s="20">
        <v>0</v>
      </c>
      <c r="H124" s="25">
        <v>340750</v>
      </c>
      <c r="I124" s="25">
        <v>0</v>
      </c>
      <c r="J124" s="9">
        <f t="shared" si="3"/>
        <v>340750</v>
      </c>
    </row>
    <row r="125" spans="1:10" ht="47.25">
      <c r="A125" s="8">
        <v>122</v>
      </c>
      <c r="B125" s="42" t="s">
        <v>291</v>
      </c>
      <c r="C125" s="43" t="s">
        <v>292</v>
      </c>
      <c r="D125" s="4" t="s">
        <v>21</v>
      </c>
      <c r="E125" s="4">
        <v>0</v>
      </c>
      <c r="F125" s="4">
        <v>0</v>
      </c>
      <c r="G125" s="4">
        <v>471935</v>
      </c>
      <c r="H125" s="25">
        <v>0</v>
      </c>
      <c r="I125" s="25">
        <v>0</v>
      </c>
      <c r="J125" s="9">
        <f t="shared" si="3"/>
        <v>471935</v>
      </c>
    </row>
    <row r="126" spans="1:10" ht="30">
      <c r="A126" s="8">
        <v>123</v>
      </c>
      <c r="B126" s="2" t="s">
        <v>15</v>
      </c>
      <c r="C126" s="13" t="s">
        <v>41</v>
      </c>
      <c r="D126" s="4" t="s">
        <v>21</v>
      </c>
      <c r="E126" s="4">
        <v>0</v>
      </c>
      <c r="F126" s="4">
        <v>0</v>
      </c>
      <c r="G126" s="4">
        <v>0</v>
      </c>
      <c r="H126" s="25">
        <v>0</v>
      </c>
      <c r="I126" s="25">
        <v>248400</v>
      </c>
      <c r="J126" s="9">
        <f t="shared" si="3"/>
        <v>248400</v>
      </c>
    </row>
    <row r="127" spans="1:10" ht="31.5">
      <c r="A127" s="8">
        <v>124</v>
      </c>
      <c r="B127" s="1" t="s">
        <v>294</v>
      </c>
      <c r="C127" s="91" t="s">
        <v>419</v>
      </c>
      <c r="D127" s="4" t="s">
        <v>21</v>
      </c>
      <c r="E127" s="4">
        <v>0</v>
      </c>
      <c r="F127" s="4">
        <v>0</v>
      </c>
      <c r="G127" s="4">
        <v>0</v>
      </c>
      <c r="H127" s="25">
        <v>480150</v>
      </c>
      <c r="I127" s="25">
        <v>0</v>
      </c>
      <c r="J127" s="9">
        <f t="shared" si="3"/>
        <v>480150</v>
      </c>
    </row>
    <row r="128" spans="1:10" ht="31.5">
      <c r="A128" s="8">
        <v>125</v>
      </c>
      <c r="B128" s="40" t="s">
        <v>295</v>
      </c>
      <c r="C128" s="41" t="s">
        <v>296</v>
      </c>
      <c r="D128" s="4" t="s">
        <v>21</v>
      </c>
      <c r="E128" s="4">
        <v>0</v>
      </c>
      <c r="F128" s="76">
        <v>1610000</v>
      </c>
      <c r="G128" s="4">
        <v>2842000</v>
      </c>
      <c r="H128" s="25">
        <v>0</v>
      </c>
      <c r="I128" s="25">
        <v>0</v>
      </c>
      <c r="J128" s="9">
        <f t="shared" si="3"/>
        <v>4452000</v>
      </c>
    </row>
    <row r="129" spans="1:10" ht="37.5">
      <c r="A129" s="8">
        <v>126</v>
      </c>
      <c r="B129" s="1" t="s">
        <v>297</v>
      </c>
      <c r="C129" s="91" t="s">
        <v>418</v>
      </c>
      <c r="D129" s="4" t="s">
        <v>21</v>
      </c>
      <c r="E129" s="4">
        <v>0</v>
      </c>
      <c r="F129" s="76">
        <v>0</v>
      </c>
      <c r="G129" s="4">
        <v>0</v>
      </c>
      <c r="H129" s="25">
        <f>238250+30000</f>
        <v>268250</v>
      </c>
      <c r="I129" s="25">
        <v>0</v>
      </c>
      <c r="J129" s="9">
        <f t="shared" si="3"/>
        <v>268250</v>
      </c>
    </row>
    <row r="130" spans="1:10" ht="31.5">
      <c r="A130" s="8">
        <v>127</v>
      </c>
      <c r="B130" s="42" t="s">
        <v>298</v>
      </c>
      <c r="C130" s="43" t="s">
        <v>299</v>
      </c>
      <c r="D130" s="4" t="s">
        <v>21</v>
      </c>
      <c r="E130" s="4">
        <v>0</v>
      </c>
      <c r="F130" s="4">
        <v>0</v>
      </c>
      <c r="G130" s="4">
        <v>439000</v>
      </c>
      <c r="H130" s="25">
        <v>0</v>
      </c>
      <c r="I130" s="25">
        <v>0</v>
      </c>
      <c r="J130" s="9">
        <f t="shared" si="3"/>
        <v>439000</v>
      </c>
    </row>
    <row r="131" spans="1:10" ht="37.5">
      <c r="A131" s="8">
        <v>128</v>
      </c>
      <c r="B131" s="1" t="s">
        <v>4</v>
      </c>
      <c r="C131" s="91" t="s">
        <v>420</v>
      </c>
      <c r="D131" s="4" t="s">
        <v>32</v>
      </c>
      <c r="E131" s="5">
        <v>0</v>
      </c>
      <c r="F131" s="4">
        <v>0</v>
      </c>
      <c r="G131" s="20">
        <v>0</v>
      </c>
      <c r="H131" s="25">
        <v>729850</v>
      </c>
      <c r="I131" s="25">
        <v>0</v>
      </c>
      <c r="J131" s="9">
        <f t="shared" si="3"/>
        <v>729850</v>
      </c>
    </row>
    <row r="132" spans="1:10" ht="31.5">
      <c r="A132" s="8">
        <v>129</v>
      </c>
      <c r="B132" s="1" t="s">
        <v>301</v>
      </c>
      <c r="C132" s="46" t="s">
        <v>302</v>
      </c>
      <c r="D132" s="4" t="s">
        <v>32</v>
      </c>
      <c r="E132" s="5">
        <v>0</v>
      </c>
      <c r="F132" s="76">
        <v>0</v>
      </c>
      <c r="G132" s="20">
        <v>0</v>
      </c>
      <c r="H132" s="25">
        <v>649900</v>
      </c>
      <c r="I132" s="25">
        <v>0</v>
      </c>
      <c r="J132" s="9">
        <f t="shared" ref="J132:J163" si="4">E132+F132+G132+H132+I132</f>
        <v>649900</v>
      </c>
    </row>
    <row r="133" spans="1:10" ht="31.5">
      <c r="A133" s="8">
        <v>130</v>
      </c>
      <c r="B133" s="1" t="s">
        <v>303</v>
      </c>
      <c r="C133" s="46" t="s">
        <v>304</v>
      </c>
      <c r="D133" s="4" t="s">
        <v>32</v>
      </c>
      <c r="E133" s="5">
        <v>0</v>
      </c>
      <c r="F133" s="76">
        <v>1490000</v>
      </c>
      <c r="G133" s="20">
        <v>0</v>
      </c>
      <c r="H133" s="25">
        <v>994500</v>
      </c>
      <c r="I133" s="25">
        <v>253600</v>
      </c>
      <c r="J133" s="9">
        <f t="shared" si="4"/>
        <v>2738100</v>
      </c>
    </row>
    <row r="134" spans="1:10">
      <c r="A134" s="8">
        <v>131</v>
      </c>
      <c r="B134" s="42" t="s">
        <v>305</v>
      </c>
      <c r="C134" s="46" t="s">
        <v>304</v>
      </c>
      <c r="D134" s="4" t="s">
        <v>32</v>
      </c>
      <c r="E134" s="5">
        <v>0</v>
      </c>
      <c r="F134" s="27">
        <v>0</v>
      </c>
      <c r="G134" s="4">
        <v>500000</v>
      </c>
      <c r="H134" s="25">
        <v>0</v>
      </c>
      <c r="I134" s="25">
        <v>0</v>
      </c>
      <c r="J134" s="9">
        <f t="shared" si="4"/>
        <v>500000</v>
      </c>
    </row>
    <row r="135" spans="1:10" ht="18.75">
      <c r="A135" s="8">
        <v>132</v>
      </c>
      <c r="B135" s="1" t="s">
        <v>306</v>
      </c>
      <c r="C135" s="91" t="s">
        <v>304</v>
      </c>
      <c r="D135" s="4" t="s">
        <v>32</v>
      </c>
      <c r="E135" s="5">
        <v>0</v>
      </c>
      <c r="F135" s="76">
        <v>270000</v>
      </c>
      <c r="G135" s="20">
        <v>0</v>
      </c>
      <c r="H135" s="25">
        <v>388000</v>
      </c>
      <c r="I135" s="25">
        <v>0</v>
      </c>
      <c r="J135" s="9">
        <f t="shared" si="4"/>
        <v>658000</v>
      </c>
    </row>
    <row r="136" spans="1:10">
      <c r="A136" s="8">
        <v>133</v>
      </c>
      <c r="B136" s="1" t="s">
        <v>308</v>
      </c>
      <c r="C136" s="61" t="s">
        <v>309</v>
      </c>
      <c r="D136" s="4" t="s">
        <v>24</v>
      </c>
      <c r="E136" s="5">
        <v>0</v>
      </c>
      <c r="F136" s="4">
        <v>0</v>
      </c>
      <c r="G136" s="20">
        <v>0</v>
      </c>
      <c r="H136" s="24">
        <v>38800</v>
      </c>
      <c r="I136" s="25">
        <v>0</v>
      </c>
      <c r="J136" s="9">
        <f t="shared" si="4"/>
        <v>38800</v>
      </c>
    </row>
    <row r="137" spans="1:10">
      <c r="A137" s="8">
        <v>134</v>
      </c>
      <c r="B137" s="1" t="s">
        <v>310</v>
      </c>
      <c r="C137" s="12" t="s">
        <v>448</v>
      </c>
      <c r="D137" s="4" t="s">
        <v>24</v>
      </c>
      <c r="E137" s="4">
        <f>110000+110000+330000</f>
        <v>550000</v>
      </c>
      <c r="F137" s="4">
        <v>0</v>
      </c>
      <c r="G137" s="20">
        <v>0</v>
      </c>
      <c r="H137" s="24">
        <v>621200</v>
      </c>
      <c r="I137" s="25">
        <f>218150+257600</f>
        <v>475750</v>
      </c>
      <c r="J137" s="9">
        <f t="shared" si="4"/>
        <v>1646950</v>
      </c>
    </row>
    <row r="138" spans="1:10" ht="30">
      <c r="A138" s="8">
        <v>135</v>
      </c>
      <c r="B138" s="2" t="s">
        <v>312</v>
      </c>
      <c r="C138" s="13" t="s">
        <v>313</v>
      </c>
      <c r="D138" s="4" t="s">
        <v>24</v>
      </c>
      <c r="E138" s="4">
        <v>0</v>
      </c>
      <c r="F138" s="4">
        <v>0</v>
      </c>
      <c r="G138" s="20">
        <v>0</v>
      </c>
      <c r="H138" s="24">
        <v>0</v>
      </c>
      <c r="I138" s="25">
        <v>276000</v>
      </c>
      <c r="J138" s="9">
        <f t="shared" si="4"/>
        <v>276000</v>
      </c>
    </row>
    <row r="139" spans="1:10">
      <c r="A139" s="8">
        <v>136</v>
      </c>
      <c r="B139" s="1" t="s">
        <v>314</v>
      </c>
      <c r="C139" s="12" t="s">
        <v>26</v>
      </c>
      <c r="D139" s="4" t="s">
        <v>24</v>
      </c>
      <c r="E139" s="4">
        <f>368500+47500+82500</f>
        <v>498500</v>
      </c>
      <c r="F139" s="4">
        <v>0</v>
      </c>
      <c r="G139" s="20">
        <v>0</v>
      </c>
      <c r="H139" s="24">
        <v>506100</v>
      </c>
      <c r="I139" s="25">
        <v>0</v>
      </c>
      <c r="J139" s="9">
        <f t="shared" si="4"/>
        <v>1004600</v>
      </c>
    </row>
    <row r="140" spans="1:10">
      <c r="A140" s="8">
        <v>137</v>
      </c>
      <c r="B140" s="1" t="s">
        <v>315</v>
      </c>
      <c r="C140" s="12" t="s">
        <v>316</v>
      </c>
      <c r="D140" s="4" t="s">
        <v>24</v>
      </c>
      <c r="E140" s="4">
        <v>155000</v>
      </c>
      <c r="F140" s="4">
        <v>0</v>
      </c>
      <c r="G140" s="20">
        <v>0</v>
      </c>
      <c r="H140" s="24">
        <v>377200</v>
      </c>
      <c r="I140" s="25">
        <v>276000</v>
      </c>
      <c r="J140" s="9">
        <f t="shared" si="4"/>
        <v>808200</v>
      </c>
    </row>
    <row r="141" spans="1:10" ht="47.25">
      <c r="A141" s="8">
        <v>138</v>
      </c>
      <c r="B141" s="44" t="s">
        <v>317</v>
      </c>
      <c r="C141" s="62" t="s">
        <v>318</v>
      </c>
      <c r="D141" s="4" t="s">
        <v>24</v>
      </c>
      <c r="E141" s="4">
        <v>0</v>
      </c>
      <c r="F141" s="76">
        <v>290000</v>
      </c>
      <c r="G141" s="20">
        <v>0</v>
      </c>
      <c r="H141" s="24">
        <v>0</v>
      </c>
      <c r="I141" s="25">
        <v>0</v>
      </c>
      <c r="J141" s="9">
        <f t="shared" si="4"/>
        <v>290000</v>
      </c>
    </row>
    <row r="142" spans="1:10">
      <c r="A142" s="8">
        <v>139</v>
      </c>
      <c r="B142" s="1" t="s">
        <v>319</v>
      </c>
      <c r="C142" s="12" t="s">
        <v>320</v>
      </c>
      <c r="D142" s="4" t="s">
        <v>24</v>
      </c>
      <c r="E142" s="4">
        <v>0</v>
      </c>
      <c r="F142" s="4">
        <v>0</v>
      </c>
      <c r="G142" s="20">
        <v>0</v>
      </c>
      <c r="H142" s="24">
        <v>155200</v>
      </c>
      <c r="I142" s="25">
        <v>0</v>
      </c>
      <c r="J142" s="9">
        <f t="shared" si="4"/>
        <v>155200</v>
      </c>
    </row>
    <row r="143" spans="1:10">
      <c r="A143" s="8">
        <v>140</v>
      </c>
      <c r="B143" s="1" t="s">
        <v>321</v>
      </c>
      <c r="C143" s="12" t="s">
        <v>313</v>
      </c>
      <c r="D143" s="4" t="s">
        <v>24</v>
      </c>
      <c r="E143" s="4">
        <f>52000+60500+209000+77000</f>
        <v>398500</v>
      </c>
      <c r="F143" s="4">
        <v>0</v>
      </c>
      <c r="G143" s="20">
        <v>0</v>
      </c>
      <c r="H143" s="24">
        <v>664450</v>
      </c>
      <c r="I143" s="25">
        <v>276000</v>
      </c>
      <c r="J143" s="9">
        <f t="shared" si="4"/>
        <v>1338950</v>
      </c>
    </row>
    <row r="144" spans="1:10" ht="47.25">
      <c r="A144" s="8">
        <v>141</v>
      </c>
      <c r="B144" s="1" t="s">
        <v>322</v>
      </c>
      <c r="C144" s="12" t="s">
        <v>323</v>
      </c>
      <c r="D144" s="4" t="s">
        <v>24</v>
      </c>
      <c r="E144" s="4">
        <f>115500+38500+44000+33000</f>
        <v>231000</v>
      </c>
      <c r="F144" s="4">
        <v>0</v>
      </c>
      <c r="G144" s="4">
        <v>1218000</v>
      </c>
      <c r="H144" s="24">
        <v>55200</v>
      </c>
      <c r="I144" s="25">
        <v>0</v>
      </c>
      <c r="J144" s="9">
        <f t="shared" si="4"/>
        <v>1504200</v>
      </c>
    </row>
    <row r="145" spans="1:10">
      <c r="A145" s="8">
        <v>142</v>
      </c>
      <c r="B145" s="1" t="s">
        <v>324</v>
      </c>
      <c r="C145" s="12" t="s">
        <v>26</v>
      </c>
      <c r="D145" s="4" t="s">
        <v>24</v>
      </c>
      <c r="E145" s="4">
        <v>0</v>
      </c>
      <c r="F145" s="4">
        <v>0</v>
      </c>
      <c r="G145" s="4">
        <v>252000</v>
      </c>
      <c r="H145" s="24">
        <v>0</v>
      </c>
      <c r="I145" s="25">
        <v>0</v>
      </c>
      <c r="J145" s="9">
        <f t="shared" si="4"/>
        <v>252000</v>
      </c>
    </row>
    <row r="146" spans="1:10">
      <c r="A146" s="8">
        <v>143</v>
      </c>
      <c r="B146" s="1" t="s">
        <v>325</v>
      </c>
      <c r="C146" s="61" t="s">
        <v>326</v>
      </c>
      <c r="D146" s="4" t="s">
        <v>24</v>
      </c>
      <c r="E146" s="4">
        <v>0</v>
      </c>
      <c r="F146" s="4">
        <v>0</v>
      </c>
      <c r="G146" s="4">
        <v>112000</v>
      </c>
      <c r="H146" s="24">
        <v>216700</v>
      </c>
      <c r="I146" s="25">
        <v>0</v>
      </c>
      <c r="J146" s="9">
        <f t="shared" si="4"/>
        <v>328700</v>
      </c>
    </row>
    <row r="147" spans="1:10">
      <c r="A147" s="8">
        <v>144</v>
      </c>
      <c r="B147" s="1" t="s">
        <v>327</v>
      </c>
      <c r="C147" s="12" t="s">
        <v>313</v>
      </c>
      <c r="D147" s="4" t="s">
        <v>24</v>
      </c>
      <c r="E147" s="4">
        <f>155000+64000+60000</f>
        <v>279000</v>
      </c>
      <c r="F147" s="4">
        <v>0</v>
      </c>
      <c r="G147" s="4">
        <v>0</v>
      </c>
      <c r="H147" s="24">
        <v>388150</v>
      </c>
      <c r="I147" s="25">
        <v>0</v>
      </c>
      <c r="J147" s="9">
        <f t="shared" si="4"/>
        <v>667150</v>
      </c>
    </row>
    <row r="148" spans="1:10">
      <c r="A148" s="8">
        <v>145</v>
      </c>
      <c r="B148" s="1" t="s">
        <v>329</v>
      </c>
      <c r="C148" s="12" t="s">
        <v>330</v>
      </c>
      <c r="D148" s="4" t="s">
        <v>24</v>
      </c>
      <c r="E148" s="4">
        <f>220000+297000+80000</f>
        <v>597000</v>
      </c>
      <c r="F148" s="76">
        <v>1670000</v>
      </c>
      <c r="G148" s="4">
        <v>870000</v>
      </c>
      <c r="H148" s="24">
        <v>483750</v>
      </c>
      <c r="I148" s="25">
        <v>0</v>
      </c>
      <c r="J148" s="9">
        <f t="shared" si="4"/>
        <v>3620750</v>
      </c>
    </row>
    <row r="149" spans="1:10" ht="31.5">
      <c r="A149" s="8">
        <v>146</v>
      </c>
      <c r="B149" s="1" t="s">
        <v>331</v>
      </c>
      <c r="C149" s="5" t="s">
        <v>421</v>
      </c>
      <c r="D149" s="4" t="s">
        <v>24</v>
      </c>
      <c r="E149" s="4">
        <v>0</v>
      </c>
      <c r="F149" s="4">
        <v>0</v>
      </c>
      <c r="G149" s="4">
        <v>0</v>
      </c>
      <c r="H149" s="24">
        <v>275000</v>
      </c>
      <c r="I149" s="25">
        <v>239200</v>
      </c>
      <c r="J149" s="9">
        <f t="shared" si="4"/>
        <v>514200</v>
      </c>
    </row>
    <row r="150" spans="1:10">
      <c r="A150" s="8">
        <v>147</v>
      </c>
      <c r="B150" s="1" t="s">
        <v>332</v>
      </c>
      <c r="C150" s="4" t="s">
        <v>333</v>
      </c>
      <c r="D150" s="4" t="s">
        <v>24</v>
      </c>
      <c r="E150" s="4">
        <f>88000+110000+220000</f>
        <v>418000</v>
      </c>
      <c r="F150" s="4">
        <v>0</v>
      </c>
      <c r="G150" s="4">
        <v>2130000</v>
      </c>
      <c r="H150" s="24">
        <v>477000</v>
      </c>
      <c r="I150" s="25">
        <v>0</v>
      </c>
      <c r="J150" s="9">
        <f t="shared" si="4"/>
        <v>3025000</v>
      </c>
    </row>
    <row r="151" spans="1:10">
      <c r="A151" s="8">
        <v>148</v>
      </c>
      <c r="B151" s="1" t="s">
        <v>336</v>
      </c>
      <c r="C151" s="4" t="s">
        <v>26</v>
      </c>
      <c r="D151" s="4" t="s">
        <v>24</v>
      </c>
      <c r="E151" s="4">
        <f>38500+209000</f>
        <v>247500</v>
      </c>
      <c r="F151" s="4">
        <v>0</v>
      </c>
      <c r="G151" s="20">
        <v>0</v>
      </c>
      <c r="H151" s="24">
        <v>235500</v>
      </c>
      <c r="I151" s="25">
        <v>432000</v>
      </c>
      <c r="J151" s="9">
        <f t="shared" si="4"/>
        <v>915000</v>
      </c>
    </row>
    <row r="152" spans="1:10" ht="31.5">
      <c r="A152" s="8">
        <v>149</v>
      </c>
      <c r="B152" s="1" t="s">
        <v>471</v>
      </c>
      <c r="C152" s="4" t="s">
        <v>26</v>
      </c>
      <c r="D152" s="4" t="s">
        <v>24</v>
      </c>
      <c r="E152" s="4">
        <f>77000+38500</f>
        <v>115500</v>
      </c>
      <c r="F152" s="4">
        <v>0</v>
      </c>
      <c r="G152" s="20">
        <v>0</v>
      </c>
      <c r="H152" s="24">
        <v>494400</v>
      </c>
      <c r="I152" s="25">
        <v>0</v>
      </c>
      <c r="J152" s="9">
        <f t="shared" si="4"/>
        <v>609900</v>
      </c>
    </row>
    <row r="153" spans="1:10">
      <c r="A153" s="8">
        <v>150</v>
      </c>
      <c r="B153" s="1" t="s">
        <v>339</v>
      </c>
      <c r="C153" s="4" t="s">
        <v>335</v>
      </c>
      <c r="D153" s="4" t="s">
        <v>24</v>
      </c>
      <c r="E153" s="4">
        <f>397500+88000</f>
        <v>485500</v>
      </c>
      <c r="F153" s="4">
        <v>0</v>
      </c>
      <c r="G153" s="20">
        <v>0</v>
      </c>
      <c r="H153" s="20">
        <v>0</v>
      </c>
      <c r="I153" s="25">
        <v>100000</v>
      </c>
      <c r="J153" s="9">
        <f t="shared" si="4"/>
        <v>585500</v>
      </c>
    </row>
    <row r="154" spans="1:10">
      <c r="A154" s="8">
        <v>151</v>
      </c>
      <c r="B154" s="1" t="s">
        <v>340</v>
      </c>
      <c r="C154" s="4" t="s">
        <v>341</v>
      </c>
      <c r="D154" s="4" t="s">
        <v>24</v>
      </c>
      <c r="E154" s="4">
        <f>93500+187000+291500</f>
        <v>572000</v>
      </c>
      <c r="F154" s="76">
        <v>800000</v>
      </c>
      <c r="G154" s="20">
        <v>0</v>
      </c>
      <c r="H154" s="24">
        <v>722650</v>
      </c>
      <c r="I154" s="25">
        <v>0</v>
      </c>
      <c r="J154" s="9">
        <f t="shared" si="4"/>
        <v>2094650</v>
      </c>
    </row>
    <row r="155" spans="1:10" ht="31.5">
      <c r="A155" s="8">
        <v>152</v>
      </c>
      <c r="B155" s="1" t="s">
        <v>342</v>
      </c>
      <c r="C155" s="4" t="s">
        <v>343</v>
      </c>
      <c r="D155" s="4" t="s">
        <v>24</v>
      </c>
      <c r="E155" s="4">
        <f>341000+214500</f>
        <v>555500</v>
      </c>
      <c r="F155" s="76">
        <v>670000</v>
      </c>
      <c r="G155" s="20">
        <v>0</v>
      </c>
      <c r="H155" s="20">
        <v>0</v>
      </c>
      <c r="I155" s="25">
        <v>0</v>
      </c>
      <c r="J155" s="9">
        <f t="shared" si="4"/>
        <v>1225500</v>
      </c>
    </row>
    <row r="156" spans="1:10" ht="47.25">
      <c r="A156" s="8">
        <v>153</v>
      </c>
      <c r="B156" s="1" t="s">
        <v>344</v>
      </c>
      <c r="C156" s="4" t="s">
        <v>345</v>
      </c>
      <c r="D156" s="4" t="s">
        <v>24</v>
      </c>
      <c r="E156" s="4">
        <v>155000</v>
      </c>
      <c r="F156" s="4">
        <v>0</v>
      </c>
      <c r="G156" s="20">
        <v>0</v>
      </c>
      <c r="H156" s="20">
        <v>0</v>
      </c>
      <c r="I156" s="25">
        <v>0</v>
      </c>
      <c r="J156" s="9">
        <f t="shared" si="4"/>
        <v>155000</v>
      </c>
    </row>
    <row r="157" spans="1:10">
      <c r="A157" s="8">
        <v>154</v>
      </c>
      <c r="B157" s="1" t="s">
        <v>346</v>
      </c>
      <c r="C157" s="4" t="s">
        <v>347</v>
      </c>
      <c r="D157" s="4" t="s">
        <v>24</v>
      </c>
      <c r="E157" s="4">
        <f>209000+313500</f>
        <v>522500</v>
      </c>
      <c r="F157" s="76">
        <v>980000</v>
      </c>
      <c r="G157" s="4">
        <v>741000</v>
      </c>
      <c r="H157" s="24">
        <v>297250</v>
      </c>
      <c r="I157" s="25">
        <v>220800</v>
      </c>
      <c r="J157" s="9">
        <f t="shared" si="4"/>
        <v>2761550</v>
      </c>
    </row>
    <row r="158" spans="1:10">
      <c r="A158" s="8">
        <v>155</v>
      </c>
      <c r="B158" s="63" t="s">
        <v>349</v>
      </c>
      <c r="C158" s="5" t="s">
        <v>423</v>
      </c>
      <c r="D158" s="4" t="s">
        <v>24</v>
      </c>
      <c r="E158" s="4">
        <v>0</v>
      </c>
      <c r="F158" s="4">
        <v>0</v>
      </c>
      <c r="G158" s="20">
        <v>0</v>
      </c>
      <c r="H158" s="24">
        <v>359000</v>
      </c>
      <c r="I158" s="25">
        <v>0</v>
      </c>
      <c r="J158" s="9">
        <f t="shared" si="4"/>
        <v>359000</v>
      </c>
    </row>
    <row r="159" spans="1:10">
      <c r="A159" s="8">
        <v>156</v>
      </c>
      <c r="B159" s="2" t="s">
        <v>350</v>
      </c>
      <c r="C159" s="4" t="s">
        <v>347</v>
      </c>
      <c r="D159" s="4" t="s">
        <v>24</v>
      </c>
      <c r="E159" s="4">
        <v>0</v>
      </c>
      <c r="F159" s="4">
        <v>0</v>
      </c>
      <c r="G159" s="20">
        <v>0</v>
      </c>
      <c r="H159" s="24">
        <v>0</v>
      </c>
      <c r="I159" s="25">
        <v>540000</v>
      </c>
      <c r="J159" s="9">
        <f t="shared" si="4"/>
        <v>540000</v>
      </c>
    </row>
    <row r="160" spans="1:10" ht="31.5">
      <c r="A160" s="8">
        <v>157</v>
      </c>
      <c r="B160" s="1" t="s">
        <v>351</v>
      </c>
      <c r="C160" s="5" t="s">
        <v>424</v>
      </c>
      <c r="D160" s="4" t="s">
        <v>24</v>
      </c>
      <c r="E160" s="4">
        <v>0</v>
      </c>
      <c r="F160" s="4">
        <v>0</v>
      </c>
      <c r="G160" s="20">
        <v>0</v>
      </c>
      <c r="H160" s="24">
        <v>195000</v>
      </c>
      <c r="I160" s="25">
        <v>0</v>
      </c>
      <c r="J160" s="9">
        <f t="shared" si="4"/>
        <v>195000</v>
      </c>
    </row>
    <row r="161" spans="1:10" ht="31.5">
      <c r="A161" s="8">
        <v>158</v>
      </c>
      <c r="B161" s="1" t="s">
        <v>352</v>
      </c>
      <c r="C161" s="4" t="s">
        <v>309</v>
      </c>
      <c r="D161" s="4" t="s">
        <v>24</v>
      </c>
      <c r="E161" s="4">
        <v>155000</v>
      </c>
      <c r="F161" s="4">
        <v>0</v>
      </c>
      <c r="G161" s="20">
        <v>0</v>
      </c>
      <c r="H161" s="20">
        <v>195000</v>
      </c>
      <c r="I161" s="25">
        <v>100000</v>
      </c>
      <c r="J161" s="9">
        <f t="shared" si="4"/>
        <v>450000</v>
      </c>
    </row>
    <row r="162" spans="1:10" ht="31.5">
      <c r="A162" s="8">
        <v>159</v>
      </c>
      <c r="B162" s="1" t="s">
        <v>353</v>
      </c>
      <c r="C162" s="46" t="s">
        <v>354</v>
      </c>
      <c r="D162" s="4" t="s">
        <v>24</v>
      </c>
      <c r="E162" s="4">
        <v>0</v>
      </c>
      <c r="F162" s="4">
        <v>0</v>
      </c>
      <c r="G162" s="4">
        <v>196000</v>
      </c>
      <c r="H162" s="24">
        <v>562600</v>
      </c>
      <c r="I162" s="25">
        <v>0</v>
      </c>
      <c r="J162" s="9">
        <f t="shared" si="4"/>
        <v>758600</v>
      </c>
    </row>
    <row r="163" spans="1:10">
      <c r="A163" s="8">
        <v>160</v>
      </c>
      <c r="B163" s="1" t="s">
        <v>356</v>
      </c>
      <c r="C163" s="4" t="s">
        <v>313</v>
      </c>
      <c r="D163" s="4" t="s">
        <v>24</v>
      </c>
      <c r="E163" s="4">
        <v>155000</v>
      </c>
      <c r="F163" s="4">
        <v>0</v>
      </c>
      <c r="G163" s="4">
        <v>0</v>
      </c>
      <c r="H163" s="20">
        <v>0</v>
      </c>
      <c r="I163" s="25">
        <v>0</v>
      </c>
      <c r="J163" s="9">
        <f t="shared" si="4"/>
        <v>155000</v>
      </c>
    </row>
    <row r="164" spans="1:10">
      <c r="A164" s="8">
        <v>161</v>
      </c>
      <c r="B164" s="1" t="s">
        <v>119</v>
      </c>
      <c r="C164" s="4" t="s">
        <v>309</v>
      </c>
      <c r="D164" s="4" t="s">
        <v>24</v>
      </c>
      <c r="E164" s="4">
        <v>0</v>
      </c>
      <c r="F164" s="4">
        <v>0</v>
      </c>
      <c r="G164" s="20">
        <v>0</v>
      </c>
      <c r="H164" s="20">
        <v>0</v>
      </c>
      <c r="I164" s="25">
        <v>239200</v>
      </c>
      <c r="J164" s="9">
        <f t="shared" ref="J164:J180" si="5">E164+F164+G164+H164+I164</f>
        <v>239200</v>
      </c>
    </row>
    <row r="165" spans="1:10" ht="31.5">
      <c r="A165" s="8">
        <v>162</v>
      </c>
      <c r="B165" s="1" t="s">
        <v>357</v>
      </c>
      <c r="C165" s="12" t="s">
        <v>358</v>
      </c>
      <c r="D165" s="4" t="s">
        <v>24</v>
      </c>
      <c r="E165" s="4">
        <f>88000+93500+308000+20000</f>
        <v>509500</v>
      </c>
      <c r="F165" s="76">
        <v>1490000</v>
      </c>
      <c r="G165" s="4">
        <v>0</v>
      </c>
      <c r="H165" s="24">
        <v>537100</v>
      </c>
      <c r="I165" s="25">
        <v>0</v>
      </c>
      <c r="J165" s="9">
        <f t="shared" si="5"/>
        <v>2536600</v>
      </c>
    </row>
    <row r="166" spans="1:10">
      <c r="A166" s="8">
        <v>163</v>
      </c>
      <c r="B166" s="42" t="s">
        <v>359</v>
      </c>
      <c r="C166" s="64" t="s">
        <v>360</v>
      </c>
      <c r="D166" s="4" t="s">
        <v>24</v>
      </c>
      <c r="E166" s="4">
        <v>0</v>
      </c>
      <c r="F166" s="4">
        <v>0</v>
      </c>
      <c r="G166" s="4">
        <v>2160000</v>
      </c>
      <c r="H166" s="24">
        <v>0</v>
      </c>
      <c r="I166" s="25">
        <v>0</v>
      </c>
      <c r="J166" s="9">
        <f t="shared" si="5"/>
        <v>2160000</v>
      </c>
    </row>
    <row r="167" spans="1:10" ht="18.75">
      <c r="A167" s="8">
        <v>164</v>
      </c>
      <c r="B167" s="1" t="s">
        <v>361</v>
      </c>
      <c r="C167" s="91" t="s">
        <v>425</v>
      </c>
      <c r="D167" s="4" t="s">
        <v>24</v>
      </c>
      <c r="E167" s="4">
        <v>0</v>
      </c>
      <c r="F167" s="4">
        <v>0</v>
      </c>
      <c r="G167" s="20">
        <v>0</v>
      </c>
      <c r="H167" s="24">
        <v>627400</v>
      </c>
      <c r="I167" s="25">
        <v>0</v>
      </c>
      <c r="J167" s="9">
        <f t="shared" si="5"/>
        <v>627400</v>
      </c>
    </row>
    <row r="168" spans="1:10" ht="31.5">
      <c r="A168" s="8">
        <v>165</v>
      </c>
      <c r="B168" s="1" t="s">
        <v>8</v>
      </c>
      <c r="C168" s="5" t="s">
        <v>426</v>
      </c>
      <c r="D168" s="4" t="s">
        <v>62</v>
      </c>
      <c r="E168" s="5">
        <v>0</v>
      </c>
      <c r="F168" s="76">
        <v>351999</v>
      </c>
      <c r="G168" s="20">
        <v>0</v>
      </c>
      <c r="H168" s="20">
        <v>0</v>
      </c>
      <c r="I168" s="25">
        <v>0</v>
      </c>
      <c r="J168" s="9">
        <f t="shared" si="5"/>
        <v>351999</v>
      </c>
    </row>
    <row r="169" spans="1:10">
      <c r="A169" s="8">
        <v>166</v>
      </c>
      <c r="B169" s="1" t="s">
        <v>0</v>
      </c>
      <c r="C169" s="4" t="s">
        <v>22</v>
      </c>
      <c r="D169" s="4" t="s">
        <v>23</v>
      </c>
      <c r="E169" s="4">
        <v>155000</v>
      </c>
      <c r="F169" s="76">
        <v>0</v>
      </c>
      <c r="G169" s="20">
        <v>0</v>
      </c>
      <c r="H169" s="20">
        <v>0</v>
      </c>
      <c r="I169" s="25">
        <v>100000</v>
      </c>
      <c r="J169" s="9">
        <f t="shared" si="5"/>
        <v>255000</v>
      </c>
    </row>
    <row r="170" spans="1:10" ht="31.5">
      <c r="A170" s="8">
        <v>167</v>
      </c>
      <c r="B170" s="1" t="s">
        <v>364</v>
      </c>
      <c r="C170" s="4" t="s">
        <v>365</v>
      </c>
      <c r="D170" s="4" t="s">
        <v>23</v>
      </c>
      <c r="E170" s="4">
        <f>114500+65000+219000</f>
        <v>398500</v>
      </c>
      <c r="F170" s="4">
        <v>0</v>
      </c>
      <c r="G170" s="20">
        <v>0</v>
      </c>
      <c r="H170" s="25">
        <v>1013650</v>
      </c>
      <c r="I170" s="25">
        <v>0</v>
      </c>
      <c r="J170" s="9">
        <f t="shared" si="5"/>
        <v>1412150</v>
      </c>
    </row>
    <row r="171" spans="1:10">
      <c r="A171" s="8">
        <v>168</v>
      </c>
      <c r="B171" s="1" t="s">
        <v>473</v>
      </c>
      <c r="C171" s="4" t="s">
        <v>367</v>
      </c>
      <c r="D171" s="4" t="s">
        <v>23</v>
      </c>
      <c r="E171" s="4">
        <v>155000</v>
      </c>
      <c r="F171" s="4">
        <v>0</v>
      </c>
      <c r="G171" s="20">
        <v>0</v>
      </c>
      <c r="H171" s="20">
        <v>0</v>
      </c>
      <c r="I171" s="25">
        <v>0</v>
      </c>
      <c r="J171" s="9">
        <f t="shared" si="5"/>
        <v>155000</v>
      </c>
    </row>
    <row r="172" spans="1:10">
      <c r="A172" s="8">
        <v>169</v>
      </c>
      <c r="B172" s="1" t="s">
        <v>368</v>
      </c>
      <c r="C172" s="4" t="s">
        <v>369</v>
      </c>
      <c r="D172" s="4" t="s">
        <v>23</v>
      </c>
      <c r="E172" s="4">
        <v>155000</v>
      </c>
      <c r="F172" s="4">
        <v>0</v>
      </c>
      <c r="G172" s="20">
        <v>0</v>
      </c>
      <c r="H172" s="25">
        <v>710800</v>
      </c>
      <c r="I172" s="25">
        <v>540000</v>
      </c>
      <c r="J172" s="9">
        <f t="shared" si="5"/>
        <v>1405800</v>
      </c>
    </row>
    <row r="173" spans="1:10">
      <c r="A173" s="8">
        <v>170</v>
      </c>
      <c r="B173" s="1" t="s">
        <v>370</v>
      </c>
      <c r="C173" s="4" t="s">
        <v>371</v>
      </c>
      <c r="D173" s="4" t="s">
        <v>23</v>
      </c>
      <c r="E173" s="4">
        <f>99000+203500</f>
        <v>302500</v>
      </c>
      <c r="F173" s="4">
        <v>0</v>
      </c>
      <c r="G173" s="20">
        <v>0</v>
      </c>
      <c r="H173" s="25">
        <v>252200</v>
      </c>
      <c r="I173" s="25">
        <v>230000</v>
      </c>
      <c r="J173" s="9">
        <f t="shared" si="5"/>
        <v>784700</v>
      </c>
    </row>
    <row r="174" spans="1:10">
      <c r="A174" s="8">
        <v>171</v>
      </c>
      <c r="B174" s="1" t="s">
        <v>372</v>
      </c>
      <c r="C174" s="4" t="s">
        <v>371</v>
      </c>
      <c r="D174" s="4" t="s">
        <v>23</v>
      </c>
      <c r="E174" s="4">
        <v>88000</v>
      </c>
      <c r="F174" s="4">
        <v>0</v>
      </c>
      <c r="G174" s="20">
        <v>0</v>
      </c>
      <c r="H174" s="25">
        <v>601400</v>
      </c>
      <c r="I174" s="25">
        <v>0</v>
      </c>
      <c r="J174" s="9">
        <f t="shared" si="5"/>
        <v>689400</v>
      </c>
    </row>
    <row r="175" spans="1:10">
      <c r="A175" s="8">
        <v>172</v>
      </c>
      <c r="B175" s="1" t="s">
        <v>373</v>
      </c>
      <c r="C175" s="4" t="s">
        <v>374</v>
      </c>
      <c r="D175" s="4" t="s">
        <v>23</v>
      </c>
      <c r="E175" s="4">
        <f>282000+188000+80500+85000+80000</f>
        <v>715500</v>
      </c>
      <c r="F175" s="4">
        <v>0</v>
      </c>
      <c r="G175" s="20">
        <v>0</v>
      </c>
      <c r="H175" s="20">
        <v>0</v>
      </c>
      <c r="I175" s="25">
        <v>257600</v>
      </c>
      <c r="J175" s="9">
        <f t="shared" si="5"/>
        <v>973100</v>
      </c>
    </row>
    <row r="176" spans="1:10">
      <c r="A176" s="8">
        <v>173</v>
      </c>
      <c r="B176" s="1" t="s">
        <v>375</v>
      </c>
      <c r="C176" s="4" t="s">
        <v>376</v>
      </c>
      <c r="D176" s="4" t="s">
        <v>23</v>
      </c>
      <c r="E176" s="4">
        <f>96000+48000</f>
        <v>144000</v>
      </c>
      <c r="F176" s="4">
        <v>0</v>
      </c>
      <c r="G176" s="20">
        <v>0</v>
      </c>
      <c r="H176" s="25">
        <v>267300</v>
      </c>
      <c r="I176" s="25">
        <v>230000</v>
      </c>
      <c r="J176" s="9">
        <f t="shared" si="5"/>
        <v>641300</v>
      </c>
    </row>
    <row r="177" spans="1:10" ht="31.5">
      <c r="A177" s="8">
        <v>174</v>
      </c>
      <c r="B177" s="1" t="s">
        <v>472</v>
      </c>
      <c r="C177" s="4" t="s">
        <v>378</v>
      </c>
      <c r="D177" s="4" t="s">
        <v>23</v>
      </c>
      <c r="E177" s="4">
        <v>330000</v>
      </c>
      <c r="F177" s="4">
        <v>0</v>
      </c>
      <c r="G177" s="4">
        <v>290000</v>
      </c>
      <c r="H177" s="25">
        <v>518950</v>
      </c>
      <c r="I177" s="25">
        <v>0</v>
      </c>
      <c r="J177" s="9">
        <f t="shared" si="5"/>
        <v>1138950</v>
      </c>
    </row>
    <row r="178" spans="1:10">
      <c r="A178" s="8">
        <v>175</v>
      </c>
      <c r="B178" s="40" t="s">
        <v>379</v>
      </c>
      <c r="C178" s="41" t="s">
        <v>380</v>
      </c>
      <c r="D178" s="4" t="s">
        <v>23</v>
      </c>
      <c r="E178" s="4">
        <v>0</v>
      </c>
      <c r="F178" s="76">
        <f>910000-60000</f>
        <v>850000</v>
      </c>
      <c r="G178" s="20">
        <v>0</v>
      </c>
      <c r="H178" s="20">
        <v>0</v>
      </c>
      <c r="I178" s="25">
        <f>330000</f>
        <v>330000</v>
      </c>
      <c r="J178" s="9">
        <f t="shared" si="5"/>
        <v>1180000</v>
      </c>
    </row>
    <row r="179" spans="1:10" ht="31.5">
      <c r="A179" s="8">
        <v>176</v>
      </c>
      <c r="B179" s="1" t="s">
        <v>383</v>
      </c>
      <c r="C179" s="4" t="s">
        <v>380</v>
      </c>
      <c r="D179" s="4" t="s">
        <v>23</v>
      </c>
      <c r="E179" s="4">
        <f>60500+126500+137500+258500+88000</f>
        <v>671000</v>
      </c>
      <c r="F179" s="4">
        <v>0</v>
      </c>
      <c r="G179" s="20">
        <v>0</v>
      </c>
      <c r="H179" s="20">
        <v>0</v>
      </c>
      <c r="I179" s="25">
        <v>0</v>
      </c>
      <c r="J179" s="9">
        <f t="shared" si="5"/>
        <v>671000</v>
      </c>
    </row>
    <row r="180" spans="1:10" ht="18.75">
      <c r="A180" s="8">
        <v>177</v>
      </c>
      <c r="B180" s="1" t="s">
        <v>384</v>
      </c>
      <c r="C180" s="91" t="s">
        <v>427</v>
      </c>
      <c r="D180" s="4" t="s">
        <v>23</v>
      </c>
      <c r="E180" s="4">
        <v>0</v>
      </c>
      <c r="F180" s="4">
        <v>0</v>
      </c>
      <c r="G180" s="20">
        <v>0</v>
      </c>
      <c r="H180" s="20">
        <v>227000</v>
      </c>
      <c r="I180" s="25">
        <v>0</v>
      </c>
      <c r="J180" s="9">
        <f t="shared" si="5"/>
        <v>227000</v>
      </c>
    </row>
    <row r="181" spans="1:10" s="127" customFormat="1" ht="16.5" thickBot="1">
      <c r="A181" s="112"/>
      <c r="B181" s="113" t="s">
        <v>63</v>
      </c>
      <c r="C181" s="114"/>
      <c r="D181" s="114"/>
      <c r="E181" s="114">
        <f t="shared" ref="E181:J181" si="6">SUM(E4:E180)</f>
        <v>33449181</v>
      </c>
      <c r="F181" s="114">
        <f t="shared" si="6"/>
        <v>40371999</v>
      </c>
      <c r="G181" s="114">
        <f t="shared" si="6"/>
        <v>30501935</v>
      </c>
      <c r="H181" s="114">
        <f t="shared" si="6"/>
        <v>47459700</v>
      </c>
      <c r="I181" s="114">
        <f t="shared" si="6"/>
        <v>11835750</v>
      </c>
      <c r="J181" s="114">
        <f t="shared" si="6"/>
        <v>163618565</v>
      </c>
    </row>
    <row r="182" spans="1:10" ht="16.5" thickTop="1">
      <c r="A182" s="3"/>
      <c r="F182" s="75"/>
      <c r="G182" s="75"/>
    </row>
    <row r="184" spans="1:10">
      <c r="A184" s="3"/>
    </row>
  </sheetData>
  <autoFilter ref="A3:BM181"/>
  <mergeCells count="3">
    <mergeCell ref="A1:J1"/>
    <mergeCell ref="E2:J2"/>
    <mergeCell ref="A2:D2"/>
  </mergeCells>
  <conditionalFormatting sqref="B63">
    <cfRule type="duplicateValues" dxfId="157" priority="15"/>
  </conditionalFormatting>
  <conditionalFormatting sqref="A3">
    <cfRule type="duplicateValues" dxfId="156" priority="36"/>
  </conditionalFormatting>
  <conditionalFormatting sqref="B182:D1048576 C181:D181 B4:B11 B64 B139:B158 B115:B125 B33:B62 B127:B137 B24:B30 B103:B109 B160:B181 B3:D3 B13:B22 B67:B101">
    <cfRule type="duplicateValues" dxfId="155" priority="38"/>
  </conditionalFormatting>
  <conditionalFormatting sqref="B181:D1048576">
    <cfRule type="duplicateValues" dxfId="154" priority="57"/>
  </conditionalFormatting>
  <conditionalFormatting sqref="C181:D181">
    <cfRule type="duplicateValues" dxfId="153" priority="60"/>
  </conditionalFormatting>
  <conditionalFormatting sqref="B181:D181">
    <cfRule type="duplicateValues" dxfId="152" priority="61"/>
  </conditionalFormatting>
  <conditionalFormatting sqref="B3:D3">
    <cfRule type="duplicateValues" dxfId="15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3"/>
  <sheetViews>
    <sheetView workbookViewId="0">
      <pane xSplit="4" ySplit="1" topLeftCell="E2" activePane="bottomRight" state="frozen"/>
      <selection pane="topRight" activeCell="E1" sqref="E1"/>
      <selection pane="bottomLeft" activeCell="A4" sqref="A4"/>
      <selection pane="bottomRight" sqref="A1:XFD3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3" style="3" customWidth="1"/>
    <col min="6" max="6" width="15" style="3" customWidth="1"/>
    <col min="7" max="7" width="14.5703125" style="3" customWidth="1"/>
    <col min="8" max="8" width="15.140625" style="3" customWidth="1"/>
    <col min="9" max="9" width="16.28515625" style="3" customWidth="1"/>
    <col min="10" max="10" width="13.140625" style="3" customWidth="1"/>
    <col min="11" max="11" width="12.7109375" style="3" customWidth="1"/>
    <col min="12" max="12" width="15.85546875" style="3" customWidth="1"/>
    <col min="13" max="14" width="9.140625" style="3" customWidth="1"/>
    <col min="15" max="16384" width="9.140625" style="3"/>
  </cols>
  <sheetData>
    <row r="1" spans="1:38" s="6" customFormat="1" ht="23.25">
      <c r="A1" s="179" t="s">
        <v>486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  <c r="K2" s="180"/>
      <c r="L2" s="180"/>
    </row>
    <row r="3" spans="1:38" s="7" customFormat="1" ht="47.25">
      <c r="A3" s="128" t="s">
        <v>47</v>
      </c>
      <c r="B3" s="128" t="s">
        <v>13</v>
      </c>
      <c r="C3" s="128" t="s">
        <v>46</v>
      </c>
      <c r="D3" s="128" t="s">
        <v>16</v>
      </c>
      <c r="E3" s="128" t="s">
        <v>438</v>
      </c>
      <c r="F3" s="128" t="s">
        <v>452</v>
      </c>
      <c r="G3" s="128" t="s">
        <v>439</v>
      </c>
      <c r="H3" s="128" t="s">
        <v>440</v>
      </c>
      <c r="I3" s="128" t="s">
        <v>453</v>
      </c>
      <c r="J3" s="128" t="s">
        <v>454</v>
      </c>
      <c r="K3" s="128" t="s">
        <v>441</v>
      </c>
      <c r="L3" s="128" t="s">
        <v>407</v>
      </c>
    </row>
    <row r="4" spans="1:38">
      <c r="A4" s="8">
        <v>1</v>
      </c>
      <c r="B4" s="1" t="s">
        <v>66</v>
      </c>
      <c r="C4" s="4" t="s">
        <v>67</v>
      </c>
      <c r="D4" s="4" t="s">
        <v>29</v>
      </c>
      <c r="E4" s="4">
        <f>20000+20000</f>
        <v>40000</v>
      </c>
      <c r="F4" s="4">
        <v>0</v>
      </c>
      <c r="G4" s="4">
        <v>0</v>
      </c>
      <c r="H4" s="27">
        <v>30000</v>
      </c>
      <c r="I4" s="27">
        <v>1050000</v>
      </c>
      <c r="J4" s="10">
        <v>0</v>
      </c>
      <c r="K4" s="10">
        <v>0</v>
      </c>
      <c r="L4" s="9">
        <f t="shared" ref="L4:L35" si="0">E4+F4+G4+H4+I4+J4+K4</f>
        <v>1120000</v>
      </c>
    </row>
    <row r="5" spans="1:38">
      <c r="A5" s="8">
        <v>2</v>
      </c>
      <c r="B5" s="1" t="s">
        <v>68</v>
      </c>
      <c r="C5" s="4" t="s">
        <v>39</v>
      </c>
      <c r="D5" s="4" t="s">
        <v>29</v>
      </c>
      <c r="E5" s="4">
        <f>100000+120000+20000</f>
        <v>240000</v>
      </c>
      <c r="F5" s="4">
        <v>0</v>
      </c>
      <c r="G5" s="4">
        <v>0</v>
      </c>
      <c r="H5" s="27">
        <v>330000</v>
      </c>
      <c r="I5" s="10">
        <v>1043000</v>
      </c>
      <c r="J5" s="10">
        <v>0</v>
      </c>
      <c r="K5" s="10">
        <v>0</v>
      </c>
      <c r="L5" s="9">
        <f t="shared" si="0"/>
        <v>1613000</v>
      </c>
    </row>
    <row r="6" spans="1:38">
      <c r="A6" s="8">
        <v>3</v>
      </c>
      <c r="B6" s="1" t="s">
        <v>69</v>
      </c>
      <c r="C6" s="4" t="s">
        <v>67</v>
      </c>
      <c r="D6" s="4" t="s">
        <v>29</v>
      </c>
      <c r="E6" s="4">
        <f>360000+20000</f>
        <v>380000</v>
      </c>
      <c r="F6" s="4">
        <v>0</v>
      </c>
      <c r="G6" s="4">
        <v>0</v>
      </c>
      <c r="H6" s="27">
        <v>120000</v>
      </c>
      <c r="I6" s="10">
        <v>1113000</v>
      </c>
      <c r="J6" s="10">
        <v>0</v>
      </c>
      <c r="K6" s="10">
        <v>0</v>
      </c>
      <c r="L6" s="9">
        <f t="shared" si="0"/>
        <v>1613000</v>
      </c>
    </row>
    <row r="7" spans="1:38">
      <c r="A7" s="8">
        <v>4</v>
      </c>
      <c r="B7" s="1" t="s">
        <v>70</v>
      </c>
      <c r="C7" s="4" t="s">
        <v>71</v>
      </c>
      <c r="D7" s="4" t="s">
        <v>29</v>
      </c>
      <c r="E7" s="4">
        <f>100000+20000</f>
        <v>120000</v>
      </c>
      <c r="F7" s="4">
        <v>0</v>
      </c>
      <c r="G7" s="11">
        <v>300000</v>
      </c>
      <c r="H7" s="27">
        <v>30000</v>
      </c>
      <c r="I7" s="10">
        <v>1155000</v>
      </c>
      <c r="J7" s="10">
        <v>0</v>
      </c>
      <c r="K7" s="10">
        <v>0</v>
      </c>
      <c r="L7" s="9">
        <f t="shared" si="0"/>
        <v>1605000</v>
      </c>
    </row>
    <row r="8" spans="1:38">
      <c r="A8" s="8">
        <v>5</v>
      </c>
      <c r="B8" s="1" t="s">
        <v>11</v>
      </c>
      <c r="C8" s="4" t="s">
        <v>39</v>
      </c>
      <c r="D8" s="4" t="s">
        <v>29</v>
      </c>
      <c r="E8" s="4">
        <v>0</v>
      </c>
      <c r="F8" s="76">
        <v>300000</v>
      </c>
      <c r="G8" s="11">
        <v>300000</v>
      </c>
      <c r="H8" s="27">
        <v>30000</v>
      </c>
      <c r="I8" s="10">
        <v>0</v>
      </c>
      <c r="J8" s="10">
        <v>0</v>
      </c>
      <c r="K8" s="10">
        <v>0</v>
      </c>
      <c r="L8" s="9">
        <f t="shared" si="0"/>
        <v>630000</v>
      </c>
    </row>
    <row r="9" spans="1:38">
      <c r="A9" s="8">
        <v>6</v>
      </c>
      <c r="B9" s="1" t="s">
        <v>72</v>
      </c>
      <c r="C9" s="33" t="s">
        <v>73</v>
      </c>
      <c r="D9" s="4" t="s">
        <v>29</v>
      </c>
      <c r="E9" s="4">
        <v>0</v>
      </c>
      <c r="F9" s="4">
        <v>0</v>
      </c>
      <c r="G9" s="4">
        <v>0</v>
      </c>
      <c r="H9" s="27">
        <v>625000</v>
      </c>
      <c r="I9" s="10">
        <v>0</v>
      </c>
      <c r="J9" s="10">
        <v>0</v>
      </c>
      <c r="K9" s="10">
        <v>0</v>
      </c>
      <c r="L9" s="9">
        <f t="shared" si="0"/>
        <v>625000</v>
      </c>
    </row>
    <row r="10" spans="1:38">
      <c r="A10" s="8">
        <v>7</v>
      </c>
      <c r="B10" s="1" t="s">
        <v>74</v>
      </c>
      <c r="C10" s="4" t="s">
        <v>75</v>
      </c>
      <c r="D10" s="4" t="s">
        <v>29</v>
      </c>
      <c r="E10" s="4">
        <v>0</v>
      </c>
      <c r="F10" s="4">
        <v>0</v>
      </c>
      <c r="G10" s="4">
        <v>0</v>
      </c>
      <c r="H10" s="27">
        <v>0</v>
      </c>
      <c r="I10" s="10">
        <v>840000</v>
      </c>
      <c r="J10" s="10">
        <v>0</v>
      </c>
      <c r="K10" s="10">
        <v>0</v>
      </c>
      <c r="L10" s="9">
        <f t="shared" si="0"/>
        <v>840000</v>
      </c>
    </row>
    <row r="11" spans="1:38">
      <c r="A11" s="8">
        <v>8</v>
      </c>
      <c r="B11" s="1" t="s">
        <v>76</v>
      </c>
      <c r="C11" s="5" t="s">
        <v>67</v>
      </c>
      <c r="D11" s="4" t="s">
        <v>29</v>
      </c>
      <c r="E11" s="4">
        <v>0</v>
      </c>
      <c r="F11" s="4">
        <v>0</v>
      </c>
      <c r="G11" s="4">
        <v>0</v>
      </c>
      <c r="H11" s="27">
        <v>660000</v>
      </c>
      <c r="I11" s="10">
        <v>0</v>
      </c>
      <c r="J11" s="10">
        <v>0</v>
      </c>
      <c r="K11" s="10">
        <v>0</v>
      </c>
      <c r="L11" s="9">
        <f t="shared" si="0"/>
        <v>660000</v>
      </c>
    </row>
    <row r="12" spans="1:38">
      <c r="A12" s="8">
        <v>9</v>
      </c>
      <c r="B12" s="1" t="s">
        <v>77</v>
      </c>
      <c r="C12" s="4" t="s">
        <v>78</v>
      </c>
      <c r="D12" s="4" t="s">
        <v>29</v>
      </c>
      <c r="E12" s="4">
        <v>0</v>
      </c>
      <c r="F12" s="76">
        <v>775000</v>
      </c>
      <c r="G12" s="4">
        <v>0</v>
      </c>
      <c r="H12" s="10">
        <v>0</v>
      </c>
      <c r="I12" s="10">
        <v>0</v>
      </c>
      <c r="J12" s="10">
        <v>0</v>
      </c>
      <c r="K12" s="10">
        <v>0</v>
      </c>
      <c r="L12" s="9">
        <f t="shared" si="0"/>
        <v>775000</v>
      </c>
    </row>
    <row r="13" spans="1:38" ht="31.5">
      <c r="A13" s="8">
        <v>10</v>
      </c>
      <c r="B13" s="1" t="s">
        <v>79</v>
      </c>
      <c r="C13" s="4" t="s">
        <v>80</v>
      </c>
      <c r="D13" s="4" t="s">
        <v>29</v>
      </c>
      <c r="E13" s="4">
        <f>100000+20000+20000</f>
        <v>140000</v>
      </c>
      <c r="F13" s="4">
        <v>0</v>
      </c>
      <c r="G13" s="4">
        <v>0</v>
      </c>
      <c r="H13" s="10">
        <v>60000</v>
      </c>
      <c r="I13" s="10">
        <v>1155000</v>
      </c>
      <c r="J13" s="10">
        <v>0</v>
      </c>
      <c r="K13" s="10">
        <v>0</v>
      </c>
      <c r="L13" s="9">
        <f t="shared" si="0"/>
        <v>1355000</v>
      </c>
    </row>
    <row r="14" spans="1:38">
      <c r="A14" s="8">
        <v>11</v>
      </c>
      <c r="B14" s="1" t="s">
        <v>81</v>
      </c>
      <c r="C14" s="4" t="s">
        <v>82</v>
      </c>
      <c r="D14" s="4" t="s">
        <v>29</v>
      </c>
      <c r="E14" s="4">
        <f>80000+20000</f>
        <v>100000</v>
      </c>
      <c r="F14" s="76">
        <v>925000</v>
      </c>
      <c r="G14" s="4">
        <v>0</v>
      </c>
      <c r="H14" s="4">
        <v>0</v>
      </c>
      <c r="I14" s="10">
        <v>0</v>
      </c>
      <c r="J14" s="10">
        <v>0</v>
      </c>
      <c r="K14" s="10">
        <v>0</v>
      </c>
      <c r="L14" s="9">
        <f t="shared" si="0"/>
        <v>1025000</v>
      </c>
    </row>
    <row r="15" spans="1:38">
      <c r="A15" s="8">
        <v>12</v>
      </c>
      <c r="B15" s="1" t="s">
        <v>84</v>
      </c>
      <c r="C15" s="4" t="s">
        <v>85</v>
      </c>
      <c r="D15" s="4" t="s">
        <v>35</v>
      </c>
      <c r="E15" s="4">
        <v>533000</v>
      </c>
      <c r="F15" s="4">
        <v>0</v>
      </c>
      <c r="G15" s="4">
        <v>0</v>
      </c>
      <c r="H15" s="4">
        <v>0</v>
      </c>
      <c r="I15" s="10">
        <v>0</v>
      </c>
      <c r="J15" s="10">
        <v>0</v>
      </c>
      <c r="K15" s="10">
        <v>0</v>
      </c>
      <c r="L15" s="9">
        <f t="shared" si="0"/>
        <v>533000</v>
      </c>
    </row>
    <row r="16" spans="1:38">
      <c r="A16" s="8">
        <v>13</v>
      </c>
      <c r="B16" s="1" t="s">
        <v>7</v>
      </c>
      <c r="C16" s="4" t="s">
        <v>40</v>
      </c>
      <c r="D16" s="4" t="s">
        <v>35</v>
      </c>
      <c r="E16" s="4">
        <v>417000</v>
      </c>
      <c r="F16" s="4">
        <v>0</v>
      </c>
      <c r="G16" s="4">
        <v>800000</v>
      </c>
      <c r="H16" s="4">
        <v>0</v>
      </c>
      <c r="I16" s="10">
        <v>0</v>
      </c>
      <c r="J16" s="10">
        <v>0</v>
      </c>
      <c r="K16" s="10">
        <v>0</v>
      </c>
      <c r="L16" s="9">
        <f t="shared" si="0"/>
        <v>1217000</v>
      </c>
    </row>
    <row r="17" spans="1:12" ht="31.5">
      <c r="A17" s="8">
        <v>14</v>
      </c>
      <c r="B17" s="1" t="s">
        <v>87</v>
      </c>
      <c r="C17" s="4" t="s">
        <v>88</v>
      </c>
      <c r="D17" s="4" t="s">
        <v>18</v>
      </c>
      <c r="E17" s="4">
        <f>100000+40000</f>
        <v>140000</v>
      </c>
      <c r="F17" s="4">
        <v>0</v>
      </c>
      <c r="G17" s="4">
        <v>0</v>
      </c>
      <c r="H17" s="27">
        <v>172000</v>
      </c>
      <c r="I17" s="10">
        <v>945000</v>
      </c>
      <c r="J17" s="10">
        <v>0</v>
      </c>
      <c r="K17" s="10">
        <v>0</v>
      </c>
      <c r="L17" s="9">
        <f t="shared" si="0"/>
        <v>1257000</v>
      </c>
    </row>
    <row r="18" spans="1:12">
      <c r="A18" s="8">
        <v>15</v>
      </c>
      <c r="B18" s="1" t="s">
        <v>89</v>
      </c>
      <c r="C18" s="4" t="s">
        <v>90</v>
      </c>
      <c r="D18" s="4" t="s">
        <v>18</v>
      </c>
      <c r="E18" s="4">
        <f>120000+20000</f>
        <v>140000</v>
      </c>
      <c r="F18" s="4">
        <v>0</v>
      </c>
      <c r="G18" s="4">
        <v>0</v>
      </c>
      <c r="H18" s="27">
        <v>30000</v>
      </c>
      <c r="I18" s="10">
        <v>945000</v>
      </c>
      <c r="J18" s="10">
        <v>0</v>
      </c>
      <c r="K18" s="10">
        <v>0</v>
      </c>
      <c r="L18" s="9">
        <f t="shared" si="0"/>
        <v>1115000</v>
      </c>
    </row>
    <row r="19" spans="1:12" ht="31.5">
      <c r="A19" s="8">
        <v>16</v>
      </c>
      <c r="B19" s="1" t="s">
        <v>91</v>
      </c>
      <c r="C19" s="4" t="s">
        <v>92</v>
      </c>
      <c r="D19" s="4" t="s">
        <v>18</v>
      </c>
      <c r="E19" s="4">
        <v>685500</v>
      </c>
      <c r="F19" s="4">
        <v>0</v>
      </c>
      <c r="G19" s="11">
        <v>300000</v>
      </c>
      <c r="H19" s="4">
        <v>0</v>
      </c>
      <c r="I19" s="10">
        <v>0</v>
      </c>
      <c r="J19" s="10">
        <v>0</v>
      </c>
      <c r="K19" s="10">
        <v>0</v>
      </c>
      <c r="L19" s="9">
        <f t="shared" si="0"/>
        <v>985500</v>
      </c>
    </row>
    <row r="20" spans="1:12">
      <c r="A20" s="8">
        <v>17</v>
      </c>
      <c r="B20" s="1" t="s">
        <v>9</v>
      </c>
      <c r="C20" s="4" t="s">
        <v>42</v>
      </c>
      <c r="D20" s="4" t="s">
        <v>18</v>
      </c>
      <c r="E20" s="4">
        <v>0</v>
      </c>
      <c r="F20" s="4">
        <v>0</v>
      </c>
      <c r="G20" s="11">
        <v>0</v>
      </c>
      <c r="H20" s="10">
        <v>950000</v>
      </c>
      <c r="I20" s="10">
        <v>0</v>
      </c>
      <c r="J20" s="10">
        <v>0</v>
      </c>
      <c r="K20" s="10">
        <v>0</v>
      </c>
      <c r="L20" s="9">
        <f t="shared" si="0"/>
        <v>950000</v>
      </c>
    </row>
    <row r="21" spans="1:12" ht="30">
      <c r="A21" s="8">
        <v>18</v>
      </c>
      <c r="B21" s="2" t="s">
        <v>99</v>
      </c>
      <c r="C21" s="4" t="s">
        <v>96</v>
      </c>
      <c r="D21" s="4" t="s">
        <v>98</v>
      </c>
      <c r="E21" s="4">
        <v>0</v>
      </c>
      <c r="F21" s="4">
        <v>0</v>
      </c>
      <c r="G21" s="4">
        <v>0</v>
      </c>
      <c r="H21" s="4">
        <v>0</v>
      </c>
      <c r="I21" s="10">
        <v>0</v>
      </c>
      <c r="J21" s="10">
        <v>0</v>
      </c>
      <c r="K21" s="10">
        <v>150000</v>
      </c>
      <c r="L21" s="9">
        <f t="shared" si="0"/>
        <v>150000</v>
      </c>
    </row>
    <row r="22" spans="1:12">
      <c r="A22" s="8">
        <v>19</v>
      </c>
      <c r="B22" s="1" t="s">
        <v>101</v>
      </c>
      <c r="C22" s="4" t="s">
        <v>102</v>
      </c>
      <c r="D22" s="4" t="s">
        <v>31</v>
      </c>
      <c r="E22" s="4">
        <v>12000</v>
      </c>
      <c r="F22" s="4">
        <v>0</v>
      </c>
      <c r="G22" s="20">
        <v>0</v>
      </c>
      <c r="H22" s="20">
        <v>0</v>
      </c>
      <c r="I22" s="25">
        <v>0</v>
      </c>
      <c r="J22" s="25">
        <v>0</v>
      </c>
      <c r="K22" s="25">
        <v>0</v>
      </c>
      <c r="L22" s="9">
        <f t="shared" si="0"/>
        <v>12000</v>
      </c>
    </row>
    <row r="23" spans="1:12">
      <c r="A23" s="8">
        <v>20</v>
      </c>
      <c r="B23" s="1" t="s">
        <v>12</v>
      </c>
      <c r="C23" s="4" t="s">
        <v>45</v>
      </c>
      <c r="D23" s="4" t="s">
        <v>31</v>
      </c>
      <c r="E23" s="4">
        <v>160000</v>
      </c>
      <c r="F23" s="76">
        <v>200000</v>
      </c>
      <c r="G23" s="23">
        <v>480000</v>
      </c>
      <c r="H23" s="20">
        <v>0</v>
      </c>
      <c r="I23" s="25">
        <v>0</v>
      </c>
      <c r="J23" s="25">
        <v>0</v>
      </c>
      <c r="K23" s="25">
        <v>0</v>
      </c>
      <c r="L23" s="9">
        <f t="shared" si="0"/>
        <v>840000</v>
      </c>
    </row>
    <row r="24" spans="1:12">
      <c r="A24" s="8">
        <v>21</v>
      </c>
      <c r="B24" s="1" t="s">
        <v>110</v>
      </c>
      <c r="C24" s="4" t="s">
        <v>108</v>
      </c>
      <c r="D24" s="4" t="s">
        <v>108</v>
      </c>
      <c r="E24" s="4">
        <v>180000</v>
      </c>
      <c r="F24" s="4">
        <v>0</v>
      </c>
      <c r="G24" s="20">
        <v>0</v>
      </c>
      <c r="H24" s="20">
        <v>0</v>
      </c>
      <c r="I24" s="25">
        <v>0</v>
      </c>
      <c r="J24" s="25">
        <v>0</v>
      </c>
      <c r="K24" s="25">
        <v>0</v>
      </c>
      <c r="L24" s="9">
        <f t="shared" si="0"/>
        <v>180000</v>
      </c>
    </row>
    <row r="25" spans="1:12">
      <c r="A25" s="8">
        <v>22</v>
      </c>
      <c r="B25" s="40" t="s">
        <v>112</v>
      </c>
      <c r="C25" s="4" t="s">
        <v>108</v>
      </c>
      <c r="D25" s="4" t="s">
        <v>108</v>
      </c>
      <c r="E25" s="4">
        <v>0</v>
      </c>
      <c r="F25" s="76">
        <v>700000</v>
      </c>
      <c r="G25" s="20">
        <v>0</v>
      </c>
      <c r="H25" s="24">
        <v>0</v>
      </c>
      <c r="I25" s="25">
        <v>0</v>
      </c>
      <c r="J25" s="25">
        <v>0</v>
      </c>
      <c r="K25" s="25">
        <v>0</v>
      </c>
      <c r="L25" s="9">
        <f t="shared" si="0"/>
        <v>700000</v>
      </c>
    </row>
    <row r="26" spans="1:12">
      <c r="A26" s="8">
        <v>23</v>
      </c>
      <c r="B26" s="1" t="s">
        <v>113</v>
      </c>
      <c r="C26" s="41" t="s">
        <v>114</v>
      </c>
      <c r="D26" s="4" t="s">
        <v>108</v>
      </c>
      <c r="E26" s="4">
        <v>0</v>
      </c>
      <c r="F26" s="4">
        <v>0</v>
      </c>
      <c r="G26" s="20">
        <v>0</v>
      </c>
      <c r="H26" s="24">
        <v>92000</v>
      </c>
      <c r="I26" s="25">
        <v>0</v>
      </c>
      <c r="J26" s="25">
        <v>0</v>
      </c>
      <c r="K26" s="25">
        <v>0</v>
      </c>
      <c r="L26" s="9">
        <f t="shared" si="0"/>
        <v>92000</v>
      </c>
    </row>
    <row r="27" spans="1:12">
      <c r="A27" s="8">
        <v>24</v>
      </c>
      <c r="B27" s="1" t="s">
        <v>115</v>
      </c>
      <c r="C27" s="4" t="s">
        <v>116</v>
      </c>
      <c r="D27" s="4" t="s">
        <v>108</v>
      </c>
      <c r="E27" s="4">
        <f>60000+20000</f>
        <v>80000</v>
      </c>
      <c r="F27" s="4">
        <v>0</v>
      </c>
      <c r="G27" s="22">
        <v>248000</v>
      </c>
      <c r="H27" s="24">
        <v>150000</v>
      </c>
      <c r="I27" s="25">
        <v>409500</v>
      </c>
      <c r="J27" s="25">
        <v>0</v>
      </c>
      <c r="K27" s="25">
        <v>0</v>
      </c>
      <c r="L27" s="9">
        <f t="shared" si="0"/>
        <v>887500</v>
      </c>
    </row>
    <row r="28" spans="1:12" ht="31.5">
      <c r="A28" s="8">
        <v>25</v>
      </c>
      <c r="B28" s="1" t="s">
        <v>117</v>
      </c>
      <c r="C28" s="4" t="s">
        <v>114</v>
      </c>
      <c r="D28" s="4" t="s">
        <v>108</v>
      </c>
      <c r="E28" s="4">
        <v>0</v>
      </c>
      <c r="F28" s="76">
        <v>913500</v>
      </c>
      <c r="G28" s="20">
        <v>0</v>
      </c>
      <c r="H28" s="24">
        <v>0</v>
      </c>
      <c r="I28" s="25">
        <v>0</v>
      </c>
      <c r="J28" s="25">
        <v>0</v>
      </c>
      <c r="K28" s="25">
        <v>0</v>
      </c>
      <c r="L28" s="9">
        <f t="shared" si="0"/>
        <v>913500</v>
      </c>
    </row>
    <row r="29" spans="1:12">
      <c r="A29" s="8">
        <v>26</v>
      </c>
      <c r="B29" s="1" t="s">
        <v>118</v>
      </c>
      <c r="C29" s="4" t="s">
        <v>108</v>
      </c>
      <c r="D29" s="4" t="s">
        <v>108</v>
      </c>
      <c r="E29" s="4">
        <v>371000</v>
      </c>
      <c r="F29" s="4">
        <v>0</v>
      </c>
      <c r="G29" s="20">
        <v>0</v>
      </c>
      <c r="H29" s="20">
        <v>0</v>
      </c>
      <c r="I29" s="25">
        <v>0</v>
      </c>
      <c r="J29" s="25">
        <v>0</v>
      </c>
      <c r="K29" s="25">
        <v>0</v>
      </c>
      <c r="L29" s="9">
        <f t="shared" si="0"/>
        <v>371000</v>
      </c>
    </row>
    <row r="30" spans="1:12" ht="31.5">
      <c r="A30" s="8">
        <v>27</v>
      </c>
      <c r="B30" s="1" t="s">
        <v>123</v>
      </c>
      <c r="C30" s="4" t="s">
        <v>124</v>
      </c>
      <c r="D30" s="4" t="s">
        <v>20</v>
      </c>
      <c r="E30" s="4">
        <v>0</v>
      </c>
      <c r="F30" s="4">
        <v>0</v>
      </c>
      <c r="G30" s="20">
        <v>0</v>
      </c>
      <c r="H30" s="24">
        <v>478000</v>
      </c>
      <c r="I30" s="25">
        <v>0</v>
      </c>
      <c r="J30" s="25">
        <v>0</v>
      </c>
      <c r="K30" s="25">
        <v>0</v>
      </c>
      <c r="L30" s="9">
        <f t="shared" si="0"/>
        <v>478000</v>
      </c>
    </row>
    <row r="31" spans="1:12" ht="31.5">
      <c r="A31" s="8">
        <v>28</v>
      </c>
      <c r="B31" s="1" t="s">
        <v>125</v>
      </c>
      <c r="C31" s="4" t="s">
        <v>126</v>
      </c>
      <c r="D31" s="4" t="s">
        <v>20</v>
      </c>
      <c r="E31" s="4">
        <f>160000+20000</f>
        <v>180000</v>
      </c>
      <c r="F31" s="4">
        <v>0</v>
      </c>
      <c r="G31" s="20">
        <v>0</v>
      </c>
      <c r="H31" s="24">
        <v>40000</v>
      </c>
      <c r="I31" s="25">
        <v>770000</v>
      </c>
      <c r="J31" s="25">
        <v>0</v>
      </c>
      <c r="K31" s="25">
        <v>0</v>
      </c>
      <c r="L31" s="9">
        <f t="shared" si="0"/>
        <v>990000</v>
      </c>
    </row>
    <row r="32" spans="1:12">
      <c r="A32" s="8">
        <v>29</v>
      </c>
      <c r="B32" s="1" t="s">
        <v>129</v>
      </c>
      <c r="C32" s="4" t="s">
        <v>130</v>
      </c>
      <c r="D32" s="4" t="s">
        <v>20</v>
      </c>
      <c r="E32" s="4">
        <v>0</v>
      </c>
      <c r="F32" s="4">
        <v>0</v>
      </c>
      <c r="G32" s="20">
        <v>0</v>
      </c>
      <c r="H32" s="24">
        <v>30000</v>
      </c>
      <c r="I32" s="25">
        <v>0</v>
      </c>
      <c r="J32" s="25">
        <v>0</v>
      </c>
      <c r="K32" s="25">
        <v>0</v>
      </c>
      <c r="L32" s="9">
        <f t="shared" si="0"/>
        <v>30000</v>
      </c>
    </row>
    <row r="33" spans="1:12">
      <c r="A33" s="8">
        <v>30</v>
      </c>
      <c r="B33" s="1" t="s">
        <v>52</v>
      </c>
      <c r="C33" s="4" t="s">
        <v>30</v>
      </c>
      <c r="D33" s="4" t="s">
        <v>20</v>
      </c>
      <c r="E33" s="4">
        <v>218000</v>
      </c>
      <c r="F33" s="4">
        <v>0</v>
      </c>
      <c r="G33" s="20">
        <v>0</v>
      </c>
      <c r="H33" s="20">
        <v>0</v>
      </c>
      <c r="I33" s="25">
        <v>0</v>
      </c>
      <c r="J33" s="25">
        <v>0</v>
      </c>
      <c r="K33" s="25">
        <v>0</v>
      </c>
      <c r="L33" s="9">
        <f t="shared" si="0"/>
        <v>218000</v>
      </c>
    </row>
    <row r="34" spans="1:12" ht="47.25">
      <c r="A34" s="8">
        <v>31</v>
      </c>
      <c r="B34" s="1" t="s">
        <v>135</v>
      </c>
      <c r="C34" s="4" t="s">
        <v>124</v>
      </c>
      <c r="D34" s="4" t="s">
        <v>20</v>
      </c>
      <c r="E34" s="4">
        <f>160000+20000</f>
        <v>180000</v>
      </c>
      <c r="F34" s="4">
        <v>0</v>
      </c>
      <c r="G34" s="20">
        <v>0</v>
      </c>
      <c r="H34" s="25">
        <v>180000</v>
      </c>
      <c r="I34" s="25">
        <v>1155000</v>
      </c>
      <c r="J34" s="25">
        <v>0</v>
      </c>
      <c r="K34" s="25">
        <v>200000</v>
      </c>
      <c r="L34" s="9">
        <f t="shared" si="0"/>
        <v>1715000</v>
      </c>
    </row>
    <row r="35" spans="1:12">
      <c r="A35" s="8">
        <v>32</v>
      </c>
      <c r="B35" s="1" t="s">
        <v>137</v>
      </c>
      <c r="C35" s="5" t="s">
        <v>409</v>
      </c>
      <c r="D35" s="4" t="s">
        <v>19</v>
      </c>
      <c r="E35" s="4">
        <v>0</v>
      </c>
      <c r="F35" s="4">
        <v>0</v>
      </c>
      <c r="G35" s="20">
        <v>0</v>
      </c>
      <c r="H35" s="24">
        <v>760000</v>
      </c>
      <c r="I35" s="25">
        <v>0</v>
      </c>
      <c r="J35" s="25">
        <v>0</v>
      </c>
      <c r="K35" s="25">
        <v>0</v>
      </c>
      <c r="L35" s="9">
        <f t="shared" si="0"/>
        <v>760000</v>
      </c>
    </row>
    <row r="36" spans="1:12">
      <c r="A36" s="8">
        <v>33</v>
      </c>
      <c r="B36" s="1" t="s">
        <v>59</v>
      </c>
      <c r="C36" s="12" t="s">
        <v>27</v>
      </c>
      <c r="D36" s="4" t="s">
        <v>19</v>
      </c>
      <c r="E36" s="4">
        <v>0</v>
      </c>
      <c r="F36" s="4">
        <v>0</v>
      </c>
      <c r="G36" s="20">
        <v>0</v>
      </c>
      <c r="H36" s="20">
        <v>30000</v>
      </c>
      <c r="I36" s="25">
        <v>0</v>
      </c>
      <c r="J36" s="25">
        <v>0</v>
      </c>
      <c r="K36" s="25">
        <v>0</v>
      </c>
      <c r="L36" s="9">
        <f t="shared" ref="L36:L67" si="1">E36+F36+G36+H36+I36+J36+K36</f>
        <v>30000</v>
      </c>
    </row>
    <row r="37" spans="1:12">
      <c r="A37" s="8">
        <v>34</v>
      </c>
      <c r="B37" s="1" t="s">
        <v>140</v>
      </c>
      <c r="C37" s="12" t="s">
        <v>141</v>
      </c>
      <c r="D37" s="4" t="s">
        <v>19</v>
      </c>
      <c r="E37" s="4">
        <v>0</v>
      </c>
      <c r="F37" s="4">
        <v>0</v>
      </c>
      <c r="G37" s="20">
        <v>0</v>
      </c>
      <c r="H37" s="24">
        <v>76000</v>
      </c>
      <c r="I37" s="25">
        <v>0</v>
      </c>
      <c r="J37" s="25">
        <v>0</v>
      </c>
      <c r="K37" s="25">
        <v>0</v>
      </c>
      <c r="L37" s="9">
        <f t="shared" si="1"/>
        <v>76000</v>
      </c>
    </row>
    <row r="38" spans="1:12">
      <c r="A38" s="8">
        <v>35</v>
      </c>
      <c r="B38" s="1" t="s">
        <v>142</v>
      </c>
      <c r="C38" s="5" t="s">
        <v>410</v>
      </c>
      <c r="D38" s="4" t="s">
        <v>19</v>
      </c>
      <c r="E38" s="4">
        <v>0</v>
      </c>
      <c r="F38" s="4">
        <v>0</v>
      </c>
      <c r="G38" s="20">
        <v>0</v>
      </c>
      <c r="H38" s="24">
        <v>1010000</v>
      </c>
      <c r="I38" s="25">
        <v>0</v>
      </c>
      <c r="J38" s="25">
        <v>0</v>
      </c>
      <c r="K38" s="25">
        <v>0</v>
      </c>
      <c r="L38" s="9">
        <f t="shared" si="1"/>
        <v>1010000</v>
      </c>
    </row>
    <row r="39" spans="1:12">
      <c r="A39" s="8">
        <v>36</v>
      </c>
      <c r="B39" s="1" t="s">
        <v>143</v>
      </c>
      <c r="C39" s="12" t="s">
        <v>144</v>
      </c>
      <c r="D39" s="4" t="s">
        <v>19</v>
      </c>
      <c r="E39" s="4">
        <v>705500</v>
      </c>
      <c r="F39" s="4">
        <v>0</v>
      </c>
      <c r="G39" s="20">
        <v>0</v>
      </c>
      <c r="H39" s="20">
        <v>0</v>
      </c>
      <c r="I39" s="25">
        <v>0</v>
      </c>
      <c r="J39" s="25">
        <v>0</v>
      </c>
      <c r="K39" s="25">
        <v>0</v>
      </c>
      <c r="L39" s="9">
        <f t="shared" si="1"/>
        <v>705500</v>
      </c>
    </row>
    <row r="40" spans="1:12">
      <c r="A40" s="8">
        <v>37</v>
      </c>
      <c r="B40" s="1" t="s">
        <v>151</v>
      </c>
      <c r="C40" s="4" t="s">
        <v>152</v>
      </c>
      <c r="D40" s="4" t="s">
        <v>153</v>
      </c>
      <c r="E40" s="4">
        <v>8000</v>
      </c>
      <c r="F40" s="4">
        <v>0</v>
      </c>
      <c r="G40" s="20">
        <v>0</v>
      </c>
      <c r="H40" s="24">
        <v>96000</v>
      </c>
      <c r="I40" s="25">
        <v>380000</v>
      </c>
      <c r="J40" s="25">
        <v>0</v>
      </c>
      <c r="K40" s="25">
        <v>0</v>
      </c>
      <c r="L40" s="9">
        <f t="shared" si="1"/>
        <v>484000</v>
      </c>
    </row>
    <row r="41" spans="1:12" ht="31.5">
      <c r="A41" s="8">
        <v>38</v>
      </c>
      <c r="B41" s="1" t="s">
        <v>154</v>
      </c>
      <c r="C41" s="4" t="s">
        <v>155</v>
      </c>
      <c r="D41" s="4" t="s">
        <v>153</v>
      </c>
      <c r="E41" s="4">
        <f>128000+10000+14000</f>
        <v>152000</v>
      </c>
      <c r="F41" s="4">
        <v>0</v>
      </c>
      <c r="G41" s="20">
        <v>0</v>
      </c>
      <c r="H41" s="25">
        <v>180000</v>
      </c>
      <c r="I41" s="24">
        <v>577500</v>
      </c>
      <c r="J41" s="25">
        <v>0</v>
      </c>
      <c r="K41" s="25">
        <v>0</v>
      </c>
      <c r="L41" s="9">
        <f t="shared" si="1"/>
        <v>909500</v>
      </c>
    </row>
    <row r="42" spans="1:12" ht="31.5">
      <c r="A42" s="8">
        <v>39</v>
      </c>
      <c r="B42" s="1" t="s">
        <v>156</v>
      </c>
      <c r="C42" s="5" t="s">
        <v>411</v>
      </c>
      <c r="D42" s="4" t="s">
        <v>153</v>
      </c>
      <c r="E42" s="4">
        <v>0</v>
      </c>
      <c r="F42" s="4">
        <v>0</v>
      </c>
      <c r="G42" s="20">
        <v>0</v>
      </c>
      <c r="H42" s="20">
        <v>74000</v>
      </c>
      <c r="I42" s="25">
        <v>0</v>
      </c>
      <c r="J42" s="25">
        <v>0</v>
      </c>
      <c r="K42" s="25">
        <v>0</v>
      </c>
      <c r="L42" s="9">
        <f t="shared" si="1"/>
        <v>74000</v>
      </c>
    </row>
    <row r="43" spans="1:12">
      <c r="A43" s="8">
        <v>40</v>
      </c>
      <c r="B43" s="1" t="s">
        <v>162</v>
      </c>
      <c r="C43" s="4" t="s">
        <v>163</v>
      </c>
      <c r="D43" s="4" t="s">
        <v>159</v>
      </c>
      <c r="E43" s="4">
        <v>136500</v>
      </c>
      <c r="F43" s="4">
        <v>0</v>
      </c>
      <c r="G43" s="20">
        <v>0</v>
      </c>
      <c r="H43" s="20">
        <v>0</v>
      </c>
      <c r="I43" s="25">
        <v>0</v>
      </c>
      <c r="J43" s="25">
        <v>0</v>
      </c>
      <c r="K43" s="25">
        <v>0</v>
      </c>
      <c r="L43" s="9">
        <f t="shared" si="1"/>
        <v>136500</v>
      </c>
    </row>
    <row r="44" spans="1:12">
      <c r="A44" s="8">
        <v>41</v>
      </c>
      <c r="B44" s="1" t="s">
        <v>166</v>
      </c>
      <c r="C44" s="4" t="s">
        <v>167</v>
      </c>
      <c r="D44" s="4" t="s">
        <v>159</v>
      </c>
      <c r="E44" s="4">
        <v>884000</v>
      </c>
      <c r="F44" s="4">
        <v>0</v>
      </c>
      <c r="G44" s="20">
        <v>0</v>
      </c>
      <c r="H44" s="20">
        <v>0</v>
      </c>
      <c r="I44" s="25">
        <v>0</v>
      </c>
      <c r="J44" s="25">
        <v>0</v>
      </c>
      <c r="K44" s="25">
        <v>0</v>
      </c>
      <c r="L44" s="9">
        <f t="shared" si="1"/>
        <v>884000</v>
      </c>
    </row>
    <row r="45" spans="1:12">
      <c r="A45" s="8">
        <v>42</v>
      </c>
      <c r="B45" s="1" t="s">
        <v>168</v>
      </c>
      <c r="C45" s="4" t="s">
        <v>169</v>
      </c>
      <c r="D45" s="4" t="s">
        <v>159</v>
      </c>
      <c r="E45" s="4">
        <v>632000</v>
      </c>
      <c r="F45" s="4">
        <v>0</v>
      </c>
      <c r="G45" s="20">
        <v>0</v>
      </c>
      <c r="H45" s="20">
        <v>0</v>
      </c>
      <c r="I45" s="25">
        <v>0</v>
      </c>
      <c r="J45" s="25">
        <v>0</v>
      </c>
      <c r="K45" s="25">
        <v>0</v>
      </c>
      <c r="L45" s="9">
        <f t="shared" si="1"/>
        <v>632000</v>
      </c>
    </row>
    <row r="46" spans="1:12">
      <c r="A46" s="8">
        <v>43</v>
      </c>
      <c r="B46" s="1" t="s">
        <v>170</v>
      </c>
      <c r="C46" s="4" t="s">
        <v>171</v>
      </c>
      <c r="D46" s="4" t="s">
        <v>159</v>
      </c>
      <c r="E46" s="4">
        <v>0</v>
      </c>
      <c r="F46" s="4">
        <v>0</v>
      </c>
      <c r="G46" s="20">
        <v>0</v>
      </c>
      <c r="H46" s="25">
        <v>229000</v>
      </c>
      <c r="I46" s="25">
        <v>0</v>
      </c>
      <c r="J46" s="25">
        <v>0</v>
      </c>
      <c r="K46" s="25">
        <v>0</v>
      </c>
      <c r="L46" s="9">
        <f t="shared" si="1"/>
        <v>229000</v>
      </c>
    </row>
    <row r="47" spans="1:12">
      <c r="A47" s="8">
        <v>44</v>
      </c>
      <c r="B47" s="1" t="s">
        <v>172</v>
      </c>
      <c r="C47" s="4" t="s">
        <v>165</v>
      </c>
      <c r="D47" s="4" t="s">
        <v>159</v>
      </c>
      <c r="E47" s="4">
        <v>-155000</v>
      </c>
      <c r="F47" s="4">
        <v>0</v>
      </c>
      <c r="G47" s="20">
        <v>0</v>
      </c>
      <c r="H47" s="20">
        <v>0</v>
      </c>
      <c r="I47" s="25">
        <v>0</v>
      </c>
      <c r="J47" s="25">
        <v>0</v>
      </c>
      <c r="K47" s="25">
        <v>0</v>
      </c>
      <c r="L47" s="9">
        <f t="shared" si="1"/>
        <v>-155000</v>
      </c>
    </row>
    <row r="48" spans="1:12">
      <c r="A48" s="8">
        <v>45</v>
      </c>
      <c r="B48" s="1" t="s">
        <v>175</v>
      </c>
      <c r="C48" s="4" t="s">
        <v>163</v>
      </c>
      <c r="D48" s="4" t="s">
        <v>159</v>
      </c>
      <c r="E48" s="4">
        <v>776500</v>
      </c>
      <c r="F48" s="4">
        <v>0</v>
      </c>
      <c r="G48" s="20">
        <v>0</v>
      </c>
      <c r="H48" s="20">
        <v>0</v>
      </c>
      <c r="I48" s="25">
        <v>0</v>
      </c>
      <c r="J48" s="25">
        <v>0</v>
      </c>
      <c r="K48" s="25">
        <v>0</v>
      </c>
      <c r="L48" s="9">
        <f t="shared" si="1"/>
        <v>776500</v>
      </c>
    </row>
    <row r="49" spans="1:12" ht="31.5">
      <c r="A49" s="8">
        <v>46</v>
      </c>
      <c r="B49" s="1" t="s">
        <v>60</v>
      </c>
      <c r="C49" s="4" t="s">
        <v>33</v>
      </c>
      <c r="D49" s="4" t="s">
        <v>34</v>
      </c>
      <c r="E49" s="4">
        <v>160000</v>
      </c>
      <c r="F49" s="4">
        <v>0</v>
      </c>
      <c r="G49" s="20">
        <v>0</v>
      </c>
      <c r="H49" s="20">
        <v>0</v>
      </c>
      <c r="I49" s="25">
        <v>0</v>
      </c>
      <c r="J49" s="25">
        <v>0</v>
      </c>
      <c r="K49" s="25">
        <v>0</v>
      </c>
      <c r="L49" s="9">
        <f t="shared" si="1"/>
        <v>160000</v>
      </c>
    </row>
    <row r="50" spans="1:12">
      <c r="A50" s="8">
        <v>47</v>
      </c>
      <c r="B50" s="1" t="s">
        <v>178</v>
      </c>
      <c r="C50" s="4" t="s">
        <v>179</v>
      </c>
      <c r="D50" s="4" t="s">
        <v>17</v>
      </c>
      <c r="E50" s="4">
        <f>20000+60000</f>
        <v>80000</v>
      </c>
      <c r="F50" s="77">
        <v>200000</v>
      </c>
      <c r="G50" s="23">
        <v>0</v>
      </c>
      <c r="H50" s="24">
        <v>30000</v>
      </c>
      <c r="I50" s="25">
        <v>0</v>
      </c>
      <c r="J50" s="24">
        <v>900000</v>
      </c>
      <c r="K50" s="25">
        <v>0</v>
      </c>
      <c r="L50" s="9">
        <f t="shared" si="1"/>
        <v>1210000</v>
      </c>
    </row>
    <row r="51" spans="1:12">
      <c r="A51" s="8">
        <v>48</v>
      </c>
      <c r="B51" s="1" t="s">
        <v>180</v>
      </c>
      <c r="C51" s="4" t="s">
        <v>181</v>
      </c>
      <c r="D51" s="4" t="s">
        <v>17</v>
      </c>
      <c r="E51" s="4">
        <f>156000+16000</f>
        <v>172000</v>
      </c>
      <c r="F51" s="77">
        <v>0</v>
      </c>
      <c r="G51" s="20">
        <v>0</v>
      </c>
      <c r="H51" s="24">
        <v>30000</v>
      </c>
      <c r="I51" s="25">
        <v>945000</v>
      </c>
      <c r="J51" s="25">
        <v>0</v>
      </c>
      <c r="K51" s="25">
        <v>0</v>
      </c>
      <c r="L51" s="9">
        <f t="shared" si="1"/>
        <v>1147000</v>
      </c>
    </row>
    <row r="52" spans="1:12">
      <c r="A52" s="8">
        <v>49</v>
      </c>
      <c r="B52" s="1" t="s">
        <v>182</v>
      </c>
      <c r="C52" s="4" t="s">
        <v>183</v>
      </c>
      <c r="D52" s="4" t="s">
        <v>17</v>
      </c>
      <c r="E52" s="4">
        <v>0</v>
      </c>
      <c r="F52" s="77">
        <v>-290000</v>
      </c>
      <c r="G52" s="20">
        <v>0</v>
      </c>
      <c r="H52" s="24">
        <v>963000</v>
      </c>
      <c r="I52" s="25">
        <v>0</v>
      </c>
      <c r="J52" s="25">
        <v>0</v>
      </c>
      <c r="K52" s="25">
        <v>0</v>
      </c>
      <c r="L52" s="9">
        <f t="shared" si="1"/>
        <v>673000</v>
      </c>
    </row>
    <row r="53" spans="1:12">
      <c r="A53" s="8">
        <v>50</v>
      </c>
      <c r="B53" s="1" t="s">
        <v>184</v>
      </c>
      <c r="C53" s="4" t="s">
        <v>185</v>
      </c>
      <c r="D53" s="4" t="s">
        <v>17</v>
      </c>
      <c r="E53" s="4">
        <v>649000</v>
      </c>
      <c r="F53" s="4">
        <v>0</v>
      </c>
      <c r="G53" s="20">
        <v>0</v>
      </c>
      <c r="H53" s="20">
        <v>0</v>
      </c>
      <c r="I53" s="25">
        <v>0</v>
      </c>
      <c r="J53" s="25">
        <v>0</v>
      </c>
      <c r="K53" s="25">
        <v>0</v>
      </c>
      <c r="L53" s="9">
        <f t="shared" si="1"/>
        <v>649000</v>
      </c>
    </row>
    <row r="54" spans="1:12">
      <c r="A54" s="8">
        <v>51</v>
      </c>
      <c r="B54" s="1" t="s">
        <v>188</v>
      </c>
      <c r="C54" s="4" t="s">
        <v>413</v>
      </c>
      <c r="D54" s="4" t="s">
        <v>17</v>
      </c>
      <c r="E54" s="4">
        <v>0</v>
      </c>
      <c r="F54" s="76">
        <v>0</v>
      </c>
      <c r="G54" s="20">
        <v>0</v>
      </c>
      <c r="H54" s="24">
        <v>898000</v>
      </c>
      <c r="I54" s="25">
        <v>0</v>
      </c>
      <c r="J54" s="25">
        <v>0</v>
      </c>
      <c r="K54" s="25">
        <v>0</v>
      </c>
      <c r="L54" s="9">
        <f t="shared" si="1"/>
        <v>898000</v>
      </c>
    </row>
    <row r="55" spans="1:12" ht="47.25">
      <c r="A55" s="8">
        <v>52</v>
      </c>
      <c r="B55" s="1" t="s">
        <v>189</v>
      </c>
      <c r="C55" s="4" t="s">
        <v>190</v>
      </c>
      <c r="D55" s="4" t="s">
        <v>17</v>
      </c>
      <c r="E55" s="4">
        <v>0</v>
      </c>
      <c r="F55" s="76">
        <v>400000</v>
      </c>
      <c r="G55" s="20">
        <v>0</v>
      </c>
      <c r="H55" s="24">
        <v>1040000</v>
      </c>
      <c r="I55" s="25">
        <v>0</v>
      </c>
      <c r="J55" s="25">
        <v>0</v>
      </c>
      <c r="K55" s="25">
        <v>0</v>
      </c>
      <c r="L55" s="9">
        <f t="shared" si="1"/>
        <v>1440000</v>
      </c>
    </row>
    <row r="56" spans="1:12" ht="31.5">
      <c r="A56" s="8">
        <v>53</v>
      </c>
      <c r="B56" s="1" t="s">
        <v>191</v>
      </c>
      <c r="C56" s="4" t="s">
        <v>185</v>
      </c>
      <c r="D56" s="4" t="s">
        <v>17</v>
      </c>
      <c r="E56" s="4">
        <f>60000+20000+20000</f>
        <v>100000</v>
      </c>
      <c r="F56" s="4">
        <v>0</v>
      </c>
      <c r="G56" s="20">
        <v>0</v>
      </c>
      <c r="H56" s="24">
        <v>144000</v>
      </c>
      <c r="I56" s="25">
        <v>781000</v>
      </c>
      <c r="J56" s="25">
        <v>0</v>
      </c>
      <c r="K56" s="25">
        <v>0</v>
      </c>
      <c r="L56" s="9">
        <f t="shared" si="1"/>
        <v>1025000</v>
      </c>
    </row>
    <row r="57" spans="1:12">
      <c r="A57" s="8">
        <v>54</v>
      </c>
      <c r="B57" s="1" t="s">
        <v>192</v>
      </c>
      <c r="C57" s="4" t="s">
        <v>193</v>
      </c>
      <c r="D57" s="4" t="s">
        <v>17</v>
      </c>
      <c r="E57" s="4">
        <f>20000+160000</f>
        <v>180000</v>
      </c>
      <c r="F57" s="76">
        <v>1025000</v>
      </c>
      <c r="G57" s="20">
        <v>0</v>
      </c>
      <c r="H57" s="24">
        <v>270000</v>
      </c>
      <c r="I57" s="25">
        <v>0</v>
      </c>
      <c r="J57" s="25">
        <v>0</v>
      </c>
      <c r="K57" s="25">
        <v>0</v>
      </c>
      <c r="L57" s="9">
        <f t="shared" si="1"/>
        <v>1475000</v>
      </c>
    </row>
    <row r="58" spans="1:12">
      <c r="A58" s="8">
        <v>55</v>
      </c>
      <c r="B58" s="1" t="s">
        <v>195</v>
      </c>
      <c r="C58" s="4" t="s">
        <v>196</v>
      </c>
      <c r="D58" s="4" t="s">
        <v>17</v>
      </c>
      <c r="E58" s="4">
        <v>0</v>
      </c>
      <c r="F58" s="76">
        <v>975000</v>
      </c>
      <c r="G58" s="20">
        <v>0</v>
      </c>
      <c r="H58" s="24">
        <v>270000</v>
      </c>
      <c r="I58" s="25">
        <v>0</v>
      </c>
      <c r="J58" s="25">
        <v>0</v>
      </c>
      <c r="K58" s="25">
        <v>0</v>
      </c>
      <c r="L58" s="9">
        <f t="shared" si="1"/>
        <v>1245000</v>
      </c>
    </row>
    <row r="59" spans="1:12">
      <c r="A59" s="8">
        <v>56</v>
      </c>
      <c r="B59" s="1" t="s">
        <v>197</v>
      </c>
      <c r="C59" s="4" t="s">
        <v>187</v>
      </c>
      <c r="D59" s="4" t="s">
        <v>17</v>
      </c>
      <c r="E59" s="4">
        <v>200000</v>
      </c>
      <c r="F59" s="76">
        <v>250000</v>
      </c>
      <c r="G59" s="22">
        <v>1072000</v>
      </c>
      <c r="H59" s="20">
        <v>150000</v>
      </c>
      <c r="I59" s="25">
        <v>0</v>
      </c>
      <c r="J59" s="24">
        <v>900000</v>
      </c>
      <c r="K59" s="25">
        <v>0</v>
      </c>
      <c r="L59" s="9">
        <f t="shared" si="1"/>
        <v>2572000</v>
      </c>
    </row>
    <row r="60" spans="1:12">
      <c r="A60" s="8">
        <v>57</v>
      </c>
      <c r="B60" s="1" t="s">
        <v>198</v>
      </c>
      <c r="C60" s="4" t="s">
        <v>193</v>
      </c>
      <c r="D60" s="4" t="s">
        <v>17</v>
      </c>
      <c r="E60" s="4">
        <v>0</v>
      </c>
      <c r="F60" s="76">
        <v>1075000</v>
      </c>
      <c r="G60" s="20">
        <v>0</v>
      </c>
      <c r="H60" s="24">
        <v>270000</v>
      </c>
      <c r="I60" s="25">
        <v>0</v>
      </c>
      <c r="J60" s="25">
        <v>0</v>
      </c>
      <c r="K60" s="25">
        <v>0</v>
      </c>
      <c r="L60" s="9">
        <f t="shared" si="1"/>
        <v>1345000</v>
      </c>
    </row>
    <row r="61" spans="1:12" ht="31.5">
      <c r="A61" s="8">
        <v>58</v>
      </c>
      <c r="B61" s="1" t="s">
        <v>199</v>
      </c>
      <c r="C61" s="4" t="s">
        <v>185</v>
      </c>
      <c r="D61" s="4" t="s">
        <v>17</v>
      </c>
      <c r="E61" s="4">
        <v>0</v>
      </c>
      <c r="F61" s="4">
        <v>0</v>
      </c>
      <c r="G61" s="20">
        <v>0</v>
      </c>
      <c r="H61" s="24">
        <v>150000</v>
      </c>
      <c r="I61" s="25">
        <v>0</v>
      </c>
      <c r="J61" s="25">
        <v>0</v>
      </c>
      <c r="K61" s="25">
        <v>0</v>
      </c>
      <c r="L61" s="9">
        <f t="shared" si="1"/>
        <v>150000</v>
      </c>
    </row>
    <row r="62" spans="1:12">
      <c r="A62" s="8">
        <v>59</v>
      </c>
      <c r="B62" s="1" t="s">
        <v>200</v>
      </c>
      <c r="C62" s="4" t="s">
        <v>201</v>
      </c>
      <c r="D62" s="4" t="s">
        <v>17</v>
      </c>
      <c r="E62" s="4">
        <f>58000+42000</f>
        <v>100000</v>
      </c>
      <c r="F62" s="4">
        <v>0</v>
      </c>
      <c r="G62" s="20">
        <v>0</v>
      </c>
      <c r="H62" s="24">
        <v>0</v>
      </c>
      <c r="I62" s="25">
        <v>720000</v>
      </c>
      <c r="J62" s="25">
        <v>0</v>
      </c>
      <c r="K62" s="25">
        <v>0</v>
      </c>
      <c r="L62" s="9">
        <f t="shared" si="1"/>
        <v>820000</v>
      </c>
    </row>
    <row r="63" spans="1:12">
      <c r="A63" s="8">
        <v>60</v>
      </c>
      <c r="B63" s="1" t="s">
        <v>202</v>
      </c>
      <c r="C63" s="4" t="s">
        <v>203</v>
      </c>
      <c r="D63" s="4" t="s">
        <v>17</v>
      </c>
      <c r="E63" s="4">
        <v>180000</v>
      </c>
      <c r="F63" s="76">
        <v>395000</v>
      </c>
      <c r="G63" s="20">
        <v>0</v>
      </c>
      <c r="H63" s="24">
        <v>270000</v>
      </c>
      <c r="I63" s="25">
        <v>945000</v>
      </c>
      <c r="J63" s="25">
        <v>0</v>
      </c>
      <c r="K63" s="25">
        <v>208000</v>
      </c>
      <c r="L63" s="9">
        <f t="shared" si="1"/>
        <v>1998000</v>
      </c>
    </row>
    <row r="64" spans="1:12">
      <c r="A64" s="8">
        <v>61</v>
      </c>
      <c r="B64" s="1" t="s">
        <v>5</v>
      </c>
      <c r="C64" s="4" t="s">
        <v>36</v>
      </c>
      <c r="D64" s="4" t="s">
        <v>17</v>
      </c>
      <c r="E64" s="4">
        <f>100000+20000</f>
        <v>120000</v>
      </c>
      <c r="F64" s="4">
        <v>0</v>
      </c>
      <c r="G64" s="20">
        <v>0</v>
      </c>
      <c r="H64" s="24">
        <v>30000</v>
      </c>
      <c r="I64" s="25">
        <v>1155000</v>
      </c>
      <c r="J64" s="25">
        <v>0</v>
      </c>
      <c r="K64" s="25">
        <v>0</v>
      </c>
      <c r="L64" s="9">
        <f t="shared" si="1"/>
        <v>1305000</v>
      </c>
    </row>
    <row r="65" spans="1:12" ht="31.5">
      <c r="A65" s="8">
        <v>62</v>
      </c>
      <c r="B65" s="1" t="s">
        <v>206</v>
      </c>
      <c r="C65" s="4" t="s">
        <v>193</v>
      </c>
      <c r="D65" s="4" t="s">
        <v>17</v>
      </c>
      <c r="E65" s="4">
        <f>160000+20000</f>
        <v>180000</v>
      </c>
      <c r="F65" s="76">
        <v>350000</v>
      </c>
      <c r="G65" s="22">
        <v>424000</v>
      </c>
      <c r="H65" s="24">
        <v>270000</v>
      </c>
      <c r="I65" s="25">
        <v>0</v>
      </c>
      <c r="J65" s="24">
        <v>900000</v>
      </c>
      <c r="K65" s="25">
        <v>0</v>
      </c>
      <c r="L65" s="9">
        <f t="shared" si="1"/>
        <v>2124000</v>
      </c>
    </row>
    <row r="66" spans="1:12" ht="31.5">
      <c r="A66" s="8">
        <v>63</v>
      </c>
      <c r="B66" s="1" t="s">
        <v>207</v>
      </c>
      <c r="C66" s="5" t="s">
        <v>36</v>
      </c>
      <c r="D66" s="4" t="s">
        <v>17</v>
      </c>
      <c r="E66" s="4">
        <v>0</v>
      </c>
      <c r="F66" s="4">
        <v>0</v>
      </c>
      <c r="G66" s="20">
        <v>0</v>
      </c>
      <c r="H66" s="24">
        <v>470000</v>
      </c>
      <c r="I66" s="25">
        <v>0</v>
      </c>
      <c r="J66" s="25">
        <v>0</v>
      </c>
      <c r="K66" s="25">
        <v>0</v>
      </c>
      <c r="L66" s="9">
        <f t="shared" si="1"/>
        <v>470000</v>
      </c>
    </row>
    <row r="67" spans="1:12">
      <c r="A67" s="8">
        <v>64</v>
      </c>
      <c r="B67" s="44" t="s">
        <v>208</v>
      </c>
      <c r="C67" s="45" t="s">
        <v>209</v>
      </c>
      <c r="D67" s="4" t="s">
        <v>17</v>
      </c>
      <c r="E67" s="4">
        <v>0</v>
      </c>
      <c r="F67" s="76">
        <v>975000</v>
      </c>
      <c r="G67" s="20">
        <v>0</v>
      </c>
      <c r="H67" s="25">
        <v>0</v>
      </c>
      <c r="I67" s="25">
        <v>0</v>
      </c>
      <c r="J67" s="25">
        <v>0</v>
      </c>
      <c r="K67" s="25">
        <v>0</v>
      </c>
      <c r="L67" s="9">
        <f t="shared" si="1"/>
        <v>975000</v>
      </c>
    </row>
    <row r="68" spans="1:12" ht="31.5">
      <c r="A68" s="8">
        <v>65</v>
      </c>
      <c r="B68" s="1" t="s">
        <v>210</v>
      </c>
      <c r="C68" s="4" t="s">
        <v>211</v>
      </c>
      <c r="D68" s="4" t="s">
        <v>17</v>
      </c>
      <c r="E68" s="4">
        <f>220000+20000</f>
        <v>240000</v>
      </c>
      <c r="F68" s="76">
        <v>250000</v>
      </c>
      <c r="G68" s="20">
        <v>0</v>
      </c>
      <c r="H68" s="25">
        <v>270000</v>
      </c>
      <c r="I68" s="25">
        <v>1155000</v>
      </c>
      <c r="J68" s="25">
        <v>0</v>
      </c>
      <c r="K68" s="25">
        <v>0</v>
      </c>
      <c r="L68" s="9">
        <f t="shared" ref="L68:L99" si="2">E68+F68+G68+H68+I68+J68+K68</f>
        <v>1915000</v>
      </c>
    </row>
    <row r="69" spans="1:12" ht="31.5">
      <c r="A69" s="8">
        <v>66</v>
      </c>
      <c r="B69" s="1" t="s">
        <v>214</v>
      </c>
      <c r="C69" s="4" t="s">
        <v>187</v>
      </c>
      <c r="D69" s="4" t="s">
        <v>17</v>
      </c>
      <c r="E69" s="4">
        <v>0</v>
      </c>
      <c r="F69" s="76">
        <v>0</v>
      </c>
      <c r="G69" s="23">
        <v>720000</v>
      </c>
      <c r="H69" s="25">
        <v>900000</v>
      </c>
      <c r="I69" s="25">
        <v>0</v>
      </c>
      <c r="J69" s="25">
        <v>0</v>
      </c>
      <c r="K69" s="25">
        <v>0</v>
      </c>
      <c r="L69" s="9">
        <f t="shared" si="2"/>
        <v>1620000</v>
      </c>
    </row>
    <row r="70" spans="1:12">
      <c r="A70" s="8">
        <v>67</v>
      </c>
      <c r="B70" s="1" t="s">
        <v>215</v>
      </c>
      <c r="C70" s="4" t="s">
        <v>209</v>
      </c>
      <c r="D70" s="4" t="s">
        <v>17</v>
      </c>
      <c r="E70" s="4">
        <v>0</v>
      </c>
      <c r="F70" s="4">
        <v>0</v>
      </c>
      <c r="G70" s="22">
        <v>1045000</v>
      </c>
      <c r="H70" s="25">
        <v>180000</v>
      </c>
      <c r="I70" s="25">
        <v>0</v>
      </c>
      <c r="J70" s="25">
        <v>0</v>
      </c>
      <c r="K70" s="25">
        <v>0</v>
      </c>
      <c r="L70" s="9">
        <f t="shared" si="2"/>
        <v>1225000</v>
      </c>
    </row>
    <row r="71" spans="1:12" ht="47.25">
      <c r="A71" s="8">
        <v>68</v>
      </c>
      <c r="B71" s="1" t="s">
        <v>217</v>
      </c>
      <c r="C71" s="4" t="s">
        <v>211</v>
      </c>
      <c r="D71" s="4" t="s">
        <v>17</v>
      </c>
      <c r="E71" s="4">
        <v>270000</v>
      </c>
      <c r="F71" s="4">
        <v>0</v>
      </c>
      <c r="G71" s="20">
        <v>0</v>
      </c>
      <c r="H71" s="20">
        <v>0</v>
      </c>
      <c r="I71" s="25">
        <v>0</v>
      </c>
      <c r="J71" s="25">
        <v>0</v>
      </c>
      <c r="K71" s="25">
        <v>0</v>
      </c>
      <c r="L71" s="9">
        <f t="shared" si="2"/>
        <v>270000</v>
      </c>
    </row>
    <row r="72" spans="1:12">
      <c r="A72" s="8">
        <v>69</v>
      </c>
      <c r="B72" s="1" t="s">
        <v>218</v>
      </c>
      <c r="C72" s="4" t="s">
        <v>193</v>
      </c>
      <c r="D72" s="4" t="s">
        <v>17</v>
      </c>
      <c r="E72" s="4">
        <v>0</v>
      </c>
      <c r="F72" s="4">
        <v>0</v>
      </c>
      <c r="G72" s="20">
        <v>0</v>
      </c>
      <c r="H72" s="25">
        <v>-230000</v>
      </c>
      <c r="I72" s="25">
        <v>0</v>
      </c>
      <c r="J72" s="25">
        <v>0</v>
      </c>
      <c r="K72" s="25">
        <v>0</v>
      </c>
      <c r="L72" s="9">
        <f t="shared" si="2"/>
        <v>-230000</v>
      </c>
    </row>
    <row r="73" spans="1:12">
      <c r="A73" s="8">
        <v>70</v>
      </c>
      <c r="B73" s="1" t="s">
        <v>428</v>
      </c>
      <c r="C73" s="4" t="s">
        <v>187</v>
      </c>
      <c r="D73" s="4" t="s">
        <v>17</v>
      </c>
      <c r="E73" s="4">
        <f>60000+120000</f>
        <v>180000</v>
      </c>
      <c r="F73" s="4">
        <v>0</v>
      </c>
      <c r="G73" s="20">
        <v>0</v>
      </c>
      <c r="H73" s="25">
        <v>240000</v>
      </c>
      <c r="I73" s="25">
        <v>945000</v>
      </c>
      <c r="J73" s="25">
        <v>0</v>
      </c>
      <c r="K73" s="25">
        <v>0</v>
      </c>
      <c r="L73" s="9">
        <f t="shared" si="2"/>
        <v>1365000</v>
      </c>
    </row>
    <row r="74" spans="1:12">
      <c r="A74" s="8">
        <v>71</v>
      </c>
      <c r="B74" s="1" t="s">
        <v>221</v>
      </c>
      <c r="C74" s="4" t="s">
        <v>222</v>
      </c>
      <c r="D74" s="4" t="s">
        <v>17</v>
      </c>
      <c r="E74" s="4">
        <f>40000+96000</f>
        <v>136000</v>
      </c>
      <c r="F74" s="4">
        <v>0</v>
      </c>
      <c r="G74" s="20">
        <v>0</v>
      </c>
      <c r="H74" s="25">
        <v>182000</v>
      </c>
      <c r="I74" s="25">
        <v>945000</v>
      </c>
      <c r="J74" s="25">
        <v>0</v>
      </c>
      <c r="K74" s="25">
        <v>0</v>
      </c>
      <c r="L74" s="9">
        <f t="shared" si="2"/>
        <v>1263000</v>
      </c>
    </row>
    <row r="75" spans="1:12" ht="31.5">
      <c r="A75" s="8">
        <v>72</v>
      </c>
      <c r="B75" s="1" t="s">
        <v>227</v>
      </c>
      <c r="C75" s="5" t="s">
        <v>228</v>
      </c>
      <c r="D75" s="4" t="s">
        <v>226</v>
      </c>
      <c r="E75" s="4">
        <v>0</v>
      </c>
      <c r="F75" s="4">
        <v>0</v>
      </c>
      <c r="G75" s="22">
        <v>252000</v>
      </c>
      <c r="H75" s="25">
        <v>0</v>
      </c>
      <c r="I75" s="25">
        <v>0</v>
      </c>
      <c r="J75" s="25">
        <v>0</v>
      </c>
      <c r="K75" s="25">
        <v>0</v>
      </c>
      <c r="L75" s="9">
        <f t="shared" si="2"/>
        <v>252000</v>
      </c>
    </row>
    <row r="76" spans="1:12" ht="47.25">
      <c r="A76" s="8">
        <v>73</v>
      </c>
      <c r="B76" s="1" t="s">
        <v>229</v>
      </c>
      <c r="C76" s="4" t="s">
        <v>230</v>
      </c>
      <c r="D76" s="4" t="s">
        <v>226</v>
      </c>
      <c r="E76" s="4">
        <v>0</v>
      </c>
      <c r="F76" s="76">
        <v>330000</v>
      </c>
      <c r="G76" s="20">
        <v>0</v>
      </c>
      <c r="H76" s="25">
        <v>0</v>
      </c>
      <c r="I76" s="25">
        <v>0</v>
      </c>
      <c r="J76" s="25">
        <v>0</v>
      </c>
      <c r="K76" s="25">
        <v>0</v>
      </c>
      <c r="L76" s="9">
        <f t="shared" si="2"/>
        <v>330000</v>
      </c>
    </row>
    <row r="77" spans="1:12" ht="31.5">
      <c r="A77" s="8">
        <v>74</v>
      </c>
      <c r="B77" s="1" t="s">
        <v>231</v>
      </c>
      <c r="C77" s="5" t="s">
        <v>414</v>
      </c>
      <c r="D77" s="4" t="s">
        <v>226</v>
      </c>
      <c r="E77" s="4">
        <v>0</v>
      </c>
      <c r="F77" s="4">
        <v>0</v>
      </c>
      <c r="G77" s="20">
        <v>0</v>
      </c>
      <c r="H77" s="25">
        <v>446500</v>
      </c>
      <c r="I77" s="25">
        <v>0</v>
      </c>
      <c r="J77" s="25">
        <v>0</v>
      </c>
      <c r="K77" s="25">
        <v>0</v>
      </c>
      <c r="L77" s="9">
        <f t="shared" si="2"/>
        <v>446500</v>
      </c>
    </row>
    <row r="78" spans="1:12">
      <c r="A78" s="8">
        <v>75</v>
      </c>
      <c r="B78" s="1" t="s">
        <v>470</v>
      </c>
      <c r="C78" s="4" t="s">
        <v>239</v>
      </c>
      <c r="D78" s="4" t="s">
        <v>235</v>
      </c>
      <c r="E78" s="4">
        <v>777500</v>
      </c>
      <c r="F78" s="4">
        <v>0</v>
      </c>
      <c r="G78" s="20">
        <v>0</v>
      </c>
      <c r="H78" s="20">
        <v>0</v>
      </c>
      <c r="I78" s="25">
        <v>0</v>
      </c>
      <c r="J78" s="25">
        <v>0</v>
      </c>
      <c r="K78" s="25">
        <v>0</v>
      </c>
      <c r="L78" s="9">
        <f t="shared" si="2"/>
        <v>777500</v>
      </c>
    </row>
    <row r="79" spans="1:12">
      <c r="A79" s="8">
        <v>76</v>
      </c>
      <c r="B79" s="1" t="s">
        <v>10</v>
      </c>
      <c r="C79" s="4" t="s">
        <v>43</v>
      </c>
      <c r="D79" s="4" t="s">
        <v>44</v>
      </c>
      <c r="E79" s="4">
        <f>72000+18000</f>
        <v>90000</v>
      </c>
      <c r="F79" s="4">
        <v>0</v>
      </c>
      <c r="G79" s="20">
        <v>116000</v>
      </c>
      <c r="H79" s="20">
        <v>20000</v>
      </c>
      <c r="I79" s="25">
        <v>0</v>
      </c>
      <c r="J79" s="25">
        <v>0</v>
      </c>
      <c r="K79" s="25">
        <v>0</v>
      </c>
      <c r="L79" s="9">
        <f t="shared" si="2"/>
        <v>226000</v>
      </c>
    </row>
    <row r="80" spans="1:12">
      <c r="A80" s="8">
        <v>77</v>
      </c>
      <c r="B80" s="1" t="s">
        <v>245</v>
      </c>
      <c r="C80" s="4" t="s">
        <v>246</v>
      </c>
      <c r="D80" s="4" t="s">
        <v>244</v>
      </c>
      <c r="E80" s="4">
        <v>0</v>
      </c>
      <c r="F80" s="76">
        <v>150000</v>
      </c>
      <c r="G80" s="22">
        <v>420000</v>
      </c>
      <c r="H80" s="20">
        <v>0</v>
      </c>
      <c r="I80" s="25">
        <v>0</v>
      </c>
      <c r="J80" s="24">
        <v>900000</v>
      </c>
      <c r="K80" s="25">
        <v>0</v>
      </c>
      <c r="L80" s="9">
        <f t="shared" si="2"/>
        <v>1470000</v>
      </c>
    </row>
    <row r="81" spans="1:12">
      <c r="A81" s="8">
        <v>78</v>
      </c>
      <c r="B81" s="1" t="s">
        <v>247</v>
      </c>
      <c r="C81" s="5" t="s">
        <v>262</v>
      </c>
      <c r="D81" s="4" t="s">
        <v>244</v>
      </c>
      <c r="E81" s="4">
        <v>0</v>
      </c>
      <c r="F81" s="4">
        <v>0</v>
      </c>
      <c r="G81" s="20">
        <v>0</v>
      </c>
      <c r="H81" s="24">
        <v>959000</v>
      </c>
      <c r="I81" s="25">
        <v>0</v>
      </c>
      <c r="J81" s="25">
        <v>0</v>
      </c>
      <c r="K81" s="25">
        <v>120000</v>
      </c>
      <c r="L81" s="9">
        <f t="shared" si="2"/>
        <v>1079000</v>
      </c>
    </row>
    <row r="82" spans="1:12" ht="31.5">
      <c r="A82" s="8">
        <v>79</v>
      </c>
      <c r="B82" s="1" t="s">
        <v>248</v>
      </c>
      <c r="C82" s="46" t="s">
        <v>249</v>
      </c>
      <c r="D82" s="4" t="s">
        <v>244</v>
      </c>
      <c r="E82" s="4">
        <v>0</v>
      </c>
      <c r="F82" s="76">
        <v>250000</v>
      </c>
      <c r="G82" s="22">
        <v>540000</v>
      </c>
      <c r="H82" s="24">
        <v>240000</v>
      </c>
      <c r="I82" s="25">
        <v>0</v>
      </c>
      <c r="J82" s="25">
        <v>0</v>
      </c>
      <c r="K82" s="25">
        <v>0</v>
      </c>
      <c r="L82" s="9">
        <f t="shared" si="2"/>
        <v>1030000</v>
      </c>
    </row>
    <row r="83" spans="1:12" ht="31.5">
      <c r="A83" s="8">
        <v>80</v>
      </c>
      <c r="B83" s="1" t="s">
        <v>2</v>
      </c>
      <c r="C83" s="43" t="s">
        <v>243</v>
      </c>
      <c r="D83" s="4" t="s">
        <v>25</v>
      </c>
      <c r="E83" s="4">
        <v>0</v>
      </c>
      <c r="F83" s="4">
        <v>0</v>
      </c>
      <c r="G83" s="20">
        <v>0</v>
      </c>
      <c r="H83" s="20">
        <v>90000</v>
      </c>
      <c r="I83" s="25">
        <v>0</v>
      </c>
      <c r="J83" s="25">
        <v>0</v>
      </c>
      <c r="K83" s="25">
        <v>0</v>
      </c>
      <c r="L83" s="9">
        <f t="shared" si="2"/>
        <v>90000</v>
      </c>
    </row>
    <row r="84" spans="1:12">
      <c r="A84" s="8">
        <v>81</v>
      </c>
      <c r="B84" s="1" t="s">
        <v>254</v>
      </c>
      <c r="C84" s="41" t="s">
        <v>255</v>
      </c>
      <c r="D84" s="4" t="s">
        <v>25</v>
      </c>
      <c r="E84" s="4">
        <v>0</v>
      </c>
      <c r="F84" s="76">
        <v>250000</v>
      </c>
      <c r="G84" s="22">
        <v>360000</v>
      </c>
      <c r="H84" s="20">
        <v>0</v>
      </c>
      <c r="I84" s="25">
        <v>0</v>
      </c>
      <c r="J84" s="24">
        <v>900000</v>
      </c>
      <c r="K84" s="25">
        <v>0</v>
      </c>
      <c r="L84" s="9">
        <f t="shared" si="2"/>
        <v>1510000</v>
      </c>
    </row>
    <row r="85" spans="1:12" ht="31.5">
      <c r="A85" s="8">
        <v>82</v>
      </c>
      <c r="B85" s="1" t="s">
        <v>256</v>
      </c>
      <c r="C85" s="4" t="s">
        <v>257</v>
      </c>
      <c r="D85" s="4" t="s">
        <v>258</v>
      </c>
      <c r="E85" s="4">
        <v>200000</v>
      </c>
      <c r="F85" s="4">
        <v>0</v>
      </c>
      <c r="G85" s="20">
        <v>0</v>
      </c>
      <c r="H85" s="20">
        <v>360000</v>
      </c>
      <c r="I85" s="25">
        <v>315000</v>
      </c>
      <c r="J85" s="25">
        <v>0</v>
      </c>
      <c r="K85" s="25">
        <v>0</v>
      </c>
      <c r="L85" s="9">
        <f t="shared" si="2"/>
        <v>875000</v>
      </c>
    </row>
    <row r="86" spans="1:12" ht="31.5">
      <c r="A86" s="8">
        <v>83</v>
      </c>
      <c r="B86" s="1" t="s">
        <v>259</v>
      </c>
      <c r="C86" s="4" t="s">
        <v>260</v>
      </c>
      <c r="D86" s="4" t="s">
        <v>258</v>
      </c>
      <c r="E86" s="4">
        <f>100000+120000+20000</f>
        <v>240000</v>
      </c>
      <c r="F86" s="4">
        <v>0</v>
      </c>
      <c r="G86" s="20">
        <v>0</v>
      </c>
      <c r="H86" s="20">
        <v>0</v>
      </c>
      <c r="I86" s="25">
        <v>1155000</v>
      </c>
      <c r="J86" s="25">
        <v>0</v>
      </c>
      <c r="K86" s="25">
        <v>0</v>
      </c>
      <c r="L86" s="9">
        <f t="shared" si="2"/>
        <v>1395000</v>
      </c>
    </row>
    <row r="87" spans="1:12" ht="31.5">
      <c r="A87" s="8">
        <v>84</v>
      </c>
      <c r="B87" s="1" t="s">
        <v>259</v>
      </c>
      <c r="C87" s="4" t="s">
        <v>246</v>
      </c>
      <c r="D87" s="4" t="s">
        <v>258</v>
      </c>
      <c r="E87" s="4">
        <v>0</v>
      </c>
      <c r="F87" s="4">
        <v>0</v>
      </c>
      <c r="G87" s="20">
        <v>0</v>
      </c>
      <c r="H87" s="20">
        <v>180000</v>
      </c>
      <c r="I87" s="25">
        <v>0</v>
      </c>
      <c r="J87" s="25">
        <v>0</v>
      </c>
      <c r="K87" s="25">
        <v>0</v>
      </c>
      <c r="L87" s="9">
        <f t="shared" si="2"/>
        <v>180000</v>
      </c>
    </row>
    <row r="88" spans="1:12">
      <c r="A88" s="8">
        <v>85</v>
      </c>
      <c r="B88" s="42" t="s">
        <v>261</v>
      </c>
      <c r="C88" s="43" t="s">
        <v>262</v>
      </c>
      <c r="D88" s="4" t="s">
        <v>258</v>
      </c>
      <c r="E88" s="4">
        <v>0</v>
      </c>
      <c r="F88" s="4">
        <v>0</v>
      </c>
      <c r="G88" s="20">
        <v>1080000</v>
      </c>
      <c r="H88" s="20">
        <v>0</v>
      </c>
      <c r="I88" s="25">
        <v>0</v>
      </c>
      <c r="J88" s="25">
        <v>0</v>
      </c>
      <c r="K88" s="25">
        <v>0</v>
      </c>
      <c r="L88" s="9">
        <f t="shared" si="2"/>
        <v>1080000</v>
      </c>
    </row>
    <row r="89" spans="1:12">
      <c r="A89" s="8">
        <v>86</v>
      </c>
      <c r="B89" s="44" t="s">
        <v>263</v>
      </c>
      <c r="C89" s="45" t="s">
        <v>264</v>
      </c>
      <c r="D89" s="4" t="s">
        <v>258</v>
      </c>
      <c r="E89" s="4">
        <v>0</v>
      </c>
      <c r="F89" s="76">
        <v>250000</v>
      </c>
      <c r="G89" s="20">
        <v>0</v>
      </c>
      <c r="H89" s="20">
        <v>0</v>
      </c>
      <c r="I89" s="25">
        <v>0</v>
      </c>
      <c r="J89" s="25">
        <v>0</v>
      </c>
      <c r="K89" s="25">
        <v>0</v>
      </c>
      <c r="L89" s="9">
        <f t="shared" si="2"/>
        <v>250000</v>
      </c>
    </row>
    <row r="90" spans="1:12" ht="31.5">
      <c r="A90" s="8">
        <v>87</v>
      </c>
      <c r="B90" s="1" t="s">
        <v>267</v>
      </c>
      <c r="C90" s="4" t="s">
        <v>268</v>
      </c>
      <c r="D90" s="4" t="s">
        <v>25</v>
      </c>
      <c r="E90" s="4">
        <v>100000</v>
      </c>
      <c r="F90" s="76">
        <f>(250000)-140000</f>
        <v>110000</v>
      </c>
      <c r="G90" s="20">
        <v>0</v>
      </c>
      <c r="H90" s="25">
        <v>150000</v>
      </c>
      <c r="I90" s="25">
        <v>0</v>
      </c>
      <c r="J90" s="25">
        <v>0</v>
      </c>
      <c r="K90" s="25">
        <v>0</v>
      </c>
      <c r="L90" s="9">
        <f t="shared" si="2"/>
        <v>360000</v>
      </c>
    </row>
    <row r="91" spans="1:12">
      <c r="A91" s="8">
        <v>88</v>
      </c>
      <c r="B91" s="1" t="s">
        <v>1</v>
      </c>
      <c r="C91" s="5" t="s">
        <v>415</v>
      </c>
      <c r="D91" s="4" t="s">
        <v>38</v>
      </c>
      <c r="E91" s="4">
        <v>0</v>
      </c>
      <c r="F91" s="4">
        <v>0</v>
      </c>
      <c r="G91" s="20">
        <v>0</v>
      </c>
      <c r="H91" s="24">
        <v>570000</v>
      </c>
      <c r="I91" s="25">
        <v>0</v>
      </c>
      <c r="J91" s="25">
        <v>0</v>
      </c>
      <c r="K91" s="25">
        <v>0</v>
      </c>
      <c r="L91" s="9">
        <f t="shared" si="2"/>
        <v>570000</v>
      </c>
    </row>
    <row r="92" spans="1:12">
      <c r="A92" s="8">
        <v>89</v>
      </c>
      <c r="B92" s="1" t="s">
        <v>6</v>
      </c>
      <c r="C92" s="4" t="s">
        <v>37</v>
      </c>
      <c r="D92" s="4" t="s">
        <v>38</v>
      </c>
      <c r="E92" s="4">
        <f>80000+20000+20000</f>
        <v>120000</v>
      </c>
      <c r="F92" s="4">
        <v>0</v>
      </c>
      <c r="G92" s="20">
        <v>0</v>
      </c>
      <c r="H92" s="24">
        <v>180000</v>
      </c>
      <c r="I92" s="25">
        <f>315000+210000+105000</f>
        <v>630000</v>
      </c>
      <c r="J92" s="25">
        <v>0</v>
      </c>
      <c r="K92" s="25">
        <v>0</v>
      </c>
      <c r="L92" s="9">
        <f t="shared" si="2"/>
        <v>930000</v>
      </c>
    </row>
    <row r="93" spans="1:12" ht="31.5">
      <c r="A93" s="8">
        <v>90</v>
      </c>
      <c r="B93" s="40" t="s">
        <v>278</v>
      </c>
      <c r="C93" s="41" t="s">
        <v>279</v>
      </c>
      <c r="D93" s="4" t="s">
        <v>275</v>
      </c>
      <c r="E93" s="4">
        <v>0</v>
      </c>
      <c r="F93" s="76">
        <v>705000</v>
      </c>
      <c r="G93" s="20">
        <v>0</v>
      </c>
      <c r="H93" s="25">
        <v>0</v>
      </c>
      <c r="I93" s="25">
        <v>0</v>
      </c>
      <c r="J93" s="25">
        <v>0</v>
      </c>
      <c r="K93" s="25">
        <v>0</v>
      </c>
      <c r="L93" s="9">
        <f t="shared" si="2"/>
        <v>705000</v>
      </c>
    </row>
    <row r="94" spans="1:12">
      <c r="A94" s="8">
        <v>91</v>
      </c>
      <c r="B94" s="1" t="s">
        <v>280</v>
      </c>
      <c r="C94" s="41" t="s">
        <v>416</v>
      </c>
      <c r="D94" s="4" t="s">
        <v>275</v>
      </c>
      <c r="E94" s="4">
        <v>0</v>
      </c>
      <c r="F94" s="4">
        <v>0</v>
      </c>
      <c r="G94" s="20">
        <v>-135000</v>
      </c>
      <c r="H94" s="20">
        <v>0</v>
      </c>
      <c r="I94" s="25">
        <v>0</v>
      </c>
      <c r="J94" s="25">
        <v>0</v>
      </c>
      <c r="K94" s="25">
        <v>0</v>
      </c>
      <c r="L94" s="9">
        <f t="shared" si="2"/>
        <v>-135000</v>
      </c>
    </row>
    <row r="95" spans="1:12">
      <c r="A95" s="8">
        <v>92</v>
      </c>
      <c r="B95" s="1" t="s">
        <v>281</v>
      </c>
      <c r="C95" s="4" t="s">
        <v>282</v>
      </c>
      <c r="D95" s="4" t="s">
        <v>275</v>
      </c>
      <c r="E95" s="4">
        <v>72000</v>
      </c>
      <c r="F95" s="4">
        <v>0</v>
      </c>
      <c r="G95" s="20">
        <v>0</v>
      </c>
      <c r="H95" s="20">
        <v>0</v>
      </c>
      <c r="I95" s="25">
        <v>0</v>
      </c>
      <c r="J95" s="25">
        <v>0</v>
      </c>
      <c r="K95" s="25">
        <v>0</v>
      </c>
      <c r="L95" s="9">
        <f t="shared" si="2"/>
        <v>72000</v>
      </c>
    </row>
    <row r="96" spans="1:12" ht="31.5">
      <c r="A96" s="8">
        <v>93</v>
      </c>
      <c r="B96" s="1" t="s">
        <v>283</v>
      </c>
      <c r="C96" s="4" t="s">
        <v>284</v>
      </c>
      <c r="D96" s="4" t="s">
        <v>275</v>
      </c>
      <c r="E96" s="4">
        <v>508000</v>
      </c>
      <c r="F96" s="4">
        <v>0</v>
      </c>
      <c r="G96" s="20">
        <v>0</v>
      </c>
      <c r="H96" s="25">
        <v>0</v>
      </c>
      <c r="I96" s="25">
        <v>0</v>
      </c>
      <c r="J96" s="25">
        <v>0</v>
      </c>
      <c r="K96" s="25">
        <v>0</v>
      </c>
      <c r="L96" s="9">
        <f t="shared" si="2"/>
        <v>508000</v>
      </c>
    </row>
    <row r="97" spans="1:12" ht="31.5">
      <c r="A97" s="8">
        <v>94</v>
      </c>
      <c r="B97" s="55" t="s">
        <v>288</v>
      </c>
      <c r="C97" s="56" t="s">
        <v>289</v>
      </c>
      <c r="D97" s="56" t="s">
        <v>21</v>
      </c>
      <c r="E97" s="56">
        <v>651500</v>
      </c>
      <c r="F97" s="56">
        <v>0</v>
      </c>
      <c r="G97" s="57">
        <v>0</v>
      </c>
      <c r="H97" s="57">
        <v>0</v>
      </c>
      <c r="I97" s="58">
        <v>0</v>
      </c>
      <c r="J97" s="58">
        <v>0</v>
      </c>
      <c r="K97" s="58">
        <v>125000</v>
      </c>
      <c r="L97" s="9">
        <f t="shared" si="2"/>
        <v>776500</v>
      </c>
    </row>
    <row r="98" spans="1:12" ht="31.5">
      <c r="A98" s="8">
        <v>95</v>
      </c>
      <c r="B98" s="1" t="s">
        <v>290</v>
      </c>
      <c r="C98" s="91" t="s">
        <v>417</v>
      </c>
      <c r="D98" s="4" t="s">
        <v>21</v>
      </c>
      <c r="E98" s="4">
        <v>0</v>
      </c>
      <c r="F98" s="4">
        <v>0</v>
      </c>
      <c r="G98" s="20">
        <v>0</v>
      </c>
      <c r="H98" s="24">
        <v>950000</v>
      </c>
      <c r="I98" s="25">
        <v>0</v>
      </c>
      <c r="J98" s="25">
        <v>0</v>
      </c>
      <c r="K98" s="25">
        <v>0</v>
      </c>
      <c r="L98" s="9">
        <f t="shared" si="2"/>
        <v>950000</v>
      </c>
    </row>
    <row r="99" spans="1:12" ht="47.25">
      <c r="A99" s="8">
        <v>96</v>
      </c>
      <c r="B99" s="42" t="s">
        <v>291</v>
      </c>
      <c r="C99" s="43" t="s">
        <v>292</v>
      </c>
      <c r="D99" s="4" t="s">
        <v>21</v>
      </c>
      <c r="E99" s="4">
        <v>0</v>
      </c>
      <c r="F99" s="4">
        <v>0</v>
      </c>
      <c r="G99" s="22">
        <v>360000</v>
      </c>
      <c r="H99" s="25">
        <v>0</v>
      </c>
      <c r="I99" s="25">
        <v>0</v>
      </c>
      <c r="J99" s="25">
        <v>0</v>
      </c>
      <c r="K99" s="25">
        <v>0</v>
      </c>
      <c r="L99" s="9">
        <f t="shared" si="2"/>
        <v>360000</v>
      </c>
    </row>
    <row r="100" spans="1:12" ht="30">
      <c r="A100" s="8">
        <v>97</v>
      </c>
      <c r="B100" s="2" t="s">
        <v>15</v>
      </c>
      <c r="C100" s="13" t="s">
        <v>41</v>
      </c>
      <c r="D100" s="4" t="s">
        <v>21</v>
      </c>
      <c r="E100" s="4">
        <v>0</v>
      </c>
      <c r="F100" s="4">
        <v>0</v>
      </c>
      <c r="G100" s="20">
        <v>0</v>
      </c>
      <c r="H100" s="25">
        <v>0</v>
      </c>
      <c r="I100" s="25">
        <v>0</v>
      </c>
      <c r="J100" s="25">
        <v>0</v>
      </c>
      <c r="K100" s="25">
        <v>240000</v>
      </c>
      <c r="L100" s="9">
        <f t="shared" ref="L100:L131" si="3">E100+F100+G100+H100+I100+J100+K100</f>
        <v>240000</v>
      </c>
    </row>
    <row r="101" spans="1:12" ht="31.5">
      <c r="A101" s="8">
        <v>98</v>
      </c>
      <c r="B101" s="1" t="s">
        <v>294</v>
      </c>
      <c r="C101" s="91" t="s">
        <v>419</v>
      </c>
      <c r="D101" s="4" t="s">
        <v>21</v>
      </c>
      <c r="E101" s="4">
        <v>0</v>
      </c>
      <c r="F101" s="4">
        <v>0</v>
      </c>
      <c r="G101" s="20">
        <v>0</v>
      </c>
      <c r="H101" s="25">
        <v>736500</v>
      </c>
      <c r="I101" s="25">
        <v>0</v>
      </c>
      <c r="J101" s="25">
        <v>0</v>
      </c>
      <c r="K101" s="25">
        <v>0</v>
      </c>
      <c r="L101" s="9">
        <f t="shared" si="3"/>
        <v>736500</v>
      </c>
    </row>
    <row r="102" spans="1:12" ht="31.5">
      <c r="A102" s="8">
        <v>99</v>
      </c>
      <c r="B102" s="40" t="s">
        <v>295</v>
      </c>
      <c r="C102" s="41" t="s">
        <v>296</v>
      </c>
      <c r="D102" s="4" t="s">
        <v>21</v>
      </c>
      <c r="E102" s="4">
        <v>0</v>
      </c>
      <c r="F102" s="76">
        <v>300000</v>
      </c>
      <c r="G102" s="22">
        <v>360000</v>
      </c>
      <c r="H102" s="25">
        <v>0</v>
      </c>
      <c r="I102" s="25">
        <v>0</v>
      </c>
      <c r="J102" s="25">
        <v>800000</v>
      </c>
      <c r="K102" s="25">
        <v>0</v>
      </c>
      <c r="L102" s="9">
        <f t="shared" si="3"/>
        <v>1460000</v>
      </c>
    </row>
    <row r="103" spans="1:12" ht="37.5">
      <c r="A103" s="8">
        <v>100</v>
      </c>
      <c r="B103" s="1" t="s">
        <v>297</v>
      </c>
      <c r="C103" s="91" t="s">
        <v>418</v>
      </c>
      <c r="D103" s="4" t="s">
        <v>21</v>
      </c>
      <c r="E103" s="4">
        <v>0</v>
      </c>
      <c r="F103" s="76">
        <v>0</v>
      </c>
      <c r="G103" s="20">
        <v>0</v>
      </c>
      <c r="H103" s="25">
        <v>706500</v>
      </c>
      <c r="I103" s="25">
        <v>0</v>
      </c>
      <c r="J103" s="25">
        <v>0</v>
      </c>
      <c r="K103" s="25">
        <v>0</v>
      </c>
      <c r="L103" s="9">
        <f t="shared" si="3"/>
        <v>706500</v>
      </c>
    </row>
    <row r="104" spans="1:12" ht="31.5">
      <c r="A104" s="8">
        <v>101</v>
      </c>
      <c r="B104" s="42" t="s">
        <v>298</v>
      </c>
      <c r="C104" s="43" t="s">
        <v>299</v>
      </c>
      <c r="D104" s="4" t="s">
        <v>21</v>
      </c>
      <c r="E104" s="4">
        <v>0</v>
      </c>
      <c r="F104" s="4">
        <v>0</v>
      </c>
      <c r="G104" s="22">
        <v>376000</v>
      </c>
      <c r="H104" s="25">
        <v>0</v>
      </c>
      <c r="I104" s="25">
        <v>0</v>
      </c>
      <c r="J104" s="25">
        <v>0</v>
      </c>
      <c r="K104" s="25">
        <v>0</v>
      </c>
      <c r="L104" s="9">
        <f t="shared" si="3"/>
        <v>376000</v>
      </c>
    </row>
    <row r="105" spans="1:12" ht="31.5">
      <c r="A105" s="8">
        <v>102</v>
      </c>
      <c r="B105" s="1" t="s">
        <v>301</v>
      </c>
      <c r="C105" s="46" t="s">
        <v>302</v>
      </c>
      <c r="D105" s="4" t="s">
        <v>32</v>
      </c>
      <c r="E105" s="4">
        <v>0</v>
      </c>
      <c r="F105" s="76">
        <v>0</v>
      </c>
      <c r="G105" s="20">
        <v>0</v>
      </c>
      <c r="H105" s="24">
        <v>810000</v>
      </c>
      <c r="I105" s="25">
        <v>0</v>
      </c>
      <c r="J105" s="25">
        <v>0</v>
      </c>
      <c r="K105" s="25">
        <v>0</v>
      </c>
      <c r="L105" s="9">
        <f t="shared" si="3"/>
        <v>810000</v>
      </c>
    </row>
    <row r="106" spans="1:12" ht="31.5">
      <c r="A106" s="8">
        <v>103</v>
      </c>
      <c r="B106" s="1" t="s">
        <v>303</v>
      </c>
      <c r="C106" s="46" t="s">
        <v>304</v>
      </c>
      <c r="D106" s="4" t="s">
        <v>32</v>
      </c>
      <c r="E106" s="4">
        <v>0</v>
      </c>
      <c r="F106" s="76">
        <v>250000</v>
      </c>
      <c r="G106" s="20">
        <v>0</v>
      </c>
      <c r="H106" s="25">
        <v>821500</v>
      </c>
      <c r="I106" s="25">
        <v>0</v>
      </c>
      <c r="J106" s="25">
        <v>0</v>
      </c>
      <c r="K106" s="25">
        <v>0</v>
      </c>
      <c r="L106" s="9">
        <f t="shared" si="3"/>
        <v>1071500</v>
      </c>
    </row>
    <row r="107" spans="1:12">
      <c r="A107" s="8">
        <v>104</v>
      </c>
      <c r="B107" s="42" t="s">
        <v>305</v>
      </c>
      <c r="C107" s="46" t="s">
        <v>304</v>
      </c>
      <c r="D107" s="4" t="s">
        <v>32</v>
      </c>
      <c r="E107" s="4">
        <v>0</v>
      </c>
      <c r="F107" s="10">
        <v>0</v>
      </c>
      <c r="G107" s="20">
        <v>52000</v>
      </c>
      <c r="H107" s="25">
        <v>0</v>
      </c>
      <c r="I107" s="25">
        <v>0</v>
      </c>
      <c r="J107" s="25">
        <v>0</v>
      </c>
      <c r="K107" s="25">
        <v>0</v>
      </c>
      <c r="L107" s="9">
        <f t="shared" si="3"/>
        <v>52000</v>
      </c>
    </row>
    <row r="108" spans="1:12" ht="18.75">
      <c r="A108" s="8">
        <v>105</v>
      </c>
      <c r="B108" s="1" t="s">
        <v>306</v>
      </c>
      <c r="C108" s="91" t="s">
        <v>304</v>
      </c>
      <c r="D108" s="4" t="s">
        <v>32</v>
      </c>
      <c r="E108" s="4">
        <v>0</v>
      </c>
      <c r="F108" s="76">
        <v>1500000</v>
      </c>
      <c r="G108" s="20">
        <v>0</v>
      </c>
      <c r="H108" s="25">
        <v>148000</v>
      </c>
      <c r="I108" s="25">
        <v>0</v>
      </c>
      <c r="J108" s="25">
        <v>0</v>
      </c>
      <c r="K108" s="25">
        <v>0</v>
      </c>
      <c r="L108" s="9">
        <f t="shared" si="3"/>
        <v>1648000</v>
      </c>
    </row>
    <row r="109" spans="1:12">
      <c r="A109" s="8">
        <v>106</v>
      </c>
      <c r="B109" s="1" t="s">
        <v>308</v>
      </c>
      <c r="C109" s="61" t="s">
        <v>309</v>
      </c>
      <c r="D109" s="4" t="s">
        <v>24</v>
      </c>
      <c r="E109" s="4">
        <v>0</v>
      </c>
      <c r="F109" s="4">
        <v>0</v>
      </c>
      <c r="G109" s="20">
        <v>0</v>
      </c>
      <c r="H109" s="24">
        <v>514000</v>
      </c>
      <c r="I109" s="25">
        <v>0</v>
      </c>
      <c r="J109" s="25">
        <v>0</v>
      </c>
      <c r="K109" s="25">
        <v>0</v>
      </c>
      <c r="L109" s="9">
        <f t="shared" si="3"/>
        <v>514000</v>
      </c>
    </row>
    <row r="110" spans="1:12">
      <c r="A110" s="8">
        <v>107</v>
      </c>
      <c r="B110" s="1" t="s">
        <v>310</v>
      </c>
      <c r="C110" s="12" t="s">
        <v>448</v>
      </c>
      <c r="D110" s="4" t="s">
        <v>24</v>
      </c>
      <c r="E110" s="4">
        <f>160000+20000</f>
        <v>180000</v>
      </c>
      <c r="F110" s="4">
        <v>0</v>
      </c>
      <c r="G110" s="20">
        <v>0</v>
      </c>
      <c r="H110" s="24">
        <v>240000</v>
      </c>
      <c r="I110" s="25">
        <v>1155000</v>
      </c>
      <c r="J110" s="25">
        <v>0</v>
      </c>
      <c r="K110" s="25">
        <v>0</v>
      </c>
      <c r="L110" s="9">
        <f t="shared" si="3"/>
        <v>1575000</v>
      </c>
    </row>
    <row r="111" spans="1:12">
      <c r="A111" s="8">
        <v>108</v>
      </c>
      <c r="B111" s="1" t="s">
        <v>314</v>
      </c>
      <c r="C111" s="12" t="s">
        <v>26</v>
      </c>
      <c r="D111" s="4" t="s">
        <v>24</v>
      </c>
      <c r="E111" s="4">
        <f>100000+120000</f>
        <v>220000</v>
      </c>
      <c r="F111" s="4">
        <v>0</v>
      </c>
      <c r="G111" s="20">
        <v>0</v>
      </c>
      <c r="H111" s="24">
        <v>180000</v>
      </c>
      <c r="I111" s="25">
        <v>921500</v>
      </c>
      <c r="J111" s="25">
        <v>0</v>
      </c>
      <c r="K111" s="25">
        <v>0</v>
      </c>
      <c r="L111" s="9">
        <f t="shared" si="3"/>
        <v>1321500</v>
      </c>
    </row>
    <row r="112" spans="1:12">
      <c r="A112" s="8">
        <v>109</v>
      </c>
      <c r="B112" s="1" t="s">
        <v>315</v>
      </c>
      <c r="C112" s="12" t="s">
        <v>316</v>
      </c>
      <c r="D112" s="4" t="s">
        <v>24</v>
      </c>
      <c r="E112" s="4">
        <f>64000+12000</f>
        <v>76000</v>
      </c>
      <c r="F112" s="4">
        <v>0</v>
      </c>
      <c r="G112" s="20">
        <v>0</v>
      </c>
      <c r="H112" s="24">
        <v>140000</v>
      </c>
      <c r="I112" s="25">
        <v>612500</v>
      </c>
      <c r="J112" s="25">
        <v>0</v>
      </c>
      <c r="K112" s="25">
        <v>0</v>
      </c>
      <c r="L112" s="9">
        <f t="shared" si="3"/>
        <v>828500</v>
      </c>
    </row>
    <row r="113" spans="1:12">
      <c r="A113" s="8">
        <v>110</v>
      </c>
      <c r="B113" s="1" t="s">
        <v>321</v>
      </c>
      <c r="C113" s="12" t="s">
        <v>313</v>
      </c>
      <c r="D113" s="4" t="s">
        <v>24</v>
      </c>
      <c r="E113" s="4">
        <f>140000+20000</f>
        <v>160000</v>
      </c>
      <c r="F113" s="4">
        <v>0</v>
      </c>
      <c r="G113" s="20">
        <v>0</v>
      </c>
      <c r="H113" s="24">
        <v>270000</v>
      </c>
      <c r="I113" s="25">
        <v>1155000</v>
      </c>
      <c r="J113" s="25">
        <v>0</v>
      </c>
      <c r="K113" s="25">
        <v>0</v>
      </c>
      <c r="L113" s="9">
        <f t="shared" si="3"/>
        <v>1585000</v>
      </c>
    </row>
    <row r="114" spans="1:12">
      <c r="A114" s="8">
        <v>111</v>
      </c>
      <c r="B114" s="1" t="s">
        <v>325</v>
      </c>
      <c r="C114" s="61" t="s">
        <v>326</v>
      </c>
      <c r="D114" s="4" t="s">
        <v>24</v>
      </c>
      <c r="E114" s="4">
        <v>0</v>
      </c>
      <c r="F114" s="4">
        <v>0</v>
      </c>
      <c r="G114" s="73">
        <v>720000</v>
      </c>
      <c r="H114" s="24">
        <v>96000</v>
      </c>
      <c r="I114" s="25">
        <v>0</v>
      </c>
      <c r="J114" s="25">
        <v>0</v>
      </c>
      <c r="K114" s="25">
        <v>0</v>
      </c>
      <c r="L114" s="9">
        <f t="shared" si="3"/>
        <v>816000</v>
      </c>
    </row>
    <row r="115" spans="1:12">
      <c r="A115" s="8">
        <v>112</v>
      </c>
      <c r="B115" s="1" t="s">
        <v>327</v>
      </c>
      <c r="C115" s="12" t="s">
        <v>313</v>
      </c>
      <c r="D115" s="4" t="s">
        <v>24</v>
      </c>
      <c r="E115" s="4">
        <f>80000+20000</f>
        <v>100000</v>
      </c>
      <c r="F115" s="4">
        <v>0</v>
      </c>
      <c r="G115" s="20">
        <v>0</v>
      </c>
      <c r="H115" s="24">
        <v>150000</v>
      </c>
      <c r="I115" s="25">
        <v>945000</v>
      </c>
      <c r="J115" s="25">
        <v>0</v>
      </c>
      <c r="K115" s="25">
        <v>0</v>
      </c>
      <c r="L115" s="9">
        <f t="shared" si="3"/>
        <v>1195000</v>
      </c>
    </row>
    <row r="116" spans="1:12">
      <c r="A116" s="8">
        <v>113</v>
      </c>
      <c r="B116" s="1" t="s">
        <v>329</v>
      </c>
      <c r="C116" s="12" t="s">
        <v>330</v>
      </c>
      <c r="D116" s="4" t="s">
        <v>24</v>
      </c>
      <c r="E116" s="4">
        <f>60000+40000</f>
        <v>100000</v>
      </c>
      <c r="F116" s="76">
        <v>250000</v>
      </c>
      <c r="G116" s="32">
        <v>300000</v>
      </c>
      <c r="H116" s="24">
        <v>150000</v>
      </c>
      <c r="I116" s="25">
        <v>0</v>
      </c>
      <c r="J116" s="24">
        <v>900000</v>
      </c>
      <c r="K116" s="25">
        <v>0</v>
      </c>
      <c r="L116" s="9">
        <f t="shared" si="3"/>
        <v>1700000</v>
      </c>
    </row>
    <row r="117" spans="1:12" ht="31.5">
      <c r="A117" s="8">
        <v>114</v>
      </c>
      <c r="B117" s="1" t="s">
        <v>331</v>
      </c>
      <c r="C117" s="5" t="s">
        <v>421</v>
      </c>
      <c r="D117" s="4" t="s">
        <v>24</v>
      </c>
      <c r="E117" s="4">
        <v>0</v>
      </c>
      <c r="F117" s="4">
        <v>0</v>
      </c>
      <c r="G117" s="20">
        <v>0</v>
      </c>
      <c r="H117" s="24">
        <v>1010000</v>
      </c>
      <c r="I117" s="25">
        <v>0</v>
      </c>
      <c r="J117" s="25">
        <v>0</v>
      </c>
      <c r="K117" s="25">
        <v>0</v>
      </c>
      <c r="L117" s="9">
        <f t="shared" si="3"/>
        <v>1010000</v>
      </c>
    </row>
    <row r="118" spans="1:12" ht="31.5">
      <c r="A118" s="8">
        <v>115</v>
      </c>
      <c r="B118" s="1" t="s">
        <v>471</v>
      </c>
      <c r="C118" s="4" t="s">
        <v>26</v>
      </c>
      <c r="D118" s="4" t="s">
        <v>24</v>
      </c>
      <c r="E118" s="4">
        <f>126000+14000</f>
        <v>140000</v>
      </c>
      <c r="F118" s="4">
        <v>0</v>
      </c>
      <c r="G118" s="20">
        <v>0</v>
      </c>
      <c r="H118" s="25">
        <v>150000</v>
      </c>
      <c r="I118" s="25">
        <v>946000</v>
      </c>
      <c r="J118" s="25">
        <v>0</v>
      </c>
      <c r="K118" s="25">
        <v>0</v>
      </c>
      <c r="L118" s="9">
        <f t="shared" si="3"/>
        <v>1236000</v>
      </c>
    </row>
    <row r="119" spans="1:12">
      <c r="A119" s="8">
        <v>116</v>
      </c>
      <c r="B119" s="1" t="s">
        <v>339</v>
      </c>
      <c r="C119" s="4" t="s">
        <v>335</v>
      </c>
      <c r="D119" s="4" t="s">
        <v>24</v>
      </c>
      <c r="E119" s="4">
        <v>420000</v>
      </c>
      <c r="F119" s="4">
        <v>0</v>
      </c>
      <c r="G119" s="20">
        <v>0</v>
      </c>
      <c r="H119" s="20">
        <v>0</v>
      </c>
      <c r="I119" s="25">
        <v>0</v>
      </c>
      <c r="J119" s="25">
        <v>0</v>
      </c>
      <c r="K119" s="25">
        <v>150000</v>
      </c>
      <c r="L119" s="9">
        <f t="shared" si="3"/>
        <v>570000</v>
      </c>
    </row>
    <row r="120" spans="1:12">
      <c r="A120" s="8">
        <v>117</v>
      </c>
      <c r="B120" s="1" t="s">
        <v>340</v>
      </c>
      <c r="C120" s="4" t="s">
        <v>341</v>
      </c>
      <c r="D120" s="4" t="s">
        <v>24</v>
      </c>
      <c r="E120" s="4">
        <v>225500</v>
      </c>
      <c r="F120" s="76">
        <v>925000</v>
      </c>
      <c r="G120" s="20">
        <v>0</v>
      </c>
      <c r="H120" s="25">
        <v>270000</v>
      </c>
      <c r="I120" s="25">
        <v>0</v>
      </c>
      <c r="J120" s="25">
        <v>0</v>
      </c>
      <c r="K120" s="25">
        <v>0</v>
      </c>
      <c r="L120" s="9">
        <f t="shared" si="3"/>
        <v>1420500</v>
      </c>
    </row>
    <row r="121" spans="1:12" ht="31.5">
      <c r="A121" s="8">
        <v>118</v>
      </c>
      <c r="B121" s="1" t="s">
        <v>342</v>
      </c>
      <c r="C121" s="4" t="s">
        <v>343</v>
      </c>
      <c r="D121" s="4" t="s">
        <v>24</v>
      </c>
      <c r="E121" s="4">
        <v>180000</v>
      </c>
      <c r="F121" s="76">
        <v>975000</v>
      </c>
      <c r="G121" s="20">
        <v>0</v>
      </c>
      <c r="H121" s="20">
        <v>0</v>
      </c>
      <c r="I121" s="25">
        <v>0</v>
      </c>
      <c r="J121" s="25">
        <v>0</v>
      </c>
      <c r="K121" s="25">
        <v>0</v>
      </c>
      <c r="L121" s="9">
        <f t="shared" si="3"/>
        <v>1155000</v>
      </c>
    </row>
    <row r="122" spans="1:12">
      <c r="A122" s="8">
        <v>119</v>
      </c>
      <c r="B122" s="1" t="s">
        <v>346</v>
      </c>
      <c r="C122" s="4" t="s">
        <v>347</v>
      </c>
      <c r="D122" s="4" t="s">
        <v>24</v>
      </c>
      <c r="E122" s="4">
        <f>160000+20000</f>
        <v>180000</v>
      </c>
      <c r="F122" s="76">
        <v>250000</v>
      </c>
      <c r="G122" s="32">
        <v>300000</v>
      </c>
      <c r="H122" s="25">
        <v>142000</v>
      </c>
      <c r="I122" s="25">
        <v>0</v>
      </c>
      <c r="J122" s="24">
        <v>890000</v>
      </c>
      <c r="K122" s="25">
        <v>0</v>
      </c>
      <c r="L122" s="9">
        <f t="shared" si="3"/>
        <v>1762000</v>
      </c>
    </row>
    <row r="123" spans="1:12">
      <c r="A123" s="8">
        <v>120</v>
      </c>
      <c r="B123" s="63" t="s">
        <v>349</v>
      </c>
      <c r="C123" s="5" t="s">
        <v>423</v>
      </c>
      <c r="D123" s="4" t="s">
        <v>24</v>
      </c>
      <c r="E123" s="4">
        <v>0</v>
      </c>
      <c r="F123" s="4">
        <v>0</v>
      </c>
      <c r="G123" s="20">
        <v>0</v>
      </c>
      <c r="H123" s="25">
        <v>876000</v>
      </c>
      <c r="I123" s="25">
        <v>0</v>
      </c>
      <c r="J123" s="25">
        <v>0</v>
      </c>
      <c r="K123" s="25">
        <v>0</v>
      </c>
      <c r="L123" s="9">
        <f t="shared" si="3"/>
        <v>876000</v>
      </c>
    </row>
    <row r="124" spans="1:12" ht="31.5">
      <c r="A124" s="8">
        <v>121</v>
      </c>
      <c r="B124" s="1" t="s">
        <v>351</v>
      </c>
      <c r="C124" s="5" t="s">
        <v>424</v>
      </c>
      <c r="D124" s="4" t="s">
        <v>24</v>
      </c>
      <c r="E124" s="4">
        <v>0</v>
      </c>
      <c r="F124" s="4">
        <v>0</v>
      </c>
      <c r="G124" s="20">
        <v>0</v>
      </c>
      <c r="H124" s="25">
        <v>959500</v>
      </c>
      <c r="I124" s="25">
        <v>0</v>
      </c>
      <c r="J124" s="25">
        <v>0</v>
      </c>
      <c r="K124" s="25">
        <v>0</v>
      </c>
      <c r="L124" s="9">
        <f t="shared" si="3"/>
        <v>959500</v>
      </c>
    </row>
    <row r="125" spans="1:12" ht="31.5">
      <c r="A125" s="8">
        <v>122</v>
      </c>
      <c r="B125" s="1" t="s">
        <v>353</v>
      </c>
      <c r="C125" s="46" t="s">
        <v>354</v>
      </c>
      <c r="D125" s="4" t="s">
        <v>24</v>
      </c>
      <c r="E125" s="4">
        <v>0</v>
      </c>
      <c r="F125" s="4">
        <v>0</v>
      </c>
      <c r="G125" s="32">
        <v>0</v>
      </c>
      <c r="H125" s="25">
        <v>490000</v>
      </c>
      <c r="I125" s="25">
        <v>0</v>
      </c>
      <c r="J125" s="25">
        <v>0</v>
      </c>
      <c r="K125" s="25">
        <v>0</v>
      </c>
      <c r="L125" s="9">
        <f t="shared" si="3"/>
        <v>490000</v>
      </c>
    </row>
    <row r="126" spans="1:12" ht="31.5">
      <c r="A126" s="8">
        <v>123</v>
      </c>
      <c r="B126" s="1" t="s">
        <v>357</v>
      </c>
      <c r="C126" s="12" t="s">
        <v>358</v>
      </c>
      <c r="D126" s="4" t="s">
        <v>24</v>
      </c>
      <c r="E126" s="4">
        <f>120000+40000</f>
        <v>160000</v>
      </c>
      <c r="F126" s="76">
        <v>925000</v>
      </c>
      <c r="G126" s="20">
        <v>0</v>
      </c>
      <c r="H126" s="25">
        <v>150000</v>
      </c>
      <c r="I126" s="25">
        <v>0</v>
      </c>
      <c r="J126" s="25">
        <v>0</v>
      </c>
      <c r="K126" s="25">
        <v>0</v>
      </c>
      <c r="L126" s="9">
        <f t="shared" si="3"/>
        <v>1235000</v>
      </c>
    </row>
    <row r="127" spans="1:12">
      <c r="A127" s="8">
        <v>124</v>
      </c>
      <c r="B127" s="42" t="s">
        <v>359</v>
      </c>
      <c r="C127" s="64" t="s">
        <v>360</v>
      </c>
      <c r="D127" s="4" t="s">
        <v>24</v>
      </c>
      <c r="E127" s="4">
        <v>0</v>
      </c>
      <c r="F127" s="4">
        <v>0</v>
      </c>
      <c r="G127" s="32">
        <v>420000</v>
      </c>
      <c r="H127" s="25">
        <v>0</v>
      </c>
      <c r="I127" s="25">
        <v>0</v>
      </c>
      <c r="J127" s="25">
        <v>0</v>
      </c>
      <c r="K127" s="25">
        <v>0</v>
      </c>
      <c r="L127" s="9">
        <f t="shared" si="3"/>
        <v>420000</v>
      </c>
    </row>
    <row r="128" spans="1:12">
      <c r="A128" s="8">
        <v>125</v>
      </c>
      <c r="B128" s="2" t="s">
        <v>14</v>
      </c>
      <c r="C128" s="13" t="s">
        <v>26</v>
      </c>
      <c r="D128" s="4" t="s">
        <v>24</v>
      </c>
      <c r="E128" s="4">
        <v>0</v>
      </c>
      <c r="F128" s="4">
        <v>0</v>
      </c>
      <c r="G128" s="32">
        <v>128000</v>
      </c>
      <c r="H128" s="25">
        <v>0</v>
      </c>
      <c r="I128" s="25">
        <v>0</v>
      </c>
      <c r="J128" s="25">
        <v>0</v>
      </c>
      <c r="K128" s="25">
        <v>0</v>
      </c>
      <c r="L128" s="9">
        <f t="shared" si="3"/>
        <v>128000</v>
      </c>
    </row>
    <row r="129" spans="1:12" ht="18.75">
      <c r="A129" s="8">
        <v>126</v>
      </c>
      <c r="B129" s="1" t="s">
        <v>361</v>
      </c>
      <c r="C129" s="91" t="s">
        <v>425</v>
      </c>
      <c r="D129" s="4" t="s">
        <v>24</v>
      </c>
      <c r="E129" s="4">
        <v>0</v>
      </c>
      <c r="F129" s="4">
        <v>0</v>
      </c>
      <c r="G129" s="20">
        <v>0</v>
      </c>
      <c r="H129" s="25">
        <v>950000</v>
      </c>
      <c r="I129" s="25">
        <v>0</v>
      </c>
      <c r="J129" s="25">
        <v>0</v>
      </c>
      <c r="K129" s="25">
        <v>0</v>
      </c>
      <c r="L129" s="9">
        <f t="shared" si="3"/>
        <v>950000</v>
      </c>
    </row>
    <row r="130" spans="1:12" ht="31.5">
      <c r="A130" s="8">
        <v>127</v>
      </c>
      <c r="B130" s="1" t="s">
        <v>8</v>
      </c>
      <c r="C130" s="5" t="s">
        <v>426</v>
      </c>
      <c r="D130" s="4" t="s">
        <v>62</v>
      </c>
      <c r="E130" s="4">
        <v>0</v>
      </c>
      <c r="F130" s="76">
        <v>450000</v>
      </c>
      <c r="G130" s="20">
        <v>0</v>
      </c>
      <c r="H130" s="20">
        <v>42000</v>
      </c>
      <c r="I130" s="25">
        <v>0</v>
      </c>
      <c r="J130" s="25">
        <v>0</v>
      </c>
      <c r="K130" s="25">
        <v>0</v>
      </c>
      <c r="L130" s="9">
        <f t="shared" si="3"/>
        <v>492000</v>
      </c>
    </row>
    <row r="131" spans="1:12">
      <c r="A131" s="8">
        <v>128</v>
      </c>
      <c r="B131" s="1" t="s">
        <v>0</v>
      </c>
      <c r="C131" s="4" t="s">
        <v>22</v>
      </c>
      <c r="D131" s="4" t="s">
        <v>23</v>
      </c>
      <c r="E131" s="4">
        <v>172000</v>
      </c>
      <c r="F131" s="76">
        <v>0</v>
      </c>
      <c r="G131" s="20">
        <v>0</v>
      </c>
      <c r="H131" s="20">
        <v>0</v>
      </c>
      <c r="I131" s="25">
        <v>0</v>
      </c>
      <c r="J131" s="25">
        <v>0</v>
      </c>
      <c r="K131" s="25">
        <v>125000</v>
      </c>
      <c r="L131" s="9">
        <f t="shared" si="3"/>
        <v>297000</v>
      </c>
    </row>
    <row r="132" spans="1:12" ht="31.5">
      <c r="A132" s="8">
        <v>129</v>
      </c>
      <c r="B132" s="1" t="s">
        <v>364</v>
      </c>
      <c r="C132" s="4" t="s">
        <v>365</v>
      </c>
      <c r="D132" s="4" t="s">
        <v>23</v>
      </c>
      <c r="E132" s="4">
        <v>0</v>
      </c>
      <c r="F132" s="4">
        <v>0</v>
      </c>
      <c r="G132" s="20">
        <v>0</v>
      </c>
      <c r="H132" s="24">
        <v>150000</v>
      </c>
      <c r="I132" s="25">
        <v>838000</v>
      </c>
      <c r="J132" s="25">
        <v>0</v>
      </c>
      <c r="K132" s="25">
        <v>0</v>
      </c>
      <c r="L132" s="9">
        <f t="shared" ref="L132:L139" si="4">E132+F132+G132+H132+I132+J132+K132</f>
        <v>988000</v>
      </c>
    </row>
    <row r="133" spans="1:12">
      <c r="A133" s="8">
        <v>130</v>
      </c>
      <c r="B133" s="1" t="s">
        <v>368</v>
      </c>
      <c r="C133" s="4" t="s">
        <v>369</v>
      </c>
      <c r="D133" s="4" t="s">
        <v>23</v>
      </c>
      <c r="E133" s="4">
        <v>0</v>
      </c>
      <c r="F133" s="4">
        <v>0</v>
      </c>
      <c r="G133" s="20">
        <v>0</v>
      </c>
      <c r="H133" s="24">
        <v>210000</v>
      </c>
      <c r="I133" s="25">
        <v>0</v>
      </c>
      <c r="J133" s="25">
        <v>0</v>
      </c>
      <c r="K133" s="25">
        <v>0</v>
      </c>
      <c r="L133" s="9">
        <f t="shared" si="4"/>
        <v>210000</v>
      </c>
    </row>
    <row r="134" spans="1:12">
      <c r="A134" s="8">
        <v>131</v>
      </c>
      <c r="B134" s="1" t="s">
        <v>370</v>
      </c>
      <c r="C134" s="4" t="s">
        <v>371</v>
      </c>
      <c r="D134" s="4" t="s">
        <v>23</v>
      </c>
      <c r="E134" s="4">
        <v>160000</v>
      </c>
      <c r="F134" s="4">
        <v>0</v>
      </c>
      <c r="G134" s="20">
        <v>0</v>
      </c>
      <c r="H134" s="24">
        <v>180000</v>
      </c>
      <c r="I134" s="25">
        <v>823000</v>
      </c>
      <c r="J134" s="25">
        <v>0</v>
      </c>
      <c r="K134" s="25">
        <v>0</v>
      </c>
      <c r="L134" s="9">
        <f t="shared" si="4"/>
        <v>1163000</v>
      </c>
    </row>
    <row r="135" spans="1:12">
      <c r="A135" s="8">
        <v>132</v>
      </c>
      <c r="B135" s="1" t="s">
        <v>373</v>
      </c>
      <c r="C135" s="4" t="s">
        <v>374</v>
      </c>
      <c r="D135" s="4" t="s">
        <v>23</v>
      </c>
      <c r="E135" s="4">
        <v>673500</v>
      </c>
      <c r="F135" s="4">
        <v>0</v>
      </c>
      <c r="G135" s="20">
        <v>0</v>
      </c>
      <c r="H135" s="20">
        <v>0</v>
      </c>
      <c r="I135" s="25">
        <v>0</v>
      </c>
      <c r="J135" s="25">
        <v>0</v>
      </c>
      <c r="K135" s="25">
        <v>0</v>
      </c>
      <c r="L135" s="9">
        <f t="shared" si="4"/>
        <v>673500</v>
      </c>
    </row>
    <row r="136" spans="1:12">
      <c r="A136" s="8">
        <v>133</v>
      </c>
      <c r="B136" s="1" t="s">
        <v>375</v>
      </c>
      <c r="C136" s="4" t="s">
        <v>376</v>
      </c>
      <c r="D136" s="4" t="s">
        <v>23</v>
      </c>
      <c r="E136" s="4">
        <f>68000+58000</f>
        <v>126000</v>
      </c>
      <c r="F136" s="4">
        <v>0</v>
      </c>
      <c r="G136" s="20">
        <v>0</v>
      </c>
      <c r="H136" s="24">
        <v>262000</v>
      </c>
      <c r="I136" s="25">
        <v>910500</v>
      </c>
      <c r="J136" s="25">
        <v>0</v>
      </c>
      <c r="K136" s="25">
        <v>145000</v>
      </c>
      <c r="L136" s="9">
        <f t="shared" si="4"/>
        <v>1443500</v>
      </c>
    </row>
    <row r="137" spans="1:12">
      <c r="A137" s="8">
        <v>134</v>
      </c>
      <c r="B137" s="40" t="s">
        <v>379</v>
      </c>
      <c r="C137" s="41" t="s">
        <v>380</v>
      </c>
      <c r="D137" s="4" t="s">
        <v>23</v>
      </c>
      <c r="E137" s="4">
        <v>0</v>
      </c>
      <c r="F137" s="76">
        <v>835000</v>
      </c>
      <c r="G137" s="20">
        <v>0</v>
      </c>
      <c r="H137" s="20">
        <v>0</v>
      </c>
      <c r="I137" s="25">
        <v>0</v>
      </c>
      <c r="J137" s="25">
        <v>0</v>
      </c>
      <c r="K137" s="25">
        <v>0</v>
      </c>
      <c r="L137" s="9">
        <f t="shared" si="4"/>
        <v>835000</v>
      </c>
    </row>
    <row r="138" spans="1:12" ht="31.5">
      <c r="A138" s="8">
        <v>135</v>
      </c>
      <c r="B138" s="1" t="s">
        <v>383</v>
      </c>
      <c r="C138" s="4" t="s">
        <v>380</v>
      </c>
      <c r="D138" s="4" t="s">
        <v>23</v>
      </c>
      <c r="E138" s="4">
        <v>491000</v>
      </c>
      <c r="F138" s="4">
        <v>0</v>
      </c>
      <c r="G138" s="20">
        <v>0</v>
      </c>
      <c r="H138" s="20">
        <v>0</v>
      </c>
      <c r="I138" s="25">
        <v>0</v>
      </c>
      <c r="J138" s="25">
        <v>0</v>
      </c>
      <c r="K138" s="25">
        <v>0</v>
      </c>
      <c r="L138" s="9">
        <f t="shared" si="4"/>
        <v>491000</v>
      </c>
    </row>
    <row r="139" spans="1:12" ht="18.75">
      <c r="A139" s="8">
        <v>136</v>
      </c>
      <c r="B139" s="1" t="s">
        <v>384</v>
      </c>
      <c r="C139" s="91" t="s">
        <v>427</v>
      </c>
      <c r="D139" s="4" t="s">
        <v>23</v>
      </c>
      <c r="E139" s="4">
        <v>0</v>
      </c>
      <c r="F139" s="4">
        <v>0</v>
      </c>
      <c r="G139" s="20">
        <v>0</v>
      </c>
      <c r="H139" s="20">
        <v>344000</v>
      </c>
      <c r="I139" s="25">
        <v>0</v>
      </c>
      <c r="J139" s="25">
        <v>0</v>
      </c>
      <c r="K139" s="25">
        <v>0</v>
      </c>
      <c r="L139" s="9">
        <f t="shared" si="4"/>
        <v>344000</v>
      </c>
    </row>
    <row r="140" spans="1:12" s="127" customFormat="1" ht="16.5" thickBot="1">
      <c r="A140" s="112"/>
      <c r="B140" s="113" t="s">
        <v>63</v>
      </c>
      <c r="C140" s="114"/>
      <c r="D140" s="114"/>
      <c r="E140" s="114">
        <f t="shared" ref="E140:L140" si="5">SUM(E4:E139)</f>
        <v>16926000</v>
      </c>
      <c r="F140" s="114">
        <f t="shared" si="5"/>
        <v>18123500</v>
      </c>
      <c r="G140" s="114">
        <f t="shared" si="5"/>
        <v>11338000</v>
      </c>
      <c r="H140" s="114">
        <f t="shared" si="5"/>
        <v>28552500</v>
      </c>
      <c r="I140" s="114">
        <f t="shared" si="5"/>
        <v>29535500</v>
      </c>
      <c r="J140" s="114">
        <f t="shared" si="5"/>
        <v>7090000</v>
      </c>
      <c r="K140" s="114">
        <f t="shared" si="5"/>
        <v>1463000</v>
      </c>
      <c r="L140" s="114">
        <f t="shared" si="5"/>
        <v>113028500</v>
      </c>
    </row>
    <row r="141" spans="1:12" ht="16.5" thickTop="1">
      <c r="A141" s="3"/>
      <c r="F141" s="75"/>
      <c r="G141" s="75"/>
    </row>
    <row r="143" spans="1:12">
      <c r="A143" s="3"/>
      <c r="E143" s="14"/>
    </row>
  </sheetData>
  <mergeCells count="3">
    <mergeCell ref="A2:D2"/>
    <mergeCell ref="E2:L2"/>
    <mergeCell ref="A1:L1"/>
  </mergeCells>
  <conditionalFormatting sqref="B49">
    <cfRule type="duplicateValues" dxfId="150" priority="8"/>
  </conditionalFormatting>
  <conditionalFormatting sqref="A3">
    <cfRule type="duplicateValues" dxfId="149" priority="7"/>
  </conditionalFormatting>
  <conditionalFormatting sqref="B3:D3">
    <cfRule type="duplicateValues" dxfId="148" priority="6"/>
  </conditionalFormatting>
  <conditionalFormatting sqref="B141:D1048576 C140:D140 B4:B11 B50 B90:B99 B29:B48 B101:B127 B22:B26 B81:B85 B129:B140 B3:D3 B53:B79 B13:B20">
    <cfRule type="duplicateValues" dxfId="147" priority="5"/>
  </conditionalFormatting>
  <conditionalFormatting sqref="B140:D1048576">
    <cfRule type="duplicateValues" dxfId="146" priority="4"/>
  </conditionalFormatting>
  <conditionalFormatting sqref="C140:D140">
    <cfRule type="duplicateValues" dxfId="145" priority="3"/>
  </conditionalFormatting>
  <conditionalFormatting sqref="B140:D140">
    <cfRule type="duplicateValues" dxfId="144" priority="2"/>
  </conditionalFormatting>
  <conditionalFormatting sqref="B15">
    <cfRule type="duplicateValues" dxfId="143" priority="1"/>
  </conditionalFormatting>
  <pageMargins left="0.55000000000000004" right="0.36" top="0.27" bottom="0.31" header="0.2" footer="0.2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3"/>
  <sheetViews>
    <sheetView workbookViewId="0">
      <pane ySplit="3" topLeftCell="A98" activePane="bottomLeft" state="frozen"/>
      <selection pane="bottomLeft" activeCell="H107" sqref="H107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4.7109375" style="14" customWidth="1"/>
    <col min="6" max="6" width="16.28515625" style="14" customWidth="1"/>
    <col min="7" max="7" width="15.7109375" style="14" customWidth="1"/>
    <col min="8" max="8" width="10.140625" style="14" customWidth="1"/>
    <col min="9" max="9" width="15.140625" style="14" customWidth="1"/>
    <col min="10" max="11" width="15" style="14" customWidth="1"/>
    <col min="12" max="12" width="15.85546875" style="96" customWidth="1"/>
    <col min="13" max="16384" width="9.140625" style="3"/>
  </cols>
  <sheetData>
    <row r="1" spans="1:38" s="6" customFormat="1" ht="23.25">
      <c r="A1" s="179" t="s">
        <v>488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  <c r="K2" s="180"/>
      <c r="L2" s="180"/>
    </row>
    <row r="3" spans="1:38" s="7" customFormat="1" ht="31.5">
      <c r="A3" s="129" t="s">
        <v>47</v>
      </c>
      <c r="B3" s="129" t="s">
        <v>13</v>
      </c>
      <c r="C3" s="129" t="s">
        <v>46</v>
      </c>
      <c r="D3" s="129" t="s">
        <v>16</v>
      </c>
      <c r="E3" s="128" t="s">
        <v>438</v>
      </c>
      <c r="F3" s="128" t="s">
        <v>452</v>
      </c>
      <c r="G3" s="128" t="s">
        <v>439</v>
      </c>
      <c r="H3" s="128" t="s">
        <v>440</v>
      </c>
      <c r="I3" s="128" t="s">
        <v>453</v>
      </c>
      <c r="J3" s="128" t="s">
        <v>454</v>
      </c>
      <c r="K3" s="128" t="s">
        <v>441</v>
      </c>
      <c r="L3" s="128" t="s">
        <v>407</v>
      </c>
    </row>
    <row r="4" spans="1:38">
      <c r="A4" s="8">
        <v>1</v>
      </c>
      <c r="B4" s="1" t="s">
        <v>66</v>
      </c>
      <c r="C4" s="4" t="s">
        <v>67</v>
      </c>
      <c r="D4" s="4" t="s">
        <v>29</v>
      </c>
      <c r="E4" s="4">
        <v>0</v>
      </c>
      <c r="F4" s="4">
        <v>0</v>
      </c>
      <c r="G4" s="4">
        <v>0</v>
      </c>
      <c r="H4" s="20">
        <v>0</v>
      </c>
      <c r="I4" s="20">
        <f>105000+210000+315000+315000+210000</f>
        <v>1155000</v>
      </c>
      <c r="J4" s="20">
        <v>0</v>
      </c>
      <c r="K4" s="20">
        <v>0</v>
      </c>
      <c r="L4" s="119">
        <f t="shared" ref="L4:L35" si="0">E4+F4+G4+H4+I4+J4+K4</f>
        <v>1155000</v>
      </c>
    </row>
    <row r="5" spans="1:38">
      <c r="A5" s="8">
        <v>2</v>
      </c>
      <c r="B5" s="1" t="s">
        <v>68</v>
      </c>
      <c r="C5" s="4" t="s">
        <v>39</v>
      </c>
      <c r="D5" s="4" t="s">
        <v>29</v>
      </c>
      <c r="E5" s="4">
        <v>0</v>
      </c>
      <c r="F5" s="4">
        <v>0</v>
      </c>
      <c r="G5" s="4">
        <v>0</v>
      </c>
      <c r="H5" s="20">
        <v>0</v>
      </c>
      <c r="I5" s="20">
        <f>105000+210000+315000+315000+210000</f>
        <v>1155000</v>
      </c>
      <c r="J5" s="20">
        <v>0</v>
      </c>
      <c r="K5" s="20">
        <v>0</v>
      </c>
      <c r="L5" s="119">
        <f t="shared" si="0"/>
        <v>1155000</v>
      </c>
    </row>
    <row r="6" spans="1:38">
      <c r="A6" s="8">
        <v>3</v>
      </c>
      <c r="B6" s="1" t="s">
        <v>69</v>
      </c>
      <c r="C6" s="4" t="s">
        <v>67</v>
      </c>
      <c r="D6" s="4" t="s">
        <v>29</v>
      </c>
      <c r="E6" s="4">
        <v>0</v>
      </c>
      <c r="F6" s="4">
        <v>0</v>
      </c>
      <c r="G6" s="4">
        <v>0</v>
      </c>
      <c r="H6" s="20">
        <v>0</v>
      </c>
      <c r="I6" s="20">
        <f>101500+304500+609000+203000</f>
        <v>1218000</v>
      </c>
      <c r="J6" s="20">
        <v>0</v>
      </c>
      <c r="K6" s="20">
        <v>0</v>
      </c>
      <c r="L6" s="119">
        <f t="shared" si="0"/>
        <v>1218000</v>
      </c>
    </row>
    <row r="7" spans="1:38">
      <c r="A7" s="8">
        <v>4</v>
      </c>
      <c r="B7" s="1" t="s">
        <v>70</v>
      </c>
      <c r="C7" s="4" t="s">
        <v>71</v>
      </c>
      <c r="D7" s="4" t="s">
        <v>29</v>
      </c>
      <c r="E7" s="4">
        <v>0</v>
      </c>
      <c r="F7" s="4">
        <v>0</v>
      </c>
      <c r="G7" s="11">
        <v>0</v>
      </c>
      <c r="H7" s="20">
        <v>0</v>
      </c>
      <c r="I7" s="20">
        <f>105000+315000+315000+315000+210000</f>
        <v>1260000</v>
      </c>
      <c r="J7" s="20">
        <v>0</v>
      </c>
      <c r="K7" s="20">
        <v>0</v>
      </c>
      <c r="L7" s="119">
        <f t="shared" si="0"/>
        <v>1260000</v>
      </c>
    </row>
    <row r="8" spans="1:38">
      <c r="A8" s="8">
        <v>5</v>
      </c>
      <c r="B8" s="1" t="s">
        <v>11</v>
      </c>
      <c r="C8" s="4" t="s">
        <v>39</v>
      </c>
      <c r="D8" s="4" t="s">
        <v>29</v>
      </c>
      <c r="E8" s="4">
        <v>0</v>
      </c>
      <c r="F8" s="4">
        <v>0</v>
      </c>
      <c r="G8" s="11">
        <v>0</v>
      </c>
      <c r="H8" s="20">
        <v>0</v>
      </c>
      <c r="I8" s="20">
        <v>0</v>
      </c>
      <c r="J8" s="20">
        <f>1400000+300000+200000</f>
        <v>1900000</v>
      </c>
      <c r="K8" s="20">
        <v>0</v>
      </c>
      <c r="L8" s="119">
        <f t="shared" si="0"/>
        <v>1900000</v>
      </c>
    </row>
    <row r="9" spans="1:38">
      <c r="A9" s="8">
        <v>6</v>
      </c>
      <c r="B9" s="1" t="s">
        <v>72</v>
      </c>
      <c r="C9" s="33" t="s">
        <v>73</v>
      </c>
      <c r="D9" s="4" t="s">
        <v>29</v>
      </c>
      <c r="E9" s="4">
        <v>0</v>
      </c>
      <c r="F9" s="4">
        <v>0</v>
      </c>
      <c r="G9" s="4">
        <v>0</v>
      </c>
      <c r="H9" s="20">
        <f>119000+178500+178500+178500+119000</f>
        <v>773500</v>
      </c>
      <c r="I9" s="20">
        <v>0</v>
      </c>
      <c r="J9" s="20">
        <v>0</v>
      </c>
      <c r="K9" s="20">
        <v>0</v>
      </c>
      <c r="L9" s="119">
        <f t="shared" si="0"/>
        <v>773500</v>
      </c>
    </row>
    <row r="10" spans="1:38">
      <c r="A10" s="8">
        <v>7</v>
      </c>
      <c r="B10" s="1" t="s">
        <v>74</v>
      </c>
      <c r="C10" s="4" t="s">
        <v>75</v>
      </c>
      <c r="D10" s="4" t="s">
        <v>29</v>
      </c>
      <c r="E10" s="4">
        <v>0</v>
      </c>
      <c r="F10" s="4">
        <v>0</v>
      </c>
      <c r="G10" s="4">
        <v>0</v>
      </c>
      <c r="H10" s="20">
        <v>0</v>
      </c>
      <c r="I10" s="20">
        <f>105000+285000+315000+15000+315000+210000</f>
        <v>1245000</v>
      </c>
      <c r="J10" s="20">
        <v>0</v>
      </c>
      <c r="K10" s="20">
        <v>0</v>
      </c>
      <c r="L10" s="119">
        <f t="shared" si="0"/>
        <v>1245000</v>
      </c>
    </row>
    <row r="11" spans="1:38">
      <c r="A11" s="8">
        <v>8</v>
      </c>
      <c r="B11" s="1" t="s">
        <v>76</v>
      </c>
      <c r="C11" s="5" t="s">
        <v>67</v>
      </c>
      <c r="D11" s="4" t="s">
        <v>29</v>
      </c>
      <c r="E11" s="4">
        <v>0</v>
      </c>
      <c r="F11" s="4">
        <v>0</v>
      </c>
      <c r="G11" s="4">
        <v>0</v>
      </c>
      <c r="H11" s="20">
        <f>140000+140000+210000+210000+140000</f>
        <v>840000</v>
      </c>
      <c r="I11" s="20">
        <v>0</v>
      </c>
      <c r="J11" s="20">
        <v>0</v>
      </c>
      <c r="K11" s="20">
        <v>0</v>
      </c>
      <c r="L11" s="119">
        <f t="shared" si="0"/>
        <v>840000</v>
      </c>
    </row>
    <row r="12" spans="1:38">
      <c r="A12" s="8">
        <v>9</v>
      </c>
      <c r="B12" s="1" t="s">
        <v>77</v>
      </c>
      <c r="C12" s="4" t="s">
        <v>78</v>
      </c>
      <c r="D12" s="4" t="s">
        <v>29</v>
      </c>
      <c r="E12" s="4">
        <v>0</v>
      </c>
      <c r="F12" s="4">
        <f>150000+675000+225000+150000</f>
        <v>1200000</v>
      </c>
      <c r="G12" s="4">
        <v>0</v>
      </c>
      <c r="H12" s="20">
        <v>0</v>
      </c>
      <c r="I12" s="20">
        <v>0</v>
      </c>
      <c r="J12" s="20">
        <v>0</v>
      </c>
      <c r="K12" s="20">
        <v>0</v>
      </c>
      <c r="L12" s="119">
        <f t="shared" si="0"/>
        <v>1200000</v>
      </c>
    </row>
    <row r="13" spans="1:38" ht="31.5">
      <c r="A13" s="8">
        <v>10</v>
      </c>
      <c r="B13" s="1" t="s">
        <v>79</v>
      </c>
      <c r="C13" s="4" t="s">
        <v>80</v>
      </c>
      <c r="D13" s="4" t="s">
        <v>29</v>
      </c>
      <c r="E13" s="4">
        <v>0</v>
      </c>
      <c r="F13" s="4">
        <v>0</v>
      </c>
      <c r="G13" s="4">
        <v>0</v>
      </c>
      <c r="H13" s="20">
        <v>0</v>
      </c>
      <c r="I13" s="20">
        <f>105000+315000+315000+315000+210000</f>
        <v>1260000</v>
      </c>
      <c r="J13" s="20">
        <v>0</v>
      </c>
      <c r="K13" s="20">
        <v>0</v>
      </c>
      <c r="L13" s="119">
        <f t="shared" si="0"/>
        <v>1260000</v>
      </c>
    </row>
    <row r="14" spans="1:38">
      <c r="A14" s="8">
        <v>11</v>
      </c>
      <c r="B14" s="1" t="s">
        <v>81</v>
      </c>
      <c r="C14" s="4" t="s">
        <v>82</v>
      </c>
      <c r="D14" s="4" t="s">
        <v>29</v>
      </c>
      <c r="E14" s="4">
        <v>0</v>
      </c>
      <c r="F14" s="4">
        <f>225000+150000+75000+225000+225000+150000</f>
        <v>1050000</v>
      </c>
      <c r="G14" s="4">
        <v>0</v>
      </c>
      <c r="H14" s="20">
        <v>0</v>
      </c>
      <c r="I14" s="20">
        <v>0</v>
      </c>
      <c r="J14" s="20">
        <v>0</v>
      </c>
      <c r="K14" s="20">
        <v>0</v>
      </c>
      <c r="L14" s="119">
        <f t="shared" si="0"/>
        <v>1050000</v>
      </c>
    </row>
    <row r="15" spans="1:38">
      <c r="A15" s="8">
        <v>12</v>
      </c>
      <c r="B15" s="1" t="s">
        <v>84</v>
      </c>
      <c r="C15" s="4" t="s">
        <v>85</v>
      </c>
      <c r="D15" s="4" t="s">
        <v>35</v>
      </c>
      <c r="E15" s="4">
        <f>140000+105000+105000+70000</f>
        <v>420000</v>
      </c>
      <c r="F15" s="4">
        <v>0</v>
      </c>
      <c r="G15" s="4">
        <v>0</v>
      </c>
      <c r="H15" s="20">
        <v>0</v>
      </c>
      <c r="I15" s="20">
        <v>0</v>
      </c>
      <c r="J15" s="20">
        <v>0</v>
      </c>
      <c r="K15" s="20">
        <v>0</v>
      </c>
      <c r="L15" s="119">
        <f t="shared" si="0"/>
        <v>420000</v>
      </c>
    </row>
    <row r="16" spans="1:38">
      <c r="A16" s="8">
        <v>13</v>
      </c>
      <c r="B16" s="100" t="s">
        <v>446</v>
      </c>
      <c r="C16" s="101" t="s">
        <v>447</v>
      </c>
      <c r="D16" s="101" t="s">
        <v>35</v>
      </c>
      <c r="E16" s="4">
        <v>155000</v>
      </c>
      <c r="F16" s="4">
        <v>0</v>
      </c>
      <c r="G16" s="4">
        <v>0</v>
      </c>
      <c r="H16" s="20">
        <v>0</v>
      </c>
      <c r="I16" s="20">
        <v>0</v>
      </c>
      <c r="J16" s="20">
        <v>0</v>
      </c>
      <c r="K16" s="20">
        <v>0</v>
      </c>
      <c r="L16" s="119">
        <f t="shared" si="0"/>
        <v>155000</v>
      </c>
    </row>
    <row r="17" spans="1:12">
      <c r="A17" s="8">
        <v>14</v>
      </c>
      <c r="B17" s="1" t="s">
        <v>7</v>
      </c>
      <c r="C17" s="4" t="s">
        <v>40</v>
      </c>
      <c r="D17" s="4" t="s">
        <v>35</v>
      </c>
      <c r="E17" s="4">
        <f>102000+98000+98500+106500+36000</f>
        <v>441000</v>
      </c>
      <c r="F17" s="4">
        <v>0</v>
      </c>
      <c r="G17" s="4">
        <v>0</v>
      </c>
      <c r="H17" s="20">
        <v>0</v>
      </c>
      <c r="I17" s="20">
        <v>0</v>
      </c>
      <c r="J17" s="20">
        <v>0</v>
      </c>
      <c r="K17" s="20">
        <v>0</v>
      </c>
      <c r="L17" s="119">
        <f t="shared" si="0"/>
        <v>441000</v>
      </c>
    </row>
    <row r="18" spans="1:12" ht="31.5">
      <c r="A18" s="8">
        <v>15</v>
      </c>
      <c r="B18" s="1" t="s">
        <v>87</v>
      </c>
      <c r="C18" s="4" t="s">
        <v>88</v>
      </c>
      <c r="D18" s="4" t="s">
        <v>18</v>
      </c>
      <c r="E18" s="4">
        <v>0</v>
      </c>
      <c r="F18" s="4">
        <v>0</v>
      </c>
      <c r="G18" s="4">
        <v>0</v>
      </c>
      <c r="H18" s="20">
        <v>0</v>
      </c>
      <c r="I18" s="20">
        <f>315000+315000+315000+210000</f>
        <v>1155000</v>
      </c>
      <c r="J18" s="20">
        <v>0</v>
      </c>
      <c r="K18" s="20">
        <v>0</v>
      </c>
      <c r="L18" s="119">
        <f t="shared" si="0"/>
        <v>1155000</v>
      </c>
    </row>
    <row r="19" spans="1:12">
      <c r="A19" s="8">
        <v>16</v>
      </c>
      <c r="B19" s="1" t="s">
        <v>89</v>
      </c>
      <c r="C19" s="4" t="s">
        <v>90</v>
      </c>
      <c r="D19" s="4" t="s">
        <v>18</v>
      </c>
      <c r="E19" s="4">
        <v>0</v>
      </c>
      <c r="F19" s="4">
        <v>0</v>
      </c>
      <c r="G19" s="4">
        <v>0</v>
      </c>
      <c r="H19" s="20">
        <v>0</v>
      </c>
      <c r="I19" s="20">
        <f>315000+313500+315000+315000+210000</f>
        <v>1468500</v>
      </c>
      <c r="J19" s="20">
        <v>0</v>
      </c>
      <c r="K19" s="20">
        <v>0</v>
      </c>
      <c r="L19" s="119">
        <f t="shared" si="0"/>
        <v>1468500</v>
      </c>
    </row>
    <row r="20" spans="1:12" ht="31.5">
      <c r="A20" s="8">
        <v>17</v>
      </c>
      <c r="B20" s="1" t="s">
        <v>91</v>
      </c>
      <c r="C20" s="4" t="s">
        <v>92</v>
      </c>
      <c r="D20" s="4" t="s">
        <v>18</v>
      </c>
      <c r="E20" s="4">
        <f>210000+210000</f>
        <v>420000</v>
      </c>
      <c r="F20" s="4">
        <v>0</v>
      </c>
      <c r="G20" s="11">
        <v>0</v>
      </c>
      <c r="H20" s="20">
        <v>0</v>
      </c>
      <c r="I20" s="20">
        <v>0</v>
      </c>
      <c r="J20" s="20">
        <v>0</v>
      </c>
      <c r="K20" s="20">
        <v>0</v>
      </c>
      <c r="L20" s="119">
        <f t="shared" si="0"/>
        <v>420000</v>
      </c>
    </row>
    <row r="21" spans="1:12">
      <c r="A21" s="8">
        <v>18</v>
      </c>
      <c r="B21" s="1" t="s">
        <v>9</v>
      </c>
      <c r="C21" s="4" t="s">
        <v>42</v>
      </c>
      <c r="D21" s="4" t="s">
        <v>18</v>
      </c>
      <c r="E21" s="4">
        <v>0</v>
      </c>
      <c r="F21" s="4">
        <v>0</v>
      </c>
      <c r="G21" s="22">
        <v>0</v>
      </c>
      <c r="H21" s="20">
        <f>70000+210000</f>
        <v>280000</v>
      </c>
      <c r="I21" s="20">
        <v>0</v>
      </c>
      <c r="J21" s="20">
        <v>0</v>
      </c>
      <c r="K21" s="20">
        <v>0</v>
      </c>
      <c r="L21" s="119">
        <f t="shared" si="0"/>
        <v>280000</v>
      </c>
    </row>
    <row r="22" spans="1:12">
      <c r="A22" s="8">
        <v>19</v>
      </c>
      <c r="B22" s="1" t="s">
        <v>481</v>
      </c>
      <c r="C22" s="4" t="s">
        <v>102</v>
      </c>
      <c r="D22" s="4" t="s">
        <v>31</v>
      </c>
      <c r="E22" s="4">
        <v>0</v>
      </c>
      <c r="F22" s="4">
        <v>-3000000</v>
      </c>
      <c r="G22" s="23">
        <v>0</v>
      </c>
      <c r="H22" s="20">
        <v>0</v>
      </c>
      <c r="I22" s="20">
        <v>0</v>
      </c>
      <c r="J22" s="20">
        <v>0</v>
      </c>
      <c r="K22" s="20">
        <v>0</v>
      </c>
      <c r="L22" s="119">
        <f t="shared" si="0"/>
        <v>-3000000</v>
      </c>
    </row>
    <row r="23" spans="1:12">
      <c r="A23" s="8">
        <v>20</v>
      </c>
      <c r="B23" s="40" t="s">
        <v>112</v>
      </c>
      <c r="C23" s="4" t="s">
        <v>108</v>
      </c>
      <c r="D23" s="4" t="s">
        <v>108</v>
      </c>
      <c r="E23" s="4">
        <v>0</v>
      </c>
      <c r="F23" s="4">
        <f>280000+150000+150000+150000</f>
        <v>730000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19">
        <f t="shared" si="0"/>
        <v>730000</v>
      </c>
    </row>
    <row r="24" spans="1:12">
      <c r="A24" s="8">
        <v>21</v>
      </c>
      <c r="B24" s="1" t="s">
        <v>115</v>
      </c>
      <c r="C24" s="4" t="s">
        <v>116</v>
      </c>
      <c r="D24" s="4" t="s">
        <v>108</v>
      </c>
      <c r="E24" s="4">
        <v>0</v>
      </c>
      <c r="F24" s="4">
        <v>0</v>
      </c>
      <c r="G24" s="22">
        <v>0</v>
      </c>
      <c r="H24" s="20">
        <v>0</v>
      </c>
      <c r="I24" s="20">
        <f>154000+241500+147000</f>
        <v>542500</v>
      </c>
      <c r="J24" s="20">
        <v>0</v>
      </c>
      <c r="K24" s="20">
        <v>0</v>
      </c>
      <c r="L24" s="119">
        <f t="shared" si="0"/>
        <v>542500</v>
      </c>
    </row>
    <row r="25" spans="1:12">
      <c r="A25" s="8">
        <v>22</v>
      </c>
      <c r="B25" s="1" t="s">
        <v>118</v>
      </c>
      <c r="C25" s="4" t="s">
        <v>108</v>
      </c>
      <c r="D25" s="4" t="s">
        <v>108</v>
      </c>
      <c r="E25" s="4">
        <f>40500+87500+100500+100500+49000</f>
        <v>378000</v>
      </c>
      <c r="F25" s="4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19">
        <f t="shared" si="0"/>
        <v>378000</v>
      </c>
    </row>
    <row r="26" spans="1:12" ht="31.5">
      <c r="A26" s="8">
        <v>23</v>
      </c>
      <c r="B26" s="1" t="s">
        <v>123</v>
      </c>
      <c r="C26" s="4" t="s">
        <v>124</v>
      </c>
      <c r="D26" s="4" t="s">
        <v>20</v>
      </c>
      <c r="E26" s="4">
        <v>0</v>
      </c>
      <c r="F26" s="4">
        <v>0</v>
      </c>
      <c r="G26" s="20">
        <v>0</v>
      </c>
      <c r="H26" s="20">
        <f>49000+98000+364000+112000</f>
        <v>623000</v>
      </c>
      <c r="I26" s="20">
        <v>0</v>
      </c>
      <c r="J26" s="20">
        <v>0</v>
      </c>
      <c r="K26" s="20">
        <v>0</v>
      </c>
      <c r="L26" s="119">
        <f t="shared" si="0"/>
        <v>623000</v>
      </c>
    </row>
    <row r="27" spans="1:12" ht="31.5">
      <c r="A27" s="8">
        <v>24</v>
      </c>
      <c r="B27" s="1" t="s">
        <v>125</v>
      </c>
      <c r="C27" s="4" t="s">
        <v>126</v>
      </c>
      <c r="D27" s="4" t="s">
        <v>20</v>
      </c>
      <c r="E27" s="4">
        <v>0</v>
      </c>
      <c r="F27" s="4">
        <v>0</v>
      </c>
      <c r="G27" s="20">
        <v>0</v>
      </c>
      <c r="H27" s="20">
        <v>0</v>
      </c>
      <c r="I27" s="20">
        <f>70000+210000+210000+210000+140000</f>
        <v>840000</v>
      </c>
      <c r="J27" s="20">
        <v>0</v>
      </c>
      <c r="K27" s="20">
        <v>0</v>
      </c>
      <c r="L27" s="119">
        <f t="shared" si="0"/>
        <v>840000</v>
      </c>
    </row>
    <row r="28" spans="1:12">
      <c r="A28" s="8">
        <v>25</v>
      </c>
      <c r="B28" s="1" t="s">
        <v>52</v>
      </c>
      <c r="C28" s="4" t="s">
        <v>30</v>
      </c>
      <c r="D28" s="4" t="s">
        <v>20</v>
      </c>
      <c r="E28" s="4">
        <f>15000+198000</f>
        <v>213000</v>
      </c>
      <c r="F28" s="4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19">
        <f t="shared" si="0"/>
        <v>213000</v>
      </c>
    </row>
    <row r="29" spans="1:12" ht="47.25">
      <c r="A29" s="8">
        <v>26</v>
      </c>
      <c r="B29" s="1" t="s">
        <v>135</v>
      </c>
      <c r="C29" s="4" t="s">
        <v>124</v>
      </c>
      <c r="D29" s="4" t="s">
        <v>20</v>
      </c>
      <c r="E29" s="4">
        <v>0</v>
      </c>
      <c r="F29" s="4">
        <v>0</v>
      </c>
      <c r="G29" s="20">
        <v>0</v>
      </c>
      <c r="H29" s="20">
        <v>0</v>
      </c>
      <c r="I29" s="20">
        <f>105000+315000+315000+315000+210000</f>
        <v>1260000</v>
      </c>
      <c r="J29" s="20">
        <v>0</v>
      </c>
      <c r="K29" s="20">
        <v>0</v>
      </c>
      <c r="L29" s="119">
        <f t="shared" si="0"/>
        <v>1260000</v>
      </c>
    </row>
    <row r="30" spans="1:12">
      <c r="A30" s="8">
        <v>27</v>
      </c>
      <c r="B30" s="1" t="s">
        <v>137</v>
      </c>
      <c r="C30" s="5" t="s">
        <v>409</v>
      </c>
      <c r="D30" s="4" t="s">
        <v>19</v>
      </c>
      <c r="E30" s="4">
        <v>0</v>
      </c>
      <c r="F30" s="4">
        <v>0</v>
      </c>
      <c r="G30" s="20">
        <v>0</v>
      </c>
      <c r="H30" s="20">
        <f>140000+210000+420000+70000</f>
        <v>840000</v>
      </c>
      <c r="I30" s="20">
        <v>0</v>
      </c>
      <c r="J30" s="20">
        <v>0</v>
      </c>
      <c r="K30" s="20">
        <v>0</v>
      </c>
      <c r="L30" s="119">
        <f t="shared" si="0"/>
        <v>840000</v>
      </c>
    </row>
    <row r="31" spans="1:12">
      <c r="A31" s="8">
        <v>28</v>
      </c>
      <c r="B31" s="1" t="s">
        <v>142</v>
      </c>
      <c r="C31" s="5" t="s">
        <v>410</v>
      </c>
      <c r="D31" s="4" t="s">
        <v>19</v>
      </c>
      <c r="E31" s="4">
        <v>0</v>
      </c>
      <c r="F31" s="4">
        <v>0</v>
      </c>
      <c r="G31" s="20">
        <v>0</v>
      </c>
      <c r="H31" s="20">
        <f>70000+210000+210000+210000+140000</f>
        <v>840000</v>
      </c>
      <c r="I31" s="20">
        <v>0</v>
      </c>
      <c r="J31" s="20">
        <v>0</v>
      </c>
      <c r="K31" s="20">
        <v>0</v>
      </c>
      <c r="L31" s="119">
        <f t="shared" si="0"/>
        <v>840000</v>
      </c>
    </row>
    <row r="32" spans="1:12">
      <c r="A32" s="8">
        <v>29</v>
      </c>
      <c r="B32" s="1" t="s">
        <v>143</v>
      </c>
      <c r="C32" s="12" t="s">
        <v>144</v>
      </c>
      <c r="D32" s="4" t="s">
        <v>19</v>
      </c>
      <c r="E32" s="4">
        <f>73500+35000+101500+94500+94500+63000</f>
        <v>462000</v>
      </c>
      <c r="F32" s="4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19">
        <f t="shared" si="0"/>
        <v>462000</v>
      </c>
    </row>
    <row r="33" spans="1:12">
      <c r="A33" s="8">
        <v>30</v>
      </c>
      <c r="B33" s="1" t="s">
        <v>149</v>
      </c>
      <c r="C33" s="4" t="s">
        <v>150</v>
      </c>
      <c r="D33" s="4" t="s">
        <v>148</v>
      </c>
      <c r="E33" s="4">
        <v>-155000</v>
      </c>
      <c r="F33" s="4">
        <v>0</v>
      </c>
      <c r="G33" s="20">
        <v>0</v>
      </c>
      <c r="H33" s="20">
        <v>-195000</v>
      </c>
      <c r="I33" s="20">
        <v>0</v>
      </c>
      <c r="J33" s="20">
        <v>0</v>
      </c>
      <c r="K33" s="20">
        <v>0</v>
      </c>
      <c r="L33" s="119">
        <f t="shared" si="0"/>
        <v>-350000</v>
      </c>
    </row>
    <row r="34" spans="1:12">
      <c r="A34" s="8">
        <v>31</v>
      </c>
      <c r="B34" s="1" t="s">
        <v>151</v>
      </c>
      <c r="C34" s="4" t="s">
        <v>152</v>
      </c>
      <c r="D34" s="4" t="s">
        <v>153</v>
      </c>
      <c r="E34" s="4">
        <v>0</v>
      </c>
      <c r="F34" s="4">
        <v>0</v>
      </c>
      <c r="G34" s="20">
        <v>0</v>
      </c>
      <c r="H34" s="20">
        <v>0</v>
      </c>
      <c r="I34" s="20">
        <f>34000+102000+105000+105000+70000</f>
        <v>416000</v>
      </c>
      <c r="J34" s="20">
        <v>0</v>
      </c>
      <c r="K34" s="20">
        <v>0</v>
      </c>
      <c r="L34" s="119">
        <f t="shared" si="0"/>
        <v>416000</v>
      </c>
    </row>
    <row r="35" spans="1:12" ht="31.5">
      <c r="A35" s="8">
        <v>32</v>
      </c>
      <c r="B35" s="1" t="s">
        <v>154</v>
      </c>
      <c r="C35" s="4" t="s">
        <v>155</v>
      </c>
      <c r="D35" s="4" t="s">
        <v>153</v>
      </c>
      <c r="E35" s="4">
        <v>0</v>
      </c>
      <c r="F35" s="4">
        <v>0</v>
      </c>
      <c r="G35" s="20">
        <v>0</v>
      </c>
      <c r="H35" s="20">
        <v>0</v>
      </c>
      <c r="I35" s="20">
        <f>189000+185500+196000+199500+133000</f>
        <v>903000</v>
      </c>
      <c r="J35" s="20">
        <v>0</v>
      </c>
      <c r="K35" s="20">
        <v>0</v>
      </c>
      <c r="L35" s="119">
        <f t="shared" si="0"/>
        <v>903000</v>
      </c>
    </row>
    <row r="36" spans="1:12">
      <c r="A36" s="8">
        <v>33</v>
      </c>
      <c r="B36" s="1" t="s">
        <v>166</v>
      </c>
      <c r="C36" s="4" t="s">
        <v>167</v>
      </c>
      <c r="D36" s="4" t="s">
        <v>159</v>
      </c>
      <c r="E36" s="4">
        <f>70000+210000+210000+210000+140000</f>
        <v>840000</v>
      </c>
      <c r="F36" s="4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19">
        <f t="shared" ref="L36:L67" si="1">E36+F36+G36+H36+I36+J36+K36</f>
        <v>840000</v>
      </c>
    </row>
    <row r="37" spans="1:12">
      <c r="A37" s="8">
        <v>34</v>
      </c>
      <c r="B37" s="1" t="s">
        <v>168</v>
      </c>
      <c r="C37" s="4" t="s">
        <v>169</v>
      </c>
      <c r="D37" s="4" t="s">
        <v>159</v>
      </c>
      <c r="E37" s="4">
        <f>38500+126000+129500+112000+70000</f>
        <v>476000</v>
      </c>
      <c r="F37" s="4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19">
        <f t="shared" si="1"/>
        <v>476000</v>
      </c>
    </row>
    <row r="38" spans="1:12">
      <c r="A38" s="8">
        <v>35</v>
      </c>
      <c r="B38" s="1" t="s">
        <v>170</v>
      </c>
      <c r="C38" s="4" t="s">
        <v>171</v>
      </c>
      <c r="D38" s="4" t="s">
        <v>159</v>
      </c>
      <c r="E38" s="4">
        <v>0</v>
      </c>
      <c r="F38" s="4">
        <v>0</v>
      </c>
      <c r="G38" s="20">
        <v>0</v>
      </c>
      <c r="H38" s="20">
        <f>59500+31500+168000+126000+42000</f>
        <v>427000</v>
      </c>
      <c r="I38" s="20">
        <v>0</v>
      </c>
      <c r="J38" s="20">
        <v>0</v>
      </c>
      <c r="K38" s="20">
        <v>0</v>
      </c>
      <c r="L38" s="119">
        <f t="shared" si="1"/>
        <v>427000</v>
      </c>
    </row>
    <row r="39" spans="1:12">
      <c r="A39" s="8">
        <v>36</v>
      </c>
      <c r="B39" s="1" t="s">
        <v>175</v>
      </c>
      <c r="C39" s="4" t="s">
        <v>163</v>
      </c>
      <c r="D39" s="4" t="s">
        <v>159</v>
      </c>
      <c r="E39" s="4">
        <f>200000+273000+210000+140000</f>
        <v>823000</v>
      </c>
      <c r="F39" s="4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19">
        <f t="shared" si="1"/>
        <v>823000</v>
      </c>
    </row>
    <row r="40" spans="1:12" ht="31.5">
      <c r="A40" s="8">
        <v>37</v>
      </c>
      <c r="B40" s="1" t="s">
        <v>60</v>
      </c>
      <c r="C40" s="4" t="s">
        <v>33</v>
      </c>
      <c r="D40" s="4" t="s">
        <v>34</v>
      </c>
      <c r="E40" s="4">
        <f>590000+49000+378000</f>
        <v>1017000</v>
      </c>
      <c r="F40" s="4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19">
        <f t="shared" si="1"/>
        <v>1017000</v>
      </c>
    </row>
    <row r="41" spans="1:12">
      <c r="A41" s="8">
        <v>38</v>
      </c>
      <c r="B41" s="1" t="s">
        <v>178</v>
      </c>
      <c r="C41" s="4" t="s">
        <v>179</v>
      </c>
      <c r="D41" s="4" t="s">
        <v>17</v>
      </c>
      <c r="E41" s="4">
        <v>0</v>
      </c>
      <c r="F41" s="4">
        <v>0</v>
      </c>
      <c r="G41" s="23">
        <v>0</v>
      </c>
      <c r="H41" s="20">
        <v>0</v>
      </c>
      <c r="I41" s="20">
        <v>0</v>
      </c>
      <c r="J41" s="20">
        <f>300000+300000+300000+300000+200000</f>
        <v>1400000</v>
      </c>
      <c r="K41" s="20">
        <v>0</v>
      </c>
      <c r="L41" s="119">
        <f t="shared" si="1"/>
        <v>1400000</v>
      </c>
    </row>
    <row r="42" spans="1:12">
      <c r="A42" s="8">
        <v>39</v>
      </c>
      <c r="B42" s="1" t="s">
        <v>180</v>
      </c>
      <c r="C42" s="4" t="s">
        <v>181</v>
      </c>
      <c r="D42" s="4" t="s">
        <v>17</v>
      </c>
      <c r="E42" s="4">
        <v>0</v>
      </c>
      <c r="F42" s="4">
        <v>0</v>
      </c>
      <c r="G42" s="20">
        <v>0</v>
      </c>
      <c r="H42" s="20">
        <v>0</v>
      </c>
      <c r="I42" s="20">
        <f>315000+315000+315000</f>
        <v>945000</v>
      </c>
      <c r="J42" s="20">
        <v>0</v>
      </c>
      <c r="K42" s="20">
        <v>0</v>
      </c>
      <c r="L42" s="119">
        <f t="shared" si="1"/>
        <v>945000</v>
      </c>
    </row>
    <row r="43" spans="1:12">
      <c r="A43" s="8">
        <v>40</v>
      </c>
      <c r="B43" s="1" t="s">
        <v>182</v>
      </c>
      <c r="C43" s="4" t="s">
        <v>183</v>
      </c>
      <c r="D43" s="4" t="s">
        <v>17</v>
      </c>
      <c r="E43" s="4">
        <v>0</v>
      </c>
      <c r="F43" s="4">
        <v>0</v>
      </c>
      <c r="G43" s="20">
        <v>0</v>
      </c>
      <c r="H43" s="20">
        <f>70000+630000+140000</f>
        <v>840000</v>
      </c>
      <c r="I43" s="20">
        <v>0</v>
      </c>
      <c r="J43" s="20">
        <v>0</v>
      </c>
      <c r="K43" s="20">
        <v>0</v>
      </c>
      <c r="L43" s="119">
        <f t="shared" si="1"/>
        <v>840000</v>
      </c>
    </row>
    <row r="44" spans="1:12">
      <c r="A44" s="8">
        <v>41</v>
      </c>
      <c r="B44" s="1" t="s">
        <v>184</v>
      </c>
      <c r="C44" s="4" t="s">
        <v>185</v>
      </c>
      <c r="D44" s="4" t="s">
        <v>17</v>
      </c>
      <c r="E44" s="4">
        <f>59500+147000+154000+157500</f>
        <v>518000</v>
      </c>
      <c r="F44" s="4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19">
        <f t="shared" si="1"/>
        <v>518000</v>
      </c>
    </row>
    <row r="45" spans="1:12">
      <c r="A45" s="8">
        <v>42</v>
      </c>
      <c r="B45" s="1" t="s">
        <v>188</v>
      </c>
      <c r="C45" s="4" t="s">
        <v>413</v>
      </c>
      <c r="D45" s="4" t="s">
        <v>17</v>
      </c>
      <c r="E45" s="4">
        <v>0</v>
      </c>
      <c r="F45" s="4">
        <v>0</v>
      </c>
      <c r="G45" s="20">
        <v>0</v>
      </c>
      <c r="H45" s="20">
        <f>140000+210000+210000+210000+140000</f>
        <v>910000</v>
      </c>
      <c r="I45" s="20">
        <v>0</v>
      </c>
      <c r="J45" s="20">
        <v>0</v>
      </c>
      <c r="K45" s="20">
        <v>0</v>
      </c>
      <c r="L45" s="119">
        <f t="shared" si="1"/>
        <v>910000</v>
      </c>
    </row>
    <row r="46" spans="1:12" ht="47.25">
      <c r="A46" s="8">
        <v>43</v>
      </c>
      <c r="B46" s="1" t="s">
        <v>189</v>
      </c>
      <c r="C46" s="4" t="s">
        <v>190</v>
      </c>
      <c r="D46" s="4" t="s">
        <v>17</v>
      </c>
      <c r="E46" s="4">
        <v>0</v>
      </c>
      <c r="F46" s="4">
        <v>0</v>
      </c>
      <c r="G46" s="20">
        <v>0</v>
      </c>
      <c r="H46" s="20">
        <f>70000+210000+210000+210000+140000</f>
        <v>840000</v>
      </c>
      <c r="I46" s="20">
        <v>0</v>
      </c>
      <c r="J46" s="20">
        <v>0</v>
      </c>
      <c r="K46" s="20">
        <v>0</v>
      </c>
      <c r="L46" s="119">
        <f t="shared" si="1"/>
        <v>840000</v>
      </c>
    </row>
    <row r="47" spans="1:12" ht="31.5">
      <c r="A47" s="8">
        <v>44</v>
      </c>
      <c r="B47" s="1" t="s">
        <v>191</v>
      </c>
      <c r="C47" s="4" t="s">
        <v>185</v>
      </c>
      <c r="D47" s="4" t="s">
        <v>17</v>
      </c>
      <c r="E47" s="4">
        <v>0</v>
      </c>
      <c r="F47" s="4">
        <v>0</v>
      </c>
      <c r="G47" s="20">
        <v>0</v>
      </c>
      <c r="H47" s="20">
        <v>0</v>
      </c>
      <c r="I47" s="20">
        <f>71000+212000+185500+175500+128500</f>
        <v>772500</v>
      </c>
      <c r="J47" s="20">
        <v>0</v>
      </c>
      <c r="K47" s="20">
        <v>0</v>
      </c>
      <c r="L47" s="119">
        <f t="shared" si="1"/>
        <v>772500</v>
      </c>
    </row>
    <row r="48" spans="1:12">
      <c r="A48" s="8">
        <v>45</v>
      </c>
      <c r="B48" s="1" t="s">
        <v>192</v>
      </c>
      <c r="C48" s="4" t="s">
        <v>193</v>
      </c>
      <c r="D48" s="4" t="s">
        <v>17</v>
      </c>
      <c r="E48" s="4">
        <v>0</v>
      </c>
      <c r="F48" s="4">
        <f>225000+225000+225000+225000+150000</f>
        <v>1050000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19">
        <f t="shared" si="1"/>
        <v>1050000</v>
      </c>
    </row>
    <row r="49" spans="1:12">
      <c r="A49" s="8">
        <v>46</v>
      </c>
      <c r="B49" s="1" t="s">
        <v>195</v>
      </c>
      <c r="C49" s="4" t="s">
        <v>196</v>
      </c>
      <c r="D49" s="4" t="s">
        <v>17</v>
      </c>
      <c r="E49" s="4">
        <v>0</v>
      </c>
      <c r="F49" s="4">
        <f>215000+225000+225000+225000+150000</f>
        <v>1040000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19">
        <f t="shared" si="1"/>
        <v>1040000</v>
      </c>
    </row>
    <row r="50" spans="1:12">
      <c r="A50" s="8">
        <v>47</v>
      </c>
      <c r="B50" s="1" t="s">
        <v>197</v>
      </c>
      <c r="C50" s="4" t="s">
        <v>187</v>
      </c>
      <c r="D50" s="4" t="s">
        <v>17</v>
      </c>
      <c r="E50" s="4">
        <v>0</v>
      </c>
      <c r="F50" s="4">
        <v>0</v>
      </c>
      <c r="G50" s="22">
        <v>0</v>
      </c>
      <c r="H50" s="20">
        <v>0</v>
      </c>
      <c r="I50" s="20">
        <v>0</v>
      </c>
      <c r="J50" s="20">
        <f>300000+300000+300000+300000+200000</f>
        <v>1400000</v>
      </c>
      <c r="K50" s="20">
        <v>0</v>
      </c>
      <c r="L50" s="119">
        <f t="shared" si="1"/>
        <v>1400000</v>
      </c>
    </row>
    <row r="51" spans="1:12">
      <c r="A51" s="8">
        <v>48</v>
      </c>
      <c r="B51" s="1" t="s">
        <v>198</v>
      </c>
      <c r="C51" s="4" t="s">
        <v>193</v>
      </c>
      <c r="D51" s="4" t="s">
        <v>17</v>
      </c>
      <c r="E51" s="4">
        <v>0</v>
      </c>
      <c r="F51" s="4">
        <f>225000+225000+225000+225000</f>
        <v>900000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19">
        <f t="shared" si="1"/>
        <v>900000</v>
      </c>
    </row>
    <row r="52" spans="1:12">
      <c r="A52" s="8">
        <v>49</v>
      </c>
      <c r="B52" s="1" t="s">
        <v>200</v>
      </c>
      <c r="C52" s="4" t="s">
        <v>201</v>
      </c>
      <c r="D52" s="4" t="s">
        <v>17</v>
      </c>
      <c r="E52" s="4">
        <v>0</v>
      </c>
      <c r="F52" s="4">
        <v>0</v>
      </c>
      <c r="G52" s="20">
        <v>0</v>
      </c>
      <c r="H52" s="20">
        <v>0</v>
      </c>
      <c r="I52" s="20">
        <f>90000+360000+270000+180000</f>
        <v>900000</v>
      </c>
      <c r="J52" s="20">
        <v>0</v>
      </c>
      <c r="K52" s="20">
        <v>0</v>
      </c>
      <c r="L52" s="119">
        <f t="shared" si="1"/>
        <v>900000</v>
      </c>
    </row>
    <row r="53" spans="1:12">
      <c r="A53" s="8">
        <v>50</v>
      </c>
      <c r="B53" s="1" t="s">
        <v>202</v>
      </c>
      <c r="C53" s="4" t="s">
        <v>203</v>
      </c>
      <c r="D53" s="4" t="s">
        <v>17</v>
      </c>
      <c r="E53" s="4">
        <v>0</v>
      </c>
      <c r="F53" s="4">
        <v>0</v>
      </c>
      <c r="G53" s="20">
        <v>0</v>
      </c>
      <c r="H53" s="20">
        <v>0</v>
      </c>
      <c r="I53" s="20">
        <f>315000+315000+315000+315000+210000</f>
        <v>1470000</v>
      </c>
      <c r="J53" s="20">
        <v>0</v>
      </c>
      <c r="K53" s="20">
        <v>0</v>
      </c>
      <c r="L53" s="119">
        <f t="shared" si="1"/>
        <v>1470000</v>
      </c>
    </row>
    <row r="54" spans="1:12">
      <c r="A54" s="8">
        <v>51</v>
      </c>
      <c r="B54" s="1" t="s">
        <v>5</v>
      </c>
      <c r="C54" s="4" t="s">
        <v>36</v>
      </c>
      <c r="D54" s="4" t="s">
        <v>17</v>
      </c>
      <c r="E54" s="4">
        <v>0</v>
      </c>
      <c r="F54" s="4">
        <v>0</v>
      </c>
      <c r="G54" s="20">
        <v>0</v>
      </c>
      <c r="H54" s="20">
        <v>0</v>
      </c>
      <c r="I54" s="20">
        <f>(105000+315000+262500)-140000+262500+175000</f>
        <v>980000</v>
      </c>
      <c r="J54" s="20">
        <v>0</v>
      </c>
      <c r="K54" s="20">
        <v>0</v>
      </c>
      <c r="L54" s="119">
        <f t="shared" si="1"/>
        <v>980000</v>
      </c>
    </row>
    <row r="55" spans="1:12" ht="31.5">
      <c r="A55" s="8">
        <v>52</v>
      </c>
      <c r="B55" s="1" t="s">
        <v>206</v>
      </c>
      <c r="C55" s="4" t="s">
        <v>193</v>
      </c>
      <c r="D55" s="4" t="s">
        <v>17</v>
      </c>
      <c r="E55" s="4">
        <v>0</v>
      </c>
      <c r="F55" s="4">
        <v>0</v>
      </c>
      <c r="G55" s="22">
        <v>0</v>
      </c>
      <c r="H55" s="20">
        <v>0</v>
      </c>
      <c r="I55" s="20">
        <v>0</v>
      </c>
      <c r="J55" s="20">
        <f>300000+300000+300000+300000+200000</f>
        <v>1400000</v>
      </c>
      <c r="K55" s="20">
        <v>0</v>
      </c>
      <c r="L55" s="119">
        <f t="shared" si="1"/>
        <v>1400000</v>
      </c>
    </row>
    <row r="56" spans="1:12" ht="31.5">
      <c r="A56" s="8">
        <v>53</v>
      </c>
      <c r="B56" s="1" t="s">
        <v>207</v>
      </c>
      <c r="C56" s="5" t="s">
        <v>36</v>
      </c>
      <c r="D56" s="4" t="s">
        <v>17</v>
      </c>
      <c r="E56" s="4">
        <v>0</v>
      </c>
      <c r="F56" s="4">
        <v>0</v>
      </c>
      <c r="G56" s="20">
        <v>0</v>
      </c>
      <c r="H56" s="20">
        <f>72000+36000+111000+108000+72000</f>
        <v>399000</v>
      </c>
      <c r="I56" s="20">
        <v>0</v>
      </c>
      <c r="J56" s="20">
        <v>0</v>
      </c>
      <c r="K56" s="20">
        <v>0</v>
      </c>
      <c r="L56" s="119">
        <f t="shared" si="1"/>
        <v>399000</v>
      </c>
    </row>
    <row r="57" spans="1:12">
      <c r="A57" s="8">
        <v>54</v>
      </c>
      <c r="B57" s="44" t="s">
        <v>208</v>
      </c>
      <c r="C57" s="45" t="s">
        <v>209</v>
      </c>
      <c r="D57" s="4" t="s">
        <v>17</v>
      </c>
      <c r="E57" s="4">
        <v>0</v>
      </c>
      <c r="F57" s="4">
        <f>225000+225000+225000+225000+150000</f>
        <v>1050000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19">
        <f t="shared" si="1"/>
        <v>1050000</v>
      </c>
    </row>
    <row r="58" spans="1:12" ht="31.5">
      <c r="A58" s="8">
        <v>55</v>
      </c>
      <c r="B58" s="1" t="s">
        <v>210</v>
      </c>
      <c r="C58" s="4" t="s">
        <v>211</v>
      </c>
      <c r="D58" s="4" t="s">
        <v>17</v>
      </c>
      <c r="E58" s="4">
        <v>0</v>
      </c>
      <c r="F58" s="4">
        <v>0</v>
      </c>
      <c r="G58" s="20">
        <v>0</v>
      </c>
      <c r="H58" s="20">
        <v>0</v>
      </c>
      <c r="I58" s="20">
        <f>105000+304500+203000+399000+10500+210000</f>
        <v>1232000</v>
      </c>
      <c r="J58" s="20">
        <v>0</v>
      </c>
      <c r="K58" s="20">
        <v>0</v>
      </c>
      <c r="L58" s="119">
        <f t="shared" si="1"/>
        <v>1232000</v>
      </c>
    </row>
    <row r="59" spans="1:12" ht="31.5">
      <c r="A59" s="8">
        <v>56</v>
      </c>
      <c r="B59" s="1" t="s">
        <v>214</v>
      </c>
      <c r="C59" s="4" t="s">
        <v>187</v>
      </c>
      <c r="D59" s="4" t="s">
        <v>17</v>
      </c>
      <c r="E59" s="4">
        <v>0</v>
      </c>
      <c r="F59" s="4">
        <v>0</v>
      </c>
      <c r="G59" s="23">
        <v>0</v>
      </c>
      <c r="H59" s="20">
        <f>210000+210000+210000+350000</f>
        <v>980000</v>
      </c>
      <c r="I59" s="20">
        <v>0</v>
      </c>
      <c r="J59" s="20">
        <v>0</v>
      </c>
      <c r="K59" s="20">
        <v>0</v>
      </c>
      <c r="L59" s="119">
        <f t="shared" si="1"/>
        <v>980000</v>
      </c>
    </row>
    <row r="60" spans="1:12">
      <c r="A60" s="8">
        <v>57</v>
      </c>
      <c r="B60" s="1" t="s">
        <v>215</v>
      </c>
      <c r="C60" s="4" t="s">
        <v>209</v>
      </c>
      <c r="D60" s="4" t="s">
        <v>17</v>
      </c>
      <c r="E60" s="4">
        <v>0</v>
      </c>
      <c r="F60" s="4">
        <v>0</v>
      </c>
      <c r="G60" s="22">
        <f>150000+225000+225000+225000+150000</f>
        <v>975000</v>
      </c>
      <c r="H60" s="20">
        <v>0</v>
      </c>
      <c r="I60" s="20">
        <v>0</v>
      </c>
      <c r="J60" s="20">
        <v>0</v>
      </c>
      <c r="K60" s="20">
        <v>0</v>
      </c>
      <c r="L60" s="119">
        <f t="shared" si="1"/>
        <v>975000</v>
      </c>
    </row>
    <row r="61" spans="1:12" ht="47.25">
      <c r="A61" s="8">
        <v>58</v>
      </c>
      <c r="B61" s="1" t="s">
        <v>217</v>
      </c>
      <c r="C61" s="4" t="s">
        <v>211</v>
      </c>
      <c r="D61" s="4" t="s">
        <v>17</v>
      </c>
      <c r="E61" s="4">
        <f>101500+86500+151500+31000+62000</f>
        <v>432500</v>
      </c>
      <c r="F61" s="4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19">
        <f t="shared" si="1"/>
        <v>432500</v>
      </c>
    </row>
    <row r="62" spans="1:12">
      <c r="A62" s="8">
        <v>59</v>
      </c>
      <c r="B62" s="1" t="s">
        <v>428</v>
      </c>
      <c r="C62" s="4" t="s">
        <v>187</v>
      </c>
      <c r="D62" s="4" t="s">
        <v>17</v>
      </c>
      <c r="E62" s="4">
        <v>0</v>
      </c>
      <c r="F62" s="4">
        <v>0</v>
      </c>
      <c r="G62" s="20">
        <v>0</v>
      </c>
      <c r="H62" s="20">
        <v>0</v>
      </c>
      <c r="I62" s="20">
        <f>630000+315000+525000</f>
        <v>1470000</v>
      </c>
      <c r="J62" s="20">
        <v>0</v>
      </c>
      <c r="K62" s="20">
        <v>0</v>
      </c>
      <c r="L62" s="119">
        <f t="shared" si="1"/>
        <v>1470000</v>
      </c>
    </row>
    <row r="63" spans="1:12">
      <c r="A63" s="8">
        <v>60</v>
      </c>
      <c r="B63" s="1" t="s">
        <v>221</v>
      </c>
      <c r="C63" s="4" t="s">
        <v>222</v>
      </c>
      <c r="D63" s="4" t="s">
        <v>17</v>
      </c>
      <c r="E63" s="4">
        <v>0</v>
      </c>
      <c r="F63" s="4">
        <v>0</v>
      </c>
      <c r="G63" s="20">
        <v>0</v>
      </c>
      <c r="H63" s="20">
        <v>0</v>
      </c>
      <c r="I63" s="20">
        <f>315000+234500+280000+283500+196000</f>
        <v>1309000</v>
      </c>
      <c r="J63" s="20">
        <v>0</v>
      </c>
      <c r="K63" s="20">
        <v>0</v>
      </c>
      <c r="L63" s="119">
        <f t="shared" si="1"/>
        <v>1309000</v>
      </c>
    </row>
    <row r="64" spans="1:12" ht="47.25">
      <c r="A64" s="8">
        <v>61</v>
      </c>
      <c r="B64" s="1" t="s">
        <v>229</v>
      </c>
      <c r="C64" s="4" t="s">
        <v>230</v>
      </c>
      <c r="D64" s="4" t="s">
        <v>226</v>
      </c>
      <c r="E64" s="4">
        <v>0</v>
      </c>
      <c r="F64" s="4">
        <f>340000+60000+60000</f>
        <v>460000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19">
        <f t="shared" si="1"/>
        <v>460000</v>
      </c>
    </row>
    <row r="65" spans="1:12" ht="31.5">
      <c r="A65" s="8">
        <v>62</v>
      </c>
      <c r="B65" s="1" t="s">
        <v>231</v>
      </c>
      <c r="C65" s="5" t="s">
        <v>414</v>
      </c>
      <c r="D65" s="4" t="s">
        <v>226</v>
      </c>
      <c r="E65" s="4">
        <v>0</v>
      </c>
      <c r="F65" s="4">
        <v>0</v>
      </c>
      <c r="G65" s="20">
        <v>0</v>
      </c>
      <c r="H65" s="20">
        <f>91000+234500+262500</f>
        <v>588000</v>
      </c>
      <c r="I65" s="20">
        <v>0</v>
      </c>
      <c r="J65" s="20">
        <v>0</v>
      </c>
      <c r="K65" s="20">
        <v>0</v>
      </c>
      <c r="L65" s="119">
        <f t="shared" si="1"/>
        <v>588000</v>
      </c>
    </row>
    <row r="66" spans="1:12">
      <c r="A66" s="8">
        <v>63</v>
      </c>
      <c r="B66" s="1" t="s">
        <v>470</v>
      </c>
      <c r="C66" s="4" t="s">
        <v>239</v>
      </c>
      <c r="D66" s="4" t="s">
        <v>235</v>
      </c>
      <c r="E66" s="4">
        <v>52500</v>
      </c>
      <c r="F66" s="4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19">
        <f t="shared" si="1"/>
        <v>52500</v>
      </c>
    </row>
    <row r="67" spans="1:12">
      <c r="A67" s="8">
        <v>64</v>
      </c>
      <c r="B67" s="100" t="s">
        <v>444</v>
      </c>
      <c r="C67" s="101" t="s">
        <v>445</v>
      </c>
      <c r="D67" s="101" t="s">
        <v>442</v>
      </c>
      <c r="E67" s="4">
        <f>155000+129000+56000</f>
        <v>340000</v>
      </c>
      <c r="F67" s="4">
        <v>0</v>
      </c>
      <c r="G67" s="20">
        <v>0</v>
      </c>
      <c r="H67" s="20">
        <v>0</v>
      </c>
      <c r="I67" s="20">
        <v>0</v>
      </c>
      <c r="J67" s="21">
        <v>0</v>
      </c>
      <c r="K67" s="20">
        <v>0</v>
      </c>
      <c r="L67" s="119">
        <f t="shared" si="1"/>
        <v>340000</v>
      </c>
    </row>
    <row r="68" spans="1:12">
      <c r="A68" s="8">
        <v>65</v>
      </c>
      <c r="B68" s="1" t="s">
        <v>245</v>
      </c>
      <c r="C68" s="4" t="s">
        <v>246</v>
      </c>
      <c r="D68" s="4" t="s">
        <v>244</v>
      </c>
      <c r="E68" s="4">
        <v>0</v>
      </c>
      <c r="F68" s="4">
        <v>0</v>
      </c>
      <c r="G68" s="22">
        <v>0</v>
      </c>
      <c r="H68" s="20">
        <v>0</v>
      </c>
      <c r="I68" s="20">
        <v>0</v>
      </c>
      <c r="J68" s="20">
        <f>300000+300000+300000+300000+200000</f>
        <v>1400000</v>
      </c>
      <c r="K68" s="20">
        <v>0</v>
      </c>
      <c r="L68" s="119">
        <f t="shared" ref="L68:L99" si="2">E68+F68+G68+H68+I68+J68+K68</f>
        <v>1400000</v>
      </c>
    </row>
    <row r="69" spans="1:12">
      <c r="A69" s="8">
        <v>66</v>
      </c>
      <c r="B69" s="1" t="s">
        <v>247</v>
      </c>
      <c r="C69" s="5" t="s">
        <v>262</v>
      </c>
      <c r="D69" s="4" t="s">
        <v>244</v>
      </c>
      <c r="E69" s="4">
        <v>0</v>
      </c>
      <c r="F69" s="4">
        <v>0</v>
      </c>
      <c r="G69" s="20">
        <v>0</v>
      </c>
      <c r="H69" s="20">
        <f>70000+210000+210000</f>
        <v>490000</v>
      </c>
      <c r="I69" s="20">
        <v>0</v>
      </c>
      <c r="J69" s="20">
        <v>0</v>
      </c>
      <c r="K69" s="20">
        <v>0</v>
      </c>
      <c r="L69" s="119">
        <f t="shared" si="2"/>
        <v>490000</v>
      </c>
    </row>
    <row r="70" spans="1:12">
      <c r="A70" s="8">
        <v>67</v>
      </c>
      <c r="B70" s="1" t="s">
        <v>254</v>
      </c>
      <c r="C70" s="41" t="s">
        <v>255</v>
      </c>
      <c r="D70" s="4" t="s">
        <v>25</v>
      </c>
      <c r="E70" s="4">
        <v>0</v>
      </c>
      <c r="F70" s="4">
        <v>0</v>
      </c>
      <c r="G70" s="22">
        <v>0</v>
      </c>
      <c r="H70" s="20">
        <v>0</v>
      </c>
      <c r="I70" s="20">
        <v>0</v>
      </c>
      <c r="J70" s="20">
        <f>300000+300000+300000+300000+200000</f>
        <v>1400000</v>
      </c>
      <c r="K70" s="20">
        <v>0</v>
      </c>
      <c r="L70" s="119">
        <f t="shared" si="2"/>
        <v>1400000</v>
      </c>
    </row>
    <row r="71" spans="1:12" ht="31.5">
      <c r="A71" s="8">
        <v>68</v>
      </c>
      <c r="B71" s="1" t="s">
        <v>256</v>
      </c>
      <c r="C71" s="4" t="s">
        <v>257</v>
      </c>
      <c r="D71" s="4" t="s">
        <v>258</v>
      </c>
      <c r="E71" s="4">
        <v>0</v>
      </c>
      <c r="F71" s="4">
        <v>0</v>
      </c>
      <c r="G71" s="20">
        <v>0</v>
      </c>
      <c r="H71" s="20">
        <v>0</v>
      </c>
      <c r="I71" s="20">
        <v>105000</v>
      </c>
      <c r="J71" s="20">
        <v>0</v>
      </c>
      <c r="K71" s="20">
        <v>0</v>
      </c>
      <c r="L71" s="119">
        <f t="shared" si="2"/>
        <v>105000</v>
      </c>
    </row>
    <row r="72" spans="1:12" ht="31.5">
      <c r="A72" s="8">
        <v>69</v>
      </c>
      <c r="B72" s="1" t="s">
        <v>259</v>
      </c>
      <c r="C72" s="4" t="s">
        <v>260</v>
      </c>
      <c r="D72" s="4" t="s">
        <v>258</v>
      </c>
      <c r="E72" s="4">
        <v>0</v>
      </c>
      <c r="F72" s="4">
        <v>0</v>
      </c>
      <c r="G72" s="20">
        <v>0</v>
      </c>
      <c r="H72" s="20">
        <v>0</v>
      </c>
      <c r="I72" s="20">
        <f>105000+315000+315000+315000+210000</f>
        <v>1260000</v>
      </c>
      <c r="J72" s="20">
        <v>0</v>
      </c>
      <c r="K72" s="20">
        <v>0</v>
      </c>
      <c r="L72" s="119">
        <f t="shared" si="2"/>
        <v>1260000</v>
      </c>
    </row>
    <row r="73" spans="1:12">
      <c r="A73" s="8">
        <v>70</v>
      </c>
      <c r="B73" s="42" t="s">
        <v>261</v>
      </c>
      <c r="C73" s="43" t="s">
        <v>262</v>
      </c>
      <c r="D73" s="4" t="s">
        <v>258</v>
      </c>
      <c r="E73" s="4">
        <v>0</v>
      </c>
      <c r="F73" s="4">
        <v>0</v>
      </c>
      <c r="G73" s="20">
        <f>225000+225000+225000+225000+150000</f>
        <v>1050000</v>
      </c>
      <c r="H73" s="20">
        <v>0</v>
      </c>
      <c r="I73" s="20">
        <v>0</v>
      </c>
      <c r="J73" s="20">
        <v>0</v>
      </c>
      <c r="K73" s="20">
        <v>0</v>
      </c>
      <c r="L73" s="119">
        <f t="shared" si="2"/>
        <v>1050000</v>
      </c>
    </row>
    <row r="74" spans="1:12">
      <c r="A74" s="8">
        <v>71</v>
      </c>
      <c r="B74" s="44" t="s">
        <v>263</v>
      </c>
      <c r="C74" s="45" t="s">
        <v>264</v>
      </c>
      <c r="D74" s="4" t="s">
        <v>258</v>
      </c>
      <c r="E74" s="4">
        <v>0</v>
      </c>
      <c r="F74" s="4">
        <f>890000+225000+225000+225000+150000</f>
        <v>1715000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19">
        <f t="shared" si="2"/>
        <v>1715000</v>
      </c>
    </row>
    <row r="75" spans="1:12">
      <c r="A75" s="8">
        <v>72</v>
      </c>
      <c r="B75" s="1" t="s">
        <v>1</v>
      </c>
      <c r="C75" s="5" t="s">
        <v>415</v>
      </c>
      <c r="D75" s="4" t="s">
        <v>38</v>
      </c>
      <c r="E75" s="4">
        <v>0</v>
      </c>
      <c r="F75" s="4">
        <v>0</v>
      </c>
      <c r="G75" s="20">
        <v>0</v>
      </c>
      <c r="H75" s="20">
        <f>458500+304000</f>
        <v>762500</v>
      </c>
      <c r="I75" s="20">
        <v>0</v>
      </c>
      <c r="J75" s="20">
        <v>0</v>
      </c>
      <c r="K75" s="20">
        <v>0</v>
      </c>
      <c r="L75" s="119">
        <f t="shared" si="2"/>
        <v>762500</v>
      </c>
    </row>
    <row r="76" spans="1:12">
      <c r="A76" s="8">
        <v>73</v>
      </c>
      <c r="B76" s="1" t="s">
        <v>6</v>
      </c>
      <c r="C76" s="4" t="s">
        <v>37</v>
      </c>
      <c r="D76" s="4" t="s">
        <v>38</v>
      </c>
      <c r="E76" s="4">
        <v>0</v>
      </c>
      <c r="F76" s="4">
        <v>0</v>
      </c>
      <c r="G76" s="20">
        <v>0</v>
      </c>
      <c r="H76" s="20">
        <v>0</v>
      </c>
      <c r="I76" s="20">
        <f>542500+261000+274500+291500+207000</f>
        <v>1576500</v>
      </c>
      <c r="J76" s="20">
        <v>0</v>
      </c>
      <c r="K76" s="20">
        <v>0</v>
      </c>
      <c r="L76" s="119">
        <f t="shared" si="2"/>
        <v>1576500</v>
      </c>
    </row>
    <row r="77" spans="1:12" ht="31.5">
      <c r="A77" s="8">
        <v>74</v>
      </c>
      <c r="B77" s="40" t="s">
        <v>278</v>
      </c>
      <c r="C77" s="41" t="s">
        <v>279</v>
      </c>
      <c r="D77" s="4" t="s">
        <v>275</v>
      </c>
      <c r="E77" s="4">
        <v>0</v>
      </c>
      <c r="F77" s="4">
        <f>130000+225000+135000+120000+90000</f>
        <v>700000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19">
        <f t="shared" si="2"/>
        <v>700000</v>
      </c>
    </row>
    <row r="78" spans="1:12" ht="31.5">
      <c r="A78" s="8">
        <v>75</v>
      </c>
      <c r="B78" s="1" t="s">
        <v>283</v>
      </c>
      <c r="C78" s="4" t="s">
        <v>284</v>
      </c>
      <c r="D78" s="4" t="s">
        <v>275</v>
      </c>
      <c r="E78" s="4">
        <f>24500+73000+101000+91000+71000</f>
        <v>360500</v>
      </c>
      <c r="F78" s="4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19">
        <f t="shared" si="2"/>
        <v>360500</v>
      </c>
    </row>
    <row r="79" spans="1:12" ht="31.5">
      <c r="A79" s="8">
        <v>76</v>
      </c>
      <c r="B79" s="55" t="s">
        <v>288</v>
      </c>
      <c r="C79" s="56" t="s">
        <v>289</v>
      </c>
      <c r="D79" s="56" t="s">
        <v>21</v>
      </c>
      <c r="E79" s="4">
        <f>157500+180500+175000+133000+110500</f>
        <v>756500</v>
      </c>
      <c r="F79" s="4">
        <v>0</v>
      </c>
      <c r="G79" s="57">
        <v>0</v>
      </c>
      <c r="H79" s="20">
        <v>0</v>
      </c>
      <c r="I79" s="20">
        <v>0</v>
      </c>
      <c r="J79" s="57">
        <v>0</v>
      </c>
      <c r="K79" s="20">
        <v>0</v>
      </c>
      <c r="L79" s="119">
        <f t="shared" si="2"/>
        <v>756500</v>
      </c>
    </row>
    <row r="80" spans="1:12" ht="31.5">
      <c r="A80" s="8">
        <v>77</v>
      </c>
      <c r="B80" s="1" t="s">
        <v>290</v>
      </c>
      <c r="C80" s="91" t="s">
        <v>417</v>
      </c>
      <c r="D80" s="4" t="s">
        <v>21</v>
      </c>
      <c r="E80" s="4">
        <v>0</v>
      </c>
      <c r="F80" s="4">
        <v>0</v>
      </c>
      <c r="G80" s="20">
        <v>0</v>
      </c>
      <c r="H80" s="20">
        <f>70000+210000+420000+140000</f>
        <v>840000</v>
      </c>
      <c r="I80" s="20">
        <v>0</v>
      </c>
      <c r="J80" s="20">
        <v>0</v>
      </c>
      <c r="K80" s="20">
        <v>0</v>
      </c>
      <c r="L80" s="119">
        <f t="shared" si="2"/>
        <v>840000</v>
      </c>
    </row>
    <row r="81" spans="1:12" ht="47.25">
      <c r="A81" s="8">
        <v>78</v>
      </c>
      <c r="B81" s="42" t="s">
        <v>291</v>
      </c>
      <c r="C81" s="43" t="s">
        <v>292</v>
      </c>
      <c r="D81" s="4" t="s">
        <v>21</v>
      </c>
      <c r="E81" s="4">
        <v>0</v>
      </c>
      <c r="F81" s="4">
        <v>0</v>
      </c>
      <c r="G81" s="22">
        <f>825000+225000+225000+225000+150000</f>
        <v>1650000</v>
      </c>
      <c r="H81" s="20">
        <v>0</v>
      </c>
      <c r="I81" s="20">
        <v>0</v>
      </c>
      <c r="J81" s="20">
        <v>0</v>
      </c>
      <c r="K81" s="20">
        <v>0</v>
      </c>
      <c r="L81" s="119">
        <f t="shared" si="2"/>
        <v>1650000</v>
      </c>
    </row>
    <row r="82" spans="1:12" ht="31.5">
      <c r="A82" s="8">
        <v>79</v>
      </c>
      <c r="B82" s="1" t="s">
        <v>294</v>
      </c>
      <c r="C82" s="91" t="s">
        <v>419</v>
      </c>
      <c r="D82" s="4" t="s">
        <v>21</v>
      </c>
      <c r="E82" s="4">
        <v>0</v>
      </c>
      <c r="F82" s="4">
        <v>0</v>
      </c>
      <c r="G82" s="20">
        <v>0</v>
      </c>
      <c r="H82" s="20">
        <f>133000+210000+210000+210000+140000</f>
        <v>903000</v>
      </c>
      <c r="I82" s="20">
        <v>0</v>
      </c>
      <c r="J82" s="20">
        <v>0</v>
      </c>
      <c r="K82" s="20">
        <v>0</v>
      </c>
      <c r="L82" s="119">
        <f t="shared" si="2"/>
        <v>903000</v>
      </c>
    </row>
    <row r="83" spans="1:12" ht="31.5">
      <c r="A83" s="8">
        <v>80</v>
      </c>
      <c r="B83" s="40" t="s">
        <v>295</v>
      </c>
      <c r="C83" s="41" t="s">
        <v>296</v>
      </c>
      <c r="D83" s="4" t="s">
        <v>21</v>
      </c>
      <c r="E83" s="4">
        <v>0</v>
      </c>
      <c r="F83" s="4">
        <v>0</v>
      </c>
      <c r="G83" s="22">
        <v>0</v>
      </c>
      <c r="H83" s="20">
        <v>0</v>
      </c>
      <c r="I83" s="20">
        <v>0</v>
      </c>
      <c r="J83" s="20">
        <f>300000+300000+300000+300000+200000</f>
        <v>1400000</v>
      </c>
      <c r="K83" s="20">
        <v>0</v>
      </c>
      <c r="L83" s="119">
        <f t="shared" si="2"/>
        <v>1400000</v>
      </c>
    </row>
    <row r="84" spans="1:12" ht="37.5">
      <c r="A84" s="8">
        <v>81</v>
      </c>
      <c r="B84" s="1" t="s">
        <v>297</v>
      </c>
      <c r="C84" s="91" t="s">
        <v>418</v>
      </c>
      <c r="D84" s="4" t="s">
        <v>21</v>
      </c>
      <c r="E84" s="4">
        <v>0</v>
      </c>
      <c r="F84" s="4">
        <v>0</v>
      </c>
      <c r="G84" s="20">
        <v>0</v>
      </c>
      <c r="H84" s="20">
        <v>56000</v>
      </c>
      <c r="I84" s="20">
        <v>0</v>
      </c>
      <c r="J84" s="20">
        <v>0</v>
      </c>
      <c r="K84" s="20">
        <v>0</v>
      </c>
      <c r="L84" s="119">
        <f t="shared" si="2"/>
        <v>56000</v>
      </c>
    </row>
    <row r="85" spans="1:12" ht="31.5">
      <c r="A85" s="8">
        <v>82</v>
      </c>
      <c r="B85" s="42" t="s">
        <v>298</v>
      </c>
      <c r="C85" s="43" t="s">
        <v>299</v>
      </c>
      <c r="D85" s="4" t="s">
        <v>21</v>
      </c>
      <c r="E85" s="4">
        <v>0</v>
      </c>
      <c r="F85" s="4">
        <v>0</v>
      </c>
      <c r="G85" s="22">
        <f>1105000+225000+225000+150000</f>
        <v>1705000</v>
      </c>
      <c r="H85" s="20">
        <v>0</v>
      </c>
      <c r="I85" s="20">
        <v>0</v>
      </c>
      <c r="J85" s="20">
        <v>0</v>
      </c>
      <c r="K85" s="20">
        <v>0</v>
      </c>
      <c r="L85" s="119">
        <f t="shared" si="2"/>
        <v>1705000</v>
      </c>
    </row>
    <row r="86" spans="1:12" ht="31.5">
      <c r="A86" s="8">
        <v>83</v>
      </c>
      <c r="B86" s="1" t="s">
        <v>301</v>
      </c>
      <c r="C86" s="46" t="s">
        <v>302</v>
      </c>
      <c r="D86" s="4" t="s">
        <v>32</v>
      </c>
      <c r="E86" s="4">
        <v>0</v>
      </c>
      <c r="F86" s="4">
        <v>0</v>
      </c>
      <c r="G86" s="20">
        <v>0</v>
      </c>
      <c r="H86" s="20">
        <f>210000+210000+140000+70000+210000+140000</f>
        <v>980000</v>
      </c>
      <c r="I86" s="20">
        <v>0</v>
      </c>
      <c r="J86" s="20">
        <v>0</v>
      </c>
      <c r="K86" s="20">
        <v>0</v>
      </c>
      <c r="L86" s="119">
        <f t="shared" si="2"/>
        <v>980000</v>
      </c>
    </row>
    <row r="87" spans="1:12" ht="31.5">
      <c r="A87" s="8">
        <v>84</v>
      </c>
      <c r="B87" s="1" t="s">
        <v>303</v>
      </c>
      <c r="C87" s="46" t="s">
        <v>304</v>
      </c>
      <c r="D87" s="4" t="s">
        <v>32</v>
      </c>
      <c r="E87" s="4">
        <v>0</v>
      </c>
      <c r="F87" s="4">
        <v>0</v>
      </c>
      <c r="G87" s="20">
        <v>0</v>
      </c>
      <c r="H87" s="20">
        <f>136000+204000+204500+205500+205500</f>
        <v>955500</v>
      </c>
      <c r="I87" s="20">
        <v>0</v>
      </c>
      <c r="J87" s="20">
        <v>0</v>
      </c>
      <c r="K87" s="20">
        <v>0</v>
      </c>
      <c r="L87" s="119">
        <f t="shared" si="2"/>
        <v>955500</v>
      </c>
    </row>
    <row r="88" spans="1:12" ht="18.75">
      <c r="A88" s="8">
        <v>85</v>
      </c>
      <c r="B88" s="1" t="s">
        <v>306</v>
      </c>
      <c r="C88" s="91" t="s">
        <v>304</v>
      </c>
      <c r="D88" s="4" t="s">
        <v>32</v>
      </c>
      <c r="E88" s="4">
        <v>0</v>
      </c>
      <c r="F88" s="4">
        <f>175000+225000+225000+225000+150000</f>
        <v>1000000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119">
        <f t="shared" si="2"/>
        <v>1000000</v>
      </c>
    </row>
    <row r="89" spans="1:12">
      <c r="A89" s="8">
        <v>86</v>
      </c>
      <c r="B89" s="1" t="s">
        <v>308</v>
      </c>
      <c r="C89" s="61" t="s">
        <v>309</v>
      </c>
      <c r="D89" s="4" t="s">
        <v>24</v>
      </c>
      <c r="E89" s="4">
        <v>0</v>
      </c>
      <c r="F89" s="4">
        <v>0</v>
      </c>
      <c r="G89" s="20">
        <v>0</v>
      </c>
      <c r="H89" s="20">
        <f>77000+122500+126000+147000+98000</f>
        <v>570500</v>
      </c>
      <c r="I89" s="20">
        <v>0</v>
      </c>
      <c r="J89" s="20">
        <v>0</v>
      </c>
      <c r="K89" s="20">
        <v>0</v>
      </c>
      <c r="L89" s="119">
        <f t="shared" si="2"/>
        <v>570500</v>
      </c>
    </row>
    <row r="90" spans="1:12">
      <c r="A90" s="8">
        <v>87</v>
      </c>
      <c r="B90" s="1" t="s">
        <v>310</v>
      </c>
      <c r="C90" s="12" t="s">
        <v>448</v>
      </c>
      <c r="D90" s="4" t="s">
        <v>24</v>
      </c>
      <c r="E90" s="4">
        <v>0</v>
      </c>
      <c r="F90" s="4">
        <v>0</v>
      </c>
      <c r="G90" s="20">
        <v>0</v>
      </c>
      <c r="H90" s="20">
        <v>0</v>
      </c>
      <c r="I90" s="20">
        <f>105000+311500+315000+315000+210000</f>
        <v>1256500</v>
      </c>
      <c r="J90" s="20">
        <v>0</v>
      </c>
      <c r="K90" s="20">
        <v>0</v>
      </c>
      <c r="L90" s="119">
        <f t="shared" si="2"/>
        <v>1256500</v>
      </c>
    </row>
    <row r="91" spans="1:12">
      <c r="A91" s="8">
        <v>88</v>
      </c>
      <c r="B91" s="1" t="s">
        <v>314</v>
      </c>
      <c r="C91" s="12" t="s">
        <v>26</v>
      </c>
      <c r="D91" s="4" t="s">
        <v>24</v>
      </c>
      <c r="E91" s="4">
        <v>0</v>
      </c>
      <c r="F91" s="4">
        <v>0</v>
      </c>
      <c r="G91" s="20">
        <v>0</v>
      </c>
      <c r="H91" s="20">
        <v>0</v>
      </c>
      <c r="I91" s="20">
        <f>310500+309000+305500+307500+203500</f>
        <v>1436000</v>
      </c>
      <c r="J91" s="20">
        <v>0</v>
      </c>
      <c r="K91" s="20">
        <v>0</v>
      </c>
      <c r="L91" s="119">
        <f t="shared" si="2"/>
        <v>1436000</v>
      </c>
    </row>
    <row r="92" spans="1:12">
      <c r="A92" s="8">
        <v>89</v>
      </c>
      <c r="B92" s="1" t="s">
        <v>315</v>
      </c>
      <c r="C92" s="12" t="s">
        <v>316</v>
      </c>
      <c r="D92" s="4" t="s">
        <v>24</v>
      </c>
      <c r="E92" s="4">
        <v>0</v>
      </c>
      <c r="F92" s="4">
        <v>0</v>
      </c>
      <c r="G92" s="20">
        <v>0</v>
      </c>
      <c r="H92" s="20">
        <v>0</v>
      </c>
      <c r="I92" s="20">
        <f>56000+175000+189000+189000+126000</f>
        <v>735000</v>
      </c>
      <c r="J92" s="20">
        <v>0</v>
      </c>
      <c r="K92" s="20">
        <v>0</v>
      </c>
      <c r="L92" s="119">
        <f t="shared" si="2"/>
        <v>735000</v>
      </c>
    </row>
    <row r="93" spans="1:12">
      <c r="A93" s="8">
        <v>90</v>
      </c>
      <c r="B93" s="1" t="s">
        <v>321</v>
      </c>
      <c r="C93" s="12" t="s">
        <v>313</v>
      </c>
      <c r="D93" s="4" t="s">
        <v>24</v>
      </c>
      <c r="E93" s="4">
        <v>0</v>
      </c>
      <c r="F93" s="4">
        <v>0</v>
      </c>
      <c r="G93" s="20">
        <v>0</v>
      </c>
      <c r="H93" s="20">
        <v>0</v>
      </c>
      <c r="I93" s="20">
        <f>105000+315000+315000+315000+210000</f>
        <v>1260000</v>
      </c>
      <c r="J93" s="20">
        <v>0</v>
      </c>
      <c r="K93" s="20">
        <v>0</v>
      </c>
      <c r="L93" s="119">
        <f t="shared" si="2"/>
        <v>1260000</v>
      </c>
    </row>
    <row r="94" spans="1:12">
      <c r="A94" s="8">
        <v>91</v>
      </c>
      <c r="B94" s="1" t="s">
        <v>325</v>
      </c>
      <c r="C94" s="61" t="s">
        <v>326</v>
      </c>
      <c r="D94" s="4" t="s">
        <v>24</v>
      </c>
      <c r="E94" s="4">
        <v>0</v>
      </c>
      <c r="F94" s="4">
        <v>0</v>
      </c>
      <c r="G94" s="73">
        <f>1125000+225000+225000+150000</f>
        <v>1725000</v>
      </c>
      <c r="H94" s="20">
        <v>0</v>
      </c>
      <c r="I94" s="20">
        <v>0</v>
      </c>
      <c r="J94" s="20">
        <v>0</v>
      </c>
      <c r="K94" s="20">
        <v>0</v>
      </c>
      <c r="L94" s="119">
        <f t="shared" si="2"/>
        <v>1725000</v>
      </c>
    </row>
    <row r="95" spans="1:12">
      <c r="A95" s="8">
        <v>92</v>
      </c>
      <c r="B95" s="1" t="s">
        <v>327</v>
      </c>
      <c r="C95" s="12" t="s">
        <v>313</v>
      </c>
      <c r="D95" s="4" t="s">
        <v>24</v>
      </c>
      <c r="E95" s="4">
        <v>0</v>
      </c>
      <c r="F95" s="4">
        <v>0</v>
      </c>
      <c r="G95" s="20">
        <v>0</v>
      </c>
      <c r="H95" s="20">
        <v>0</v>
      </c>
      <c r="I95" s="20">
        <f>294000+315000+315000+315000+210000</f>
        <v>1449000</v>
      </c>
      <c r="J95" s="20">
        <v>0</v>
      </c>
      <c r="K95" s="20">
        <v>0</v>
      </c>
      <c r="L95" s="119">
        <f t="shared" si="2"/>
        <v>1449000</v>
      </c>
    </row>
    <row r="96" spans="1:12">
      <c r="A96" s="8">
        <v>93</v>
      </c>
      <c r="B96" s="1" t="s">
        <v>329</v>
      </c>
      <c r="C96" s="12" t="s">
        <v>330</v>
      </c>
      <c r="D96" s="4" t="s">
        <v>24</v>
      </c>
      <c r="E96" s="4">
        <v>0</v>
      </c>
      <c r="F96" s="4">
        <v>0</v>
      </c>
      <c r="G96" s="32">
        <v>0</v>
      </c>
      <c r="H96" s="20">
        <v>0</v>
      </c>
      <c r="I96" s="20">
        <v>0</v>
      </c>
      <c r="J96" s="20">
        <f>300000+300000+300000+300000+200000</f>
        <v>1400000</v>
      </c>
      <c r="K96" s="20">
        <v>0</v>
      </c>
      <c r="L96" s="119">
        <f t="shared" si="2"/>
        <v>1400000</v>
      </c>
    </row>
    <row r="97" spans="1:12" ht="31.5">
      <c r="A97" s="8">
        <v>94</v>
      </c>
      <c r="B97" s="1" t="s">
        <v>331</v>
      </c>
      <c r="C97" s="5" t="s">
        <v>421</v>
      </c>
      <c r="D97" s="4" t="s">
        <v>24</v>
      </c>
      <c r="E97" s="4">
        <v>0</v>
      </c>
      <c r="F97" s="4">
        <v>0</v>
      </c>
      <c r="G97" s="20">
        <v>0</v>
      </c>
      <c r="H97" s="20">
        <f>70000+210000+210000+210000+140000</f>
        <v>840000</v>
      </c>
      <c r="I97" s="20">
        <v>0</v>
      </c>
      <c r="J97" s="20">
        <v>0</v>
      </c>
      <c r="K97" s="20">
        <v>0</v>
      </c>
      <c r="L97" s="119">
        <f t="shared" si="2"/>
        <v>840000</v>
      </c>
    </row>
    <row r="98" spans="1:12" ht="31.5">
      <c r="A98" s="8">
        <v>95</v>
      </c>
      <c r="B98" s="1" t="s">
        <v>471</v>
      </c>
      <c r="C98" s="4" t="s">
        <v>26</v>
      </c>
      <c r="D98" s="4" t="s">
        <v>24</v>
      </c>
      <c r="E98" s="4">
        <v>0</v>
      </c>
      <c r="F98" s="4">
        <v>0</v>
      </c>
      <c r="G98" s="20">
        <v>0</v>
      </c>
      <c r="H98" s="20">
        <v>0</v>
      </c>
      <c r="I98" s="20">
        <f>101000+301500+200000+100500+300000+201000</f>
        <v>1204000</v>
      </c>
      <c r="J98" s="20">
        <v>0</v>
      </c>
      <c r="K98" s="20">
        <v>0</v>
      </c>
      <c r="L98" s="119">
        <f t="shared" si="2"/>
        <v>1204000</v>
      </c>
    </row>
    <row r="99" spans="1:12">
      <c r="A99" s="8">
        <v>96</v>
      </c>
      <c r="B99" s="1" t="s">
        <v>339</v>
      </c>
      <c r="C99" s="4" t="s">
        <v>335</v>
      </c>
      <c r="D99" s="4" t="s">
        <v>24</v>
      </c>
      <c r="E99" s="4">
        <f>210000+210000+210000+210000+140000</f>
        <v>980000</v>
      </c>
      <c r="F99" s="4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119">
        <f t="shared" si="2"/>
        <v>980000</v>
      </c>
    </row>
    <row r="100" spans="1:12">
      <c r="A100" s="8">
        <v>97</v>
      </c>
      <c r="B100" s="1" t="s">
        <v>340</v>
      </c>
      <c r="C100" s="4" t="s">
        <v>341</v>
      </c>
      <c r="D100" s="4" t="s">
        <v>24</v>
      </c>
      <c r="E100" s="4">
        <v>0</v>
      </c>
      <c r="F100" s="4">
        <f>225000+225000+225000+225000+150000</f>
        <v>1050000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119">
        <f t="shared" ref="L100:L108" si="3">E100+F100+G100+H100+I100+J100+K100</f>
        <v>1050000</v>
      </c>
    </row>
    <row r="101" spans="1:12" ht="31.5">
      <c r="A101" s="8">
        <v>98</v>
      </c>
      <c r="B101" s="1" t="s">
        <v>342</v>
      </c>
      <c r="C101" s="4" t="s">
        <v>343</v>
      </c>
      <c r="D101" s="4" t="s">
        <v>24</v>
      </c>
      <c r="E101" s="4">
        <v>0</v>
      </c>
      <c r="F101" s="4">
        <f>225000+225000+225000+225000+150000</f>
        <v>1050000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119">
        <f t="shared" si="3"/>
        <v>1050000</v>
      </c>
    </row>
    <row r="102" spans="1:12">
      <c r="A102" s="8">
        <v>99</v>
      </c>
      <c r="B102" s="1" t="s">
        <v>346</v>
      </c>
      <c r="C102" s="4" t="s">
        <v>347</v>
      </c>
      <c r="D102" s="4" t="s">
        <v>24</v>
      </c>
      <c r="E102" s="4">
        <v>0</v>
      </c>
      <c r="F102" s="4">
        <v>0</v>
      </c>
      <c r="G102" s="32">
        <v>0</v>
      </c>
      <c r="H102" s="20">
        <v>0</v>
      </c>
      <c r="I102" s="20">
        <v>0</v>
      </c>
      <c r="J102" s="20">
        <f>300000+300000+280000+285000+190000</f>
        <v>1355000</v>
      </c>
      <c r="K102" s="20">
        <v>0</v>
      </c>
      <c r="L102" s="119">
        <f t="shared" si="3"/>
        <v>1355000</v>
      </c>
    </row>
    <row r="103" spans="1:12">
      <c r="A103" s="8">
        <v>100</v>
      </c>
      <c r="B103" s="63" t="s">
        <v>349</v>
      </c>
      <c r="C103" s="5" t="s">
        <v>423</v>
      </c>
      <c r="D103" s="4" t="s">
        <v>24</v>
      </c>
      <c r="E103" s="4">
        <v>0</v>
      </c>
      <c r="F103" s="4">
        <v>0</v>
      </c>
      <c r="G103" s="20">
        <v>0</v>
      </c>
      <c r="H103" s="20">
        <v>742000</v>
      </c>
      <c r="I103" s="20">
        <v>0</v>
      </c>
      <c r="J103" s="20">
        <v>0</v>
      </c>
      <c r="K103" s="20">
        <v>0</v>
      </c>
      <c r="L103" s="119">
        <f t="shared" si="3"/>
        <v>742000</v>
      </c>
    </row>
    <row r="104" spans="1:12" ht="31.5">
      <c r="A104" s="8">
        <v>101</v>
      </c>
      <c r="B104" s="1" t="s">
        <v>351</v>
      </c>
      <c r="C104" s="5" t="s">
        <v>424</v>
      </c>
      <c r="D104" s="4" t="s">
        <v>24</v>
      </c>
      <c r="E104" s="4">
        <v>0</v>
      </c>
      <c r="F104" s="4">
        <v>0</v>
      </c>
      <c r="G104" s="20">
        <v>0</v>
      </c>
      <c r="H104" s="20">
        <f>140000+210000+171500+210000+140000</f>
        <v>871500</v>
      </c>
      <c r="I104" s="20">
        <v>0</v>
      </c>
      <c r="J104" s="20">
        <v>0</v>
      </c>
      <c r="K104" s="20">
        <v>0</v>
      </c>
      <c r="L104" s="119">
        <f t="shared" si="3"/>
        <v>871500</v>
      </c>
    </row>
    <row r="105" spans="1:12" ht="31.5">
      <c r="A105" s="8">
        <v>102</v>
      </c>
      <c r="B105" s="1" t="s">
        <v>353</v>
      </c>
      <c r="C105" s="46" t="s">
        <v>354</v>
      </c>
      <c r="D105" s="4" t="s">
        <v>24</v>
      </c>
      <c r="E105" s="4">
        <v>0</v>
      </c>
      <c r="F105" s="4">
        <v>0</v>
      </c>
      <c r="G105" s="32">
        <v>0</v>
      </c>
      <c r="H105" s="20">
        <f>140000+210000+210000+210000+140000</f>
        <v>910000</v>
      </c>
      <c r="I105" s="20">
        <v>0</v>
      </c>
      <c r="J105" s="20">
        <v>0</v>
      </c>
      <c r="K105" s="20">
        <v>0</v>
      </c>
      <c r="L105" s="119">
        <f t="shared" si="3"/>
        <v>910000</v>
      </c>
    </row>
    <row r="106" spans="1:12" ht="31.5">
      <c r="A106" s="8">
        <v>103</v>
      </c>
      <c r="B106" s="1" t="s">
        <v>357</v>
      </c>
      <c r="C106" s="12" t="s">
        <v>358</v>
      </c>
      <c r="D106" s="4" t="s">
        <v>24</v>
      </c>
      <c r="E106" s="4">
        <v>0</v>
      </c>
      <c r="F106" s="4">
        <f>225000+225000+220000+225000+150000</f>
        <v>1045000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119">
        <f t="shared" si="3"/>
        <v>1045000</v>
      </c>
    </row>
    <row r="107" spans="1:12">
      <c r="A107" s="8">
        <v>104</v>
      </c>
      <c r="B107" s="42" t="s">
        <v>359</v>
      </c>
      <c r="C107" s="64" t="s">
        <v>360</v>
      </c>
      <c r="D107" s="4" t="s">
        <v>24</v>
      </c>
      <c r="E107" s="4">
        <v>0</v>
      </c>
      <c r="F107" s="4">
        <v>0</v>
      </c>
      <c r="G107" s="32">
        <f>225000+75000+120000+120000+120000+40000</f>
        <v>700000</v>
      </c>
      <c r="H107" s="20">
        <v>0</v>
      </c>
      <c r="I107" s="20">
        <v>0</v>
      </c>
      <c r="J107" s="20">
        <v>0</v>
      </c>
      <c r="K107" s="20">
        <v>0</v>
      </c>
      <c r="L107" s="119">
        <f t="shared" si="3"/>
        <v>700000</v>
      </c>
    </row>
    <row r="108" spans="1:12" ht="18.75">
      <c r="A108" s="8">
        <v>105</v>
      </c>
      <c r="B108" s="1" t="s">
        <v>361</v>
      </c>
      <c r="C108" s="91" t="s">
        <v>425</v>
      </c>
      <c r="D108" s="4" t="s">
        <v>24</v>
      </c>
      <c r="E108" s="4">
        <v>0</v>
      </c>
      <c r="F108" s="4">
        <v>0</v>
      </c>
      <c r="G108" s="20">
        <v>0</v>
      </c>
      <c r="H108" s="20">
        <f>70000+207000+208500+208500+139000</f>
        <v>833000</v>
      </c>
      <c r="I108" s="20">
        <v>0</v>
      </c>
      <c r="J108" s="20">
        <v>0</v>
      </c>
      <c r="K108" s="20">
        <v>0</v>
      </c>
      <c r="L108" s="119">
        <f t="shared" si="3"/>
        <v>833000</v>
      </c>
    </row>
    <row r="109" spans="1:12" ht="31.5">
      <c r="A109" s="8">
        <v>106</v>
      </c>
      <c r="B109" s="1" t="s">
        <v>8</v>
      </c>
      <c r="C109" s="5" t="s">
        <v>426</v>
      </c>
      <c r="D109" s="4" t="s">
        <v>62</v>
      </c>
      <c r="E109" s="4">
        <v>0</v>
      </c>
      <c r="F109" s="4">
        <f>1050000+75000+225000+225000+150000</f>
        <v>1725000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119">
        <f>1050000+75000</f>
        <v>1125000</v>
      </c>
    </row>
    <row r="110" spans="1:12">
      <c r="A110" s="8">
        <v>107</v>
      </c>
      <c r="B110" s="1" t="s">
        <v>0</v>
      </c>
      <c r="C110" s="4" t="s">
        <v>22</v>
      </c>
      <c r="D110" s="4" t="s">
        <v>23</v>
      </c>
      <c r="E110" s="4">
        <f>828000+140000+420000+140000</f>
        <v>1528000</v>
      </c>
      <c r="F110" s="4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119">
        <f t="shared" ref="L110:L120" si="4">E110+F110+G110+H110+I110+J110+K110</f>
        <v>1528000</v>
      </c>
    </row>
    <row r="111" spans="1:12" ht="31.5">
      <c r="A111" s="8">
        <v>108</v>
      </c>
      <c r="B111" s="1" t="s">
        <v>364</v>
      </c>
      <c r="C111" s="4" t="s">
        <v>365</v>
      </c>
      <c r="D111" s="4" t="s">
        <v>23</v>
      </c>
      <c r="E111" s="4">
        <v>0</v>
      </c>
      <c r="F111" s="4">
        <v>0</v>
      </c>
      <c r="G111" s="20">
        <v>0</v>
      </c>
      <c r="H111" s="20">
        <v>0</v>
      </c>
      <c r="I111" s="20">
        <f>105000+315000+315000+315000+210000</f>
        <v>1260000</v>
      </c>
      <c r="J111" s="20">
        <v>0</v>
      </c>
      <c r="K111" s="20">
        <v>0</v>
      </c>
      <c r="L111" s="119">
        <f t="shared" si="4"/>
        <v>1260000</v>
      </c>
    </row>
    <row r="112" spans="1:12">
      <c r="A112" s="8">
        <v>109</v>
      </c>
      <c r="B112" s="1" t="s">
        <v>368</v>
      </c>
      <c r="C112" s="4" t="s">
        <v>369</v>
      </c>
      <c r="D112" s="4" t="s">
        <v>23</v>
      </c>
      <c r="E112" s="4">
        <v>0</v>
      </c>
      <c r="F112" s="4">
        <v>0</v>
      </c>
      <c r="G112" s="20">
        <v>0</v>
      </c>
      <c r="H112" s="20">
        <v>0</v>
      </c>
      <c r="I112" s="20">
        <f>945000+315000+315000+315000+210000</f>
        <v>2100000</v>
      </c>
      <c r="J112" s="20">
        <v>0</v>
      </c>
      <c r="K112" s="20">
        <v>0</v>
      </c>
      <c r="L112" s="119">
        <f t="shared" si="4"/>
        <v>2100000</v>
      </c>
    </row>
    <row r="113" spans="1:12">
      <c r="A113" s="8">
        <v>110</v>
      </c>
      <c r="B113" s="1" t="s">
        <v>370</v>
      </c>
      <c r="C113" s="4" t="s">
        <v>371</v>
      </c>
      <c r="D113" s="4" t="s">
        <v>23</v>
      </c>
      <c r="E113" s="4">
        <v>0</v>
      </c>
      <c r="F113" s="4">
        <v>0</v>
      </c>
      <c r="G113" s="20">
        <v>0</v>
      </c>
      <c r="H113" s="20">
        <v>0</v>
      </c>
      <c r="I113" s="20">
        <f>283500+273000+291500+293500+196000</f>
        <v>1337500</v>
      </c>
      <c r="J113" s="20">
        <v>0</v>
      </c>
      <c r="K113" s="20">
        <v>0</v>
      </c>
      <c r="L113" s="119">
        <f t="shared" si="4"/>
        <v>1337500</v>
      </c>
    </row>
    <row r="114" spans="1:12">
      <c r="A114" s="8">
        <v>111</v>
      </c>
      <c r="B114" s="1" t="s">
        <v>372</v>
      </c>
      <c r="C114" s="4" t="s">
        <v>371</v>
      </c>
      <c r="D114" s="4" t="s">
        <v>23</v>
      </c>
      <c r="E114" s="4">
        <v>0</v>
      </c>
      <c r="F114" s="4">
        <v>0</v>
      </c>
      <c r="G114" s="20">
        <v>0</v>
      </c>
      <c r="H114" s="20">
        <v>630000</v>
      </c>
      <c r="I114" s="20">
        <f>850500+196000</f>
        <v>1046500</v>
      </c>
      <c r="J114" s="20">
        <v>0</v>
      </c>
      <c r="K114" s="20">
        <v>0</v>
      </c>
      <c r="L114" s="119">
        <f t="shared" si="4"/>
        <v>1676500</v>
      </c>
    </row>
    <row r="115" spans="1:12">
      <c r="A115" s="8">
        <v>112</v>
      </c>
      <c r="B115" s="1" t="s">
        <v>373</v>
      </c>
      <c r="C115" s="4" t="s">
        <v>374</v>
      </c>
      <c r="D115" s="4" t="s">
        <v>23</v>
      </c>
      <c r="E115" s="4">
        <f>181500+186000+186000+186000+121500</f>
        <v>861000</v>
      </c>
      <c r="F115" s="4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119">
        <f t="shared" si="4"/>
        <v>861000</v>
      </c>
    </row>
    <row r="116" spans="1:12">
      <c r="A116" s="8">
        <v>113</v>
      </c>
      <c r="B116" s="1" t="s">
        <v>375</v>
      </c>
      <c r="C116" s="4" t="s">
        <v>376</v>
      </c>
      <c r="D116" s="4" t="s">
        <v>23</v>
      </c>
      <c r="E116" s="4">
        <v>0</v>
      </c>
      <c r="F116" s="4">
        <v>0</v>
      </c>
      <c r="G116" s="20">
        <v>0</v>
      </c>
      <c r="H116" s="20">
        <v>0</v>
      </c>
      <c r="I116" s="20">
        <f>306500+310500+312000+312000+208000</f>
        <v>1449000</v>
      </c>
      <c r="J116" s="20">
        <v>0</v>
      </c>
      <c r="K116" s="20">
        <v>0</v>
      </c>
      <c r="L116" s="119">
        <f t="shared" si="4"/>
        <v>1449000</v>
      </c>
    </row>
    <row r="117" spans="1:12" ht="31.5">
      <c r="A117" s="8">
        <v>114</v>
      </c>
      <c r="B117" s="1" t="s">
        <v>472</v>
      </c>
      <c r="C117" s="4" t="s">
        <v>378</v>
      </c>
      <c r="D117" s="4" t="s">
        <v>23</v>
      </c>
      <c r="E117" s="4">
        <v>0</v>
      </c>
      <c r="F117" s="4">
        <v>0</v>
      </c>
      <c r="G117" s="23">
        <v>0</v>
      </c>
      <c r="H117" s="20">
        <v>0</v>
      </c>
      <c r="I117" s="20">
        <f>525000+315000+315000+315000+210000</f>
        <v>1680000</v>
      </c>
      <c r="J117" s="20">
        <v>0</v>
      </c>
      <c r="K117" s="20">
        <v>0</v>
      </c>
      <c r="L117" s="119">
        <f t="shared" si="4"/>
        <v>1680000</v>
      </c>
    </row>
    <row r="118" spans="1:12">
      <c r="A118" s="8">
        <v>115</v>
      </c>
      <c r="B118" s="40" t="s">
        <v>379</v>
      </c>
      <c r="C118" s="41" t="s">
        <v>380</v>
      </c>
      <c r="D118" s="4" t="s">
        <v>23</v>
      </c>
      <c r="E118" s="4">
        <v>0</v>
      </c>
      <c r="F118" s="4">
        <f>195000+130000+65000+195000+195000+130000</f>
        <v>910000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119">
        <f t="shared" si="4"/>
        <v>910000</v>
      </c>
    </row>
    <row r="119" spans="1:12" ht="31.5">
      <c r="A119" s="8">
        <v>116</v>
      </c>
      <c r="B119" s="1" t="s">
        <v>383</v>
      </c>
      <c r="C119" s="4" t="s">
        <v>380</v>
      </c>
      <c r="D119" s="4" t="s">
        <v>23</v>
      </c>
      <c r="E119" s="4">
        <f>374500+182000+178500+192500+129500</f>
        <v>1057000</v>
      </c>
      <c r="F119" s="4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119">
        <f t="shared" si="4"/>
        <v>1057000</v>
      </c>
    </row>
    <row r="120" spans="1:12" ht="18.75">
      <c r="A120" s="8">
        <v>117</v>
      </c>
      <c r="B120" s="1" t="s">
        <v>384</v>
      </c>
      <c r="C120" s="91" t="s">
        <v>427</v>
      </c>
      <c r="D120" s="4" t="s">
        <v>23</v>
      </c>
      <c r="E120" s="4">
        <v>0</v>
      </c>
      <c r="F120" s="4">
        <v>0</v>
      </c>
      <c r="G120" s="20">
        <v>0</v>
      </c>
      <c r="H120" s="20">
        <f>500500+112000</f>
        <v>612500</v>
      </c>
      <c r="I120" s="20">
        <v>0</v>
      </c>
      <c r="J120" s="20">
        <v>0</v>
      </c>
      <c r="K120" s="20">
        <v>0</v>
      </c>
      <c r="L120" s="119">
        <f t="shared" si="4"/>
        <v>612500</v>
      </c>
    </row>
    <row r="121" spans="1:12" s="127" customFormat="1" ht="16.5" thickBot="1">
      <c r="A121" s="112"/>
      <c r="B121" s="113" t="s">
        <v>63</v>
      </c>
      <c r="C121" s="114"/>
      <c r="D121" s="114"/>
      <c r="E121" s="114">
        <f>SUM(E4:E120)</f>
        <v>12376000</v>
      </c>
      <c r="F121" s="114">
        <f t="shared" ref="F121:L121" si="5">SUM(F4:F120)</f>
        <v>13675000</v>
      </c>
      <c r="G121" s="114">
        <f t="shared" si="5"/>
        <v>7805000</v>
      </c>
      <c r="H121" s="114">
        <f t="shared" si="5"/>
        <v>19982000</v>
      </c>
      <c r="I121" s="114">
        <f t="shared" si="5"/>
        <v>42111500</v>
      </c>
      <c r="J121" s="114">
        <f t="shared" si="5"/>
        <v>13055000</v>
      </c>
      <c r="K121" s="114">
        <f t="shared" si="5"/>
        <v>0</v>
      </c>
      <c r="L121" s="114">
        <f t="shared" si="5"/>
        <v>108404500</v>
      </c>
    </row>
    <row r="122" spans="1:12" ht="16.5" thickTop="1"/>
    <row r="123" spans="1:12">
      <c r="A123" s="3"/>
    </row>
  </sheetData>
  <autoFilter ref="A3:AL123"/>
  <mergeCells count="3">
    <mergeCell ref="A2:D2"/>
    <mergeCell ref="A1:L1"/>
    <mergeCell ref="E2:L2"/>
  </mergeCells>
  <conditionalFormatting sqref="B40">
    <cfRule type="duplicateValues" dxfId="142" priority="7"/>
  </conditionalFormatting>
  <conditionalFormatting sqref="A3">
    <cfRule type="duplicateValues" dxfId="141" priority="6"/>
  </conditionalFormatting>
  <conditionalFormatting sqref="B122:D1048576 C121:D121 B4:B11 B41 B25:B39 B69:B71 B75:B121 B3:D3 B13:B23 B44:B67">
    <cfRule type="duplicateValues" dxfId="140" priority="5"/>
  </conditionalFormatting>
  <conditionalFormatting sqref="B121:D1048576">
    <cfRule type="duplicateValues" dxfId="139" priority="4"/>
  </conditionalFormatting>
  <conditionalFormatting sqref="C121:D121">
    <cfRule type="duplicateValues" dxfId="138" priority="3"/>
  </conditionalFormatting>
  <conditionalFormatting sqref="B121:D121">
    <cfRule type="duplicateValues" dxfId="137" priority="2"/>
  </conditionalFormatting>
  <conditionalFormatting sqref="B3:D3">
    <cfRule type="duplicateValues" dxfId="136" priority="1"/>
  </conditionalFormatting>
  <pageMargins left="0.63" right="0.25" top="0.28000000000000003" bottom="0.28000000000000003" header="0.2" footer="0.21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29"/>
  <sheetViews>
    <sheetView workbookViewId="0">
      <pane xSplit="4" ySplit="1" topLeftCell="E57" activePane="bottomRight" state="frozen"/>
      <selection pane="topRight" activeCell="E1" sqref="E1"/>
      <selection pane="bottomLeft" activeCell="A4" sqref="A4"/>
      <selection pane="bottomRight" activeCell="E67" sqref="E67"/>
    </sheetView>
  </sheetViews>
  <sheetFormatPr defaultRowHeight="15.75"/>
  <cols>
    <col min="1" max="1" width="7.28515625" style="74" customWidth="1"/>
    <col min="2" max="2" width="41.42578125" style="17" customWidth="1"/>
    <col min="3" max="3" width="16.140625" style="17" customWidth="1"/>
    <col min="4" max="4" width="19.140625" style="17" customWidth="1"/>
    <col min="5" max="5" width="14.7109375" style="14" customWidth="1"/>
    <col min="6" max="6" width="16.28515625" style="14" customWidth="1"/>
    <col min="7" max="7" width="15.7109375" style="14" customWidth="1"/>
    <col min="8" max="8" width="12.5703125" style="14" customWidth="1"/>
    <col min="9" max="9" width="14.85546875" style="14" customWidth="1"/>
    <col min="10" max="10" width="15" style="14" customWidth="1"/>
    <col min="11" max="11" width="13.28515625" style="14" bestFit="1" customWidth="1"/>
    <col min="12" max="12" width="15.85546875" style="96" customWidth="1"/>
    <col min="13" max="14" width="9.140625" style="3" customWidth="1"/>
    <col min="15" max="16384" width="9.140625" style="3"/>
  </cols>
  <sheetData>
    <row r="1" spans="1:38" s="6" customFormat="1" ht="23.25">
      <c r="A1" s="179" t="s">
        <v>489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6" customFormat="1" ht="23.25">
      <c r="A2" s="180" t="s">
        <v>455</v>
      </c>
      <c r="B2" s="180"/>
      <c r="C2" s="180"/>
      <c r="D2" s="180"/>
      <c r="E2" s="180" t="s">
        <v>484</v>
      </c>
      <c r="F2" s="180"/>
      <c r="G2" s="180"/>
      <c r="H2" s="180"/>
      <c r="I2" s="180"/>
      <c r="J2" s="180"/>
      <c r="K2" s="180"/>
      <c r="L2" s="180"/>
    </row>
    <row r="3" spans="1:38" s="7" customFormat="1" ht="31.5">
      <c r="A3" s="128" t="s">
        <v>47</v>
      </c>
      <c r="B3" s="128" t="s">
        <v>13</v>
      </c>
      <c r="C3" s="128" t="s">
        <v>46</v>
      </c>
      <c r="D3" s="128" t="s">
        <v>16</v>
      </c>
      <c r="E3" s="128" t="s">
        <v>438</v>
      </c>
      <c r="F3" s="128" t="s">
        <v>452</v>
      </c>
      <c r="G3" s="128" t="s">
        <v>439</v>
      </c>
      <c r="H3" s="128" t="s">
        <v>440</v>
      </c>
      <c r="I3" s="128" t="s">
        <v>453</v>
      </c>
      <c r="J3" s="128" t="s">
        <v>454</v>
      </c>
      <c r="K3" s="128" t="s">
        <v>441</v>
      </c>
      <c r="L3" s="128" t="s">
        <v>407</v>
      </c>
    </row>
    <row r="4" spans="1:38">
      <c r="A4" s="8">
        <v>1</v>
      </c>
      <c r="B4" s="1" t="s">
        <v>66</v>
      </c>
      <c r="C4" s="4" t="s">
        <v>67</v>
      </c>
      <c r="D4" s="4" t="s">
        <v>29</v>
      </c>
      <c r="E4" s="4">
        <v>0</v>
      </c>
      <c r="F4" s="4">
        <v>0</v>
      </c>
      <c r="G4" s="4">
        <v>0</v>
      </c>
      <c r="H4" s="20">
        <v>0</v>
      </c>
      <c r="I4" s="20">
        <f>1309000+312000+156000</f>
        <v>1777000</v>
      </c>
      <c r="J4" s="20">
        <v>0</v>
      </c>
      <c r="K4" s="20">
        <v>0</v>
      </c>
      <c r="L4" s="94">
        <f t="shared" ref="L4:L35" si="0">E4+F4+G4+H4+I4+J4+K4</f>
        <v>1777000</v>
      </c>
    </row>
    <row r="5" spans="1:38">
      <c r="A5" s="8">
        <v>2</v>
      </c>
      <c r="B5" s="1" t="s">
        <v>68</v>
      </c>
      <c r="C5" s="4" t="s">
        <v>39</v>
      </c>
      <c r="D5" s="4" t="s">
        <v>29</v>
      </c>
      <c r="E5" s="4">
        <v>0</v>
      </c>
      <c r="F5" s="4">
        <v>0</v>
      </c>
      <c r="G5" s="4">
        <v>0</v>
      </c>
      <c r="H5" s="20">
        <v>0</v>
      </c>
      <c r="I5" s="20">
        <f>1294254+299658+148627</f>
        <v>1742539</v>
      </c>
      <c r="J5" s="20">
        <v>0</v>
      </c>
      <c r="K5" s="20">
        <v>0</v>
      </c>
      <c r="L5" s="94">
        <f t="shared" si="0"/>
        <v>1742539</v>
      </c>
    </row>
    <row r="6" spans="1:38">
      <c r="A6" s="8">
        <v>3</v>
      </c>
      <c r="B6" s="1" t="s">
        <v>69</v>
      </c>
      <c r="C6" s="4" t="s">
        <v>67</v>
      </c>
      <c r="D6" s="4" t="s">
        <v>29</v>
      </c>
      <c r="E6" s="4">
        <v>0</v>
      </c>
      <c r="F6" s="4">
        <v>0</v>
      </c>
      <c r="G6" s="4">
        <v>0</v>
      </c>
      <c r="H6" s="20">
        <v>0</v>
      </c>
      <c r="I6" s="20">
        <f>1362660+293840+148490</f>
        <v>1804990</v>
      </c>
      <c r="J6" s="20">
        <v>0</v>
      </c>
      <c r="K6" s="20">
        <v>0</v>
      </c>
      <c r="L6" s="94">
        <f t="shared" si="0"/>
        <v>1804990</v>
      </c>
    </row>
    <row r="7" spans="1:38">
      <c r="A7" s="8">
        <v>4</v>
      </c>
      <c r="B7" s="1" t="s">
        <v>70</v>
      </c>
      <c r="C7" s="4" t="s">
        <v>71</v>
      </c>
      <c r="D7" s="4" t="s">
        <v>29</v>
      </c>
      <c r="E7" s="4">
        <v>0</v>
      </c>
      <c r="F7" s="4">
        <v>0</v>
      </c>
      <c r="G7" s="11">
        <v>0</v>
      </c>
      <c r="H7" s="20">
        <v>0</v>
      </c>
      <c r="I7" s="20">
        <f>1290400+132960+144000+144000</f>
        <v>1711360</v>
      </c>
      <c r="J7" s="20">
        <v>0</v>
      </c>
      <c r="K7" s="20">
        <v>0</v>
      </c>
      <c r="L7" s="94">
        <f t="shared" si="0"/>
        <v>1711360</v>
      </c>
    </row>
    <row r="8" spans="1:38">
      <c r="A8" s="8">
        <v>5</v>
      </c>
      <c r="B8" s="1" t="s">
        <v>11</v>
      </c>
      <c r="C8" s="4" t="s">
        <v>39</v>
      </c>
      <c r="D8" s="4" t="s">
        <v>29</v>
      </c>
      <c r="E8" s="4">
        <v>0</v>
      </c>
      <c r="F8" s="4">
        <v>0</v>
      </c>
      <c r="G8" s="11">
        <v>0</v>
      </c>
      <c r="H8" s="20">
        <v>0</v>
      </c>
      <c r="I8" s="20">
        <v>0</v>
      </c>
      <c r="J8" s="20">
        <f>1621500+510000</f>
        <v>2131500</v>
      </c>
      <c r="K8" s="20">
        <v>0</v>
      </c>
      <c r="L8" s="94">
        <f t="shared" si="0"/>
        <v>2131500</v>
      </c>
    </row>
    <row r="9" spans="1:38">
      <c r="A9" s="8">
        <v>6</v>
      </c>
      <c r="B9" s="1" t="s">
        <v>72</v>
      </c>
      <c r="C9" s="33" t="s">
        <v>73</v>
      </c>
      <c r="D9" s="4" t="s">
        <v>29</v>
      </c>
      <c r="E9" s="4">
        <v>0</v>
      </c>
      <c r="F9" s="4">
        <v>0</v>
      </c>
      <c r="G9" s="4">
        <v>0</v>
      </c>
      <c r="H9" s="20">
        <f>648550+130900+65450</f>
        <v>844900</v>
      </c>
      <c r="I9" s="20">
        <v>0</v>
      </c>
      <c r="J9" s="20">
        <v>0</v>
      </c>
      <c r="K9" s="20">
        <v>0</v>
      </c>
      <c r="L9" s="94">
        <f t="shared" si="0"/>
        <v>844900</v>
      </c>
    </row>
    <row r="10" spans="1:38">
      <c r="A10" s="8">
        <v>7</v>
      </c>
      <c r="B10" s="1" t="s">
        <v>74</v>
      </c>
      <c r="C10" s="4" t="s">
        <v>75</v>
      </c>
      <c r="D10" s="4" t="s">
        <v>29</v>
      </c>
      <c r="E10" s="4">
        <v>0</v>
      </c>
      <c r="F10" s="4">
        <v>0</v>
      </c>
      <c r="G10" s="4">
        <v>0</v>
      </c>
      <c r="H10" s="20">
        <v>0</v>
      </c>
      <c r="I10" s="20">
        <f>609000+890570+129000</f>
        <v>1628570</v>
      </c>
      <c r="J10" s="20">
        <v>0</v>
      </c>
      <c r="K10" s="20">
        <v>0</v>
      </c>
      <c r="L10" s="94">
        <f t="shared" si="0"/>
        <v>1628570</v>
      </c>
    </row>
    <row r="11" spans="1:38">
      <c r="A11" s="8">
        <v>8</v>
      </c>
      <c r="B11" s="1" t="s">
        <v>76</v>
      </c>
      <c r="C11" s="5" t="s">
        <v>67</v>
      </c>
      <c r="D11" s="4" t="s">
        <v>29</v>
      </c>
      <c r="E11" s="4">
        <v>0</v>
      </c>
      <c r="F11" s="4">
        <v>0</v>
      </c>
      <c r="G11" s="4">
        <v>0</v>
      </c>
      <c r="H11" s="20">
        <f>921315+251452+126792</f>
        <v>1299559</v>
      </c>
      <c r="I11" s="20">
        <v>0</v>
      </c>
      <c r="J11" s="20">
        <v>0</v>
      </c>
      <c r="K11" s="20">
        <v>0</v>
      </c>
      <c r="L11" s="94">
        <f t="shared" si="0"/>
        <v>1299559</v>
      </c>
    </row>
    <row r="12" spans="1:38">
      <c r="A12" s="8">
        <v>9</v>
      </c>
      <c r="B12" s="1" t="s">
        <v>77</v>
      </c>
      <c r="C12" s="4" t="s">
        <v>78</v>
      </c>
      <c r="D12" s="4" t="s">
        <v>29</v>
      </c>
      <c r="E12" s="4">
        <v>0</v>
      </c>
      <c r="F12" s="4">
        <f>1425000+450000</f>
        <v>1875000</v>
      </c>
      <c r="G12" s="4">
        <v>0</v>
      </c>
      <c r="H12" s="20">
        <v>0</v>
      </c>
      <c r="I12" s="20">
        <v>0</v>
      </c>
      <c r="J12" s="20">
        <v>0</v>
      </c>
      <c r="K12" s="20">
        <v>0</v>
      </c>
      <c r="L12" s="94">
        <f t="shared" si="0"/>
        <v>1875000</v>
      </c>
    </row>
    <row r="13" spans="1:38" ht="31.5">
      <c r="A13" s="8">
        <v>10</v>
      </c>
      <c r="B13" s="1" t="s">
        <v>79</v>
      </c>
      <c r="C13" s="4" t="s">
        <v>80</v>
      </c>
      <c r="D13" s="4" t="s">
        <v>29</v>
      </c>
      <c r="E13" s="4">
        <v>0</v>
      </c>
      <c r="F13" s="4">
        <v>0</v>
      </c>
      <c r="G13" s="4">
        <v>0</v>
      </c>
      <c r="H13" s="20">
        <v>0</v>
      </c>
      <c r="I13" s="20">
        <f>1421340+306320+156000</f>
        <v>1883660</v>
      </c>
      <c r="J13" s="20">
        <v>0</v>
      </c>
      <c r="K13" s="20">
        <v>0</v>
      </c>
      <c r="L13" s="94">
        <f t="shared" si="0"/>
        <v>1883660</v>
      </c>
    </row>
    <row r="14" spans="1:38">
      <c r="A14" s="8">
        <v>11</v>
      </c>
      <c r="B14" s="1" t="s">
        <v>81</v>
      </c>
      <c r="C14" s="4" t="s">
        <v>82</v>
      </c>
      <c r="D14" s="4" t="s">
        <v>29</v>
      </c>
      <c r="E14" s="4">
        <v>0</v>
      </c>
      <c r="F14" s="4">
        <v>1950000</v>
      </c>
      <c r="G14" s="4">
        <v>0</v>
      </c>
      <c r="H14" s="20">
        <v>0</v>
      </c>
      <c r="I14" s="20">
        <v>0</v>
      </c>
      <c r="J14" s="20">
        <v>0</v>
      </c>
      <c r="K14" s="20">
        <v>0</v>
      </c>
      <c r="L14" s="94">
        <f t="shared" si="0"/>
        <v>1950000</v>
      </c>
    </row>
    <row r="15" spans="1:38">
      <c r="A15" s="8">
        <v>12</v>
      </c>
      <c r="B15" s="1" t="s">
        <v>457</v>
      </c>
      <c r="C15" s="4" t="s">
        <v>458</v>
      </c>
      <c r="D15" s="4" t="s">
        <v>35</v>
      </c>
      <c r="E15" s="4">
        <v>0</v>
      </c>
      <c r="F15" s="4">
        <v>0</v>
      </c>
      <c r="G15" s="4">
        <v>190000</v>
      </c>
      <c r="H15" s="20">
        <v>0</v>
      </c>
      <c r="I15" s="20">
        <v>0</v>
      </c>
      <c r="J15" s="20">
        <v>0</v>
      </c>
      <c r="K15" s="20">
        <v>0</v>
      </c>
      <c r="L15" s="94">
        <f t="shared" si="0"/>
        <v>190000</v>
      </c>
    </row>
    <row r="16" spans="1:38">
      <c r="A16" s="8">
        <v>13</v>
      </c>
      <c r="B16" s="1" t="s">
        <v>84</v>
      </c>
      <c r="C16" s="4" t="s">
        <v>85</v>
      </c>
      <c r="D16" s="4" t="s">
        <v>35</v>
      </c>
      <c r="E16" s="4">
        <f>454100+96000+47000</f>
        <v>597100</v>
      </c>
      <c r="F16" s="4">
        <v>0</v>
      </c>
      <c r="G16" s="4">
        <v>0</v>
      </c>
      <c r="H16" s="20">
        <v>0</v>
      </c>
      <c r="I16" s="20">
        <v>0</v>
      </c>
      <c r="J16" s="20">
        <v>0</v>
      </c>
      <c r="K16" s="20">
        <v>0</v>
      </c>
      <c r="L16" s="94">
        <f t="shared" si="0"/>
        <v>597100</v>
      </c>
    </row>
    <row r="17" spans="1:12">
      <c r="A17" s="8">
        <v>14</v>
      </c>
      <c r="B17" s="100" t="s">
        <v>446</v>
      </c>
      <c r="C17" s="101" t="s">
        <v>447</v>
      </c>
      <c r="D17" s="101" t="s">
        <v>35</v>
      </c>
      <c r="E17" s="4">
        <v>309000</v>
      </c>
      <c r="F17" s="4">
        <v>0</v>
      </c>
      <c r="G17" s="4">
        <v>0</v>
      </c>
      <c r="H17" s="20">
        <v>0</v>
      </c>
      <c r="I17" s="20">
        <v>0</v>
      </c>
      <c r="J17" s="20">
        <v>0</v>
      </c>
      <c r="K17" s="20">
        <v>0</v>
      </c>
      <c r="L17" s="94">
        <f t="shared" si="0"/>
        <v>309000</v>
      </c>
    </row>
    <row r="18" spans="1:12">
      <c r="A18" s="8">
        <v>15</v>
      </c>
      <c r="B18" s="1" t="s">
        <v>7</v>
      </c>
      <c r="C18" s="4" t="s">
        <v>40</v>
      </c>
      <c r="D18" s="4" t="s">
        <v>35</v>
      </c>
      <c r="E18" s="4">
        <f>533300+99000+49500</f>
        <v>681800</v>
      </c>
      <c r="F18" s="4">
        <v>0</v>
      </c>
      <c r="G18" s="4">
        <v>0</v>
      </c>
      <c r="H18" s="20">
        <v>0</v>
      </c>
      <c r="I18" s="20">
        <v>0</v>
      </c>
      <c r="J18" s="20">
        <v>0</v>
      </c>
      <c r="K18" s="20">
        <v>0</v>
      </c>
      <c r="L18" s="94">
        <f t="shared" si="0"/>
        <v>681800</v>
      </c>
    </row>
    <row r="19" spans="1:12" ht="31.5">
      <c r="A19" s="8">
        <v>16</v>
      </c>
      <c r="B19" s="1" t="s">
        <v>87</v>
      </c>
      <c r="C19" s="4" t="s">
        <v>88</v>
      </c>
      <c r="D19" s="4" t="s">
        <v>18</v>
      </c>
      <c r="E19" s="4">
        <v>0</v>
      </c>
      <c r="F19" s="4">
        <v>0</v>
      </c>
      <c r="G19" s="4">
        <v>0</v>
      </c>
      <c r="H19" s="20">
        <v>0</v>
      </c>
      <c r="I19" s="20">
        <f>1698000+309000+156000</f>
        <v>2163000</v>
      </c>
      <c r="J19" s="20">
        <v>0</v>
      </c>
      <c r="K19" s="20">
        <v>0</v>
      </c>
      <c r="L19" s="94">
        <f t="shared" si="0"/>
        <v>2163000</v>
      </c>
    </row>
    <row r="20" spans="1:12">
      <c r="A20" s="8">
        <v>17</v>
      </c>
      <c r="B20" s="1" t="s">
        <v>89</v>
      </c>
      <c r="C20" s="4" t="s">
        <v>90</v>
      </c>
      <c r="D20" s="4" t="s">
        <v>18</v>
      </c>
      <c r="E20" s="4">
        <v>0</v>
      </c>
      <c r="F20" s="4">
        <v>0</v>
      </c>
      <c r="G20" s="4">
        <v>0</v>
      </c>
      <c r="H20" s="20">
        <v>0</v>
      </c>
      <c r="I20" s="20">
        <f>1405000+312000+156000</f>
        <v>1873000</v>
      </c>
      <c r="J20" s="20">
        <v>0</v>
      </c>
      <c r="K20" s="20">
        <v>0</v>
      </c>
      <c r="L20" s="94">
        <f t="shared" si="0"/>
        <v>1873000</v>
      </c>
    </row>
    <row r="21" spans="1:12">
      <c r="A21" s="8">
        <v>18</v>
      </c>
      <c r="B21" s="1" t="s">
        <v>101</v>
      </c>
      <c r="C21" s="4" t="s">
        <v>102</v>
      </c>
      <c r="D21" s="4" t="s">
        <v>31</v>
      </c>
      <c r="E21" s="4">
        <v>220000</v>
      </c>
      <c r="F21" s="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94">
        <f t="shared" si="0"/>
        <v>220000</v>
      </c>
    </row>
    <row r="22" spans="1:12">
      <c r="A22" s="8">
        <v>19</v>
      </c>
      <c r="B22" s="40" t="s">
        <v>112</v>
      </c>
      <c r="C22" s="4" t="s">
        <v>108</v>
      </c>
      <c r="D22" s="4" t="s">
        <v>108</v>
      </c>
      <c r="E22" s="4">
        <v>0</v>
      </c>
      <c r="F22" s="4">
        <v>750000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94">
        <f t="shared" si="0"/>
        <v>750000</v>
      </c>
    </row>
    <row r="23" spans="1:12">
      <c r="A23" s="8">
        <v>20</v>
      </c>
      <c r="B23" s="1" t="s">
        <v>115</v>
      </c>
      <c r="C23" s="4" t="s">
        <v>116</v>
      </c>
      <c r="D23" s="4" t="s">
        <v>108</v>
      </c>
      <c r="E23" s="4">
        <v>0</v>
      </c>
      <c r="F23" s="4">
        <v>0</v>
      </c>
      <c r="G23" s="22">
        <v>0</v>
      </c>
      <c r="H23" s="20">
        <v>0</v>
      </c>
      <c r="I23" s="20">
        <f>961500+122600+122600+122600</f>
        <v>1329300</v>
      </c>
      <c r="J23" s="20">
        <v>0</v>
      </c>
      <c r="K23" s="20">
        <v>0</v>
      </c>
      <c r="L23" s="94">
        <f t="shared" si="0"/>
        <v>1329300</v>
      </c>
    </row>
    <row r="24" spans="1:12">
      <c r="A24" s="8">
        <v>21</v>
      </c>
      <c r="B24" s="1" t="s">
        <v>118</v>
      </c>
      <c r="C24" s="4" t="s">
        <v>108</v>
      </c>
      <c r="D24" s="4" t="s">
        <v>108</v>
      </c>
      <c r="E24" s="4">
        <f>292500+145400+36000</f>
        <v>473900</v>
      </c>
      <c r="F24" s="4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94">
        <f t="shared" si="0"/>
        <v>473900</v>
      </c>
    </row>
    <row r="25" spans="1:12" ht="31.5">
      <c r="A25" s="8">
        <v>22</v>
      </c>
      <c r="B25" s="1" t="s">
        <v>123</v>
      </c>
      <c r="C25" s="4" t="s">
        <v>124</v>
      </c>
      <c r="D25" s="4" t="s">
        <v>20</v>
      </c>
      <c r="E25" s="4">
        <v>0</v>
      </c>
      <c r="F25" s="4">
        <v>0</v>
      </c>
      <c r="G25" s="20">
        <v>0</v>
      </c>
      <c r="H25" s="20">
        <f>491750+123200+61600</f>
        <v>676550</v>
      </c>
      <c r="I25" s="20">
        <v>0</v>
      </c>
      <c r="J25" s="20">
        <v>0</v>
      </c>
      <c r="K25" s="20">
        <v>0</v>
      </c>
      <c r="L25" s="94">
        <f t="shared" si="0"/>
        <v>676550</v>
      </c>
    </row>
    <row r="26" spans="1:12" ht="31.5">
      <c r="A26" s="8">
        <v>23</v>
      </c>
      <c r="B26" s="1" t="s">
        <v>125</v>
      </c>
      <c r="C26" s="4" t="s">
        <v>126</v>
      </c>
      <c r="D26" s="4" t="s">
        <v>20</v>
      </c>
      <c r="E26" s="4">
        <v>0</v>
      </c>
      <c r="F26" s="4">
        <v>0</v>
      </c>
      <c r="G26" s="20">
        <v>0</v>
      </c>
      <c r="H26" s="20">
        <v>0</v>
      </c>
      <c r="I26" s="20">
        <f>941892+217055+109185</f>
        <v>1268132</v>
      </c>
      <c r="J26" s="20">
        <v>0</v>
      </c>
      <c r="K26" s="20">
        <v>0</v>
      </c>
      <c r="L26" s="94">
        <f t="shared" si="0"/>
        <v>1268132</v>
      </c>
    </row>
    <row r="27" spans="1:12" ht="31.5">
      <c r="A27" s="8">
        <v>24</v>
      </c>
      <c r="B27" s="1" t="s">
        <v>131</v>
      </c>
      <c r="C27" s="4" t="s">
        <v>132</v>
      </c>
      <c r="D27" s="4" t="s">
        <v>20</v>
      </c>
      <c r="E27" s="4">
        <v>0</v>
      </c>
      <c r="F27" s="4">
        <v>0</v>
      </c>
      <c r="G27" s="20">
        <v>0</v>
      </c>
      <c r="H27" s="20">
        <v>0</v>
      </c>
      <c r="I27" s="20">
        <f>707200+202800+104000</f>
        <v>1014000</v>
      </c>
      <c r="J27" s="20">
        <v>0</v>
      </c>
      <c r="K27" s="20">
        <v>0</v>
      </c>
      <c r="L27" s="94">
        <f t="shared" si="0"/>
        <v>1014000</v>
      </c>
    </row>
    <row r="28" spans="1:12">
      <c r="A28" s="8">
        <v>25</v>
      </c>
      <c r="B28" s="1" t="s">
        <v>52</v>
      </c>
      <c r="C28" s="4" t="s">
        <v>30</v>
      </c>
      <c r="D28" s="4" t="s">
        <v>20</v>
      </c>
      <c r="E28" s="4">
        <v>45000</v>
      </c>
      <c r="F28" s="4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4">
        <f t="shared" si="0"/>
        <v>45000</v>
      </c>
    </row>
    <row r="29" spans="1:12" ht="31.5">
      <c r="A29" s="8">
        <v>26</v>
      </c>
      <c r="B29" s="1" t="s">
        <v>133</v>
      </c>
      <c r="C29" s="4" t="s">
        <v>134</v>
      </c>
      <c r="D29" s="4" t="s">
        <v>20</v>
      </c>
      <c r="E29" s="4">
        <v>0</v>
      </c>
      <c r="F29" s="4">
        <v>0</v>
      </c>
      <c r="G29" s="22">
        <f>1743000+581000</f>
        <v>2324000</v>
      </c>
      <c r="H29" s="20">
        <v>0</v>
      </c>
      <c r="I29" s="20">
        <v>0</v>
      </c>
      <c r="J29" s="20">
        <v>0</v>
      </c>
      <c r="K29" s="20">
        <v>0</v>
      </c>
      <c r="L29" s="94">
        <f t="shared" si="0"/>
        <v>2324000</v>
      </c>
    </row>
    <row r="30" spans="1:12" ht="47.25">
      <c r="A30" s="8">
        <v>27</v>
      </c>
      <c r="B30" s="1" t="s">
        <v>135</v>
      </c>
      <c r="C30" s="4" t="s">
        <v>124</v>
      </c>
      <c r="D30" s="4" t="s">
        <v>20</v>
      </c>
      <c r="E30" s="4">
        <v>0</v>
      </c>
      <c r="F30" s="4">
        <v>0</v>
      </c>
      <c r="G30" s="20">
        <v>0</v>
      </c>
      <c r="H30" s="20">
        <v>0</v>
      </c>
      <c r="I30" s="20">
        <f>1281120+252000+126000</f>
        <v>1659120</v>
      </c>
      <c r="J30" s="20">
        <v>0</v>
      </c>
      <c r="K30" s="20">
        <v>0</v>
      </c>
      <c r="L30" s="94">
        <f t="shared" si="0"/>
        <v>1659120</v>
      </c>
    </row>
    <row r="31" spans="1:12">
      <c r="A31" s="8">
        <v>28</v>
      </c>
      <c r="B31" s="1" t="s">
        <v>137</v>
      </c>
      <c r="C31" s="5" t="s">
        <v>409</v>
      </c>
      <c r="D31" s="4" t="s">
        <v>19</v>
      </c>
      <c r="E31" s="4">
        <v>0</v>
      </c>
      <c r="F31" s="4">
        <v>0</v>
      </c>
      <c r="G31" s="20">
        <v>0</v>
      </c>
      <c r="H31" s="20">
        <v>1340520</v>
      </c>
      <c r="I31" s="20">
        <v>0</v>
      </c>
      <c r="J31" s="20">
        <v>0</v>
      </c>
      <c r="K31" s="20">
        <v>0</v>
      </c>
      <c r="L31" s="94">
        <f t="shared" si="0"/>
        <v>1340520</v>
      </c>
    </row>
    <row r="32" spans="1:12">
      <c r="A32" s="8">
        <v>29</v>
      </c>
      <c r="B32" s="1" t="s">
        <v>142</v>
      </c>
      <c r="C32" s="5" t="s">
        <v>410</v>
      </c>
      <c r="D32" s="4" t="s">
        <v>19</v>
      </c>
      <c r="E32" s="4">
        <v>0</v>
      </c>
      <c r="F32" s="4">
        <v>0</v>
      </c>
      <c r="G32" s="20">
        <v>0</v>
      </c>
      <c r="H32" s="20">
        <v>988000</v>
      </c>
      <c r="I32" s="20">
        <v>0</v>
      </c>
      <c r="J32" s="20">
        <v>0</v>
      </c>
      <c r="K32" s="20">
        <v>0</v>
      </c>
      <c r="L32" s="94">
        <f t="shared" si="0"/>
        <v>988000</v>
      </c>
    </row>
    <row r="33" spans="1:12">
      <c r="A33" s="8">
        <v>30</v>
      </c>
      <c r="B33" s="1" t="s">
        <v>143</v>
      </c>
      <c r="C33" s="12" t="s">
        <v>144</v>
      </c>
      <c r="D33" s="4" t="s">
        <v>19</v>
      </c>
      <c r="E33" s="4">
        <f>595500+150500+75000</f>
        <v>821000</v>
      </c>
      <c r="F33" s="4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94">
        <f t="shared" si="0"/>
        <v>821000</v>
      </c>
    </row>
    <row r="34" spans="1:12">
      <c r="A34" s="8">
        <v>31</v>
      </c>
      <c r="B34" s="1" t="s">
        <v>151</v>
      </c>
      <c r="C34" s="4" t="s">
        <v>152</v>
      </c>
      <c r="D34" s="4" t="s">
        <v>153</v>
      </c>
      <c r="E34" s="4">
        <v>0</v>
      </c>
      <c r="F34" s="4">
        <v>0</v>
      </c>
      <c r="G34" s="20">
        <v>0</v>
      </c>
      <c r="H34" s="20">
        <v>0</v>
      </c>
      <c r="I34" s="20">
        <f>481600+112400+56200</f>
        <v>650200</v>
      </c>
      <c r="J34" s="20">
        <v>0</v>
      </c>
      <c r="K34" s="20">
        <v>0</v>
      </c>
      <c r="L34" s="94">
        <f t="shared" si="0"/>
        <v>650200</v>
      </c>
    </row>
    <row r="35" spans="1:12" ht="31.5">
      <c r="A35" s="8">
        <v>32</v>
      </c>
      <c r="B35" s="1" t="s">
        <v>154</v>
      </c>
      <c r="C35" s="4" t="s">
        <v>155</v>
      </c>
      <c r="D35" s="4" t="s">
        <v>153</v>
      </c>
      <c r="E35" s="4">
        <v>0</v>
      </c>
      <c r="F35" s="4">
        <v>0</v>
      </c>
      <c r="G35" s="20">
        <v>0</v>
      </c>
      <c r="H35" s="20">
        <v>0</v>
      </c>
      <c r="I35" s="20">
        <f>837900+197600+98800</f>
        <v>1134300</v>
      </c>
      <c r="J35" s="20">
        <v>0</v>
      </c>
      <c r="K35" s="20">
        <v>0</v>
      </c>
      <c r="L35" s="94">
        <f t="shared" si="0"/>
        <v>1134300</v>
      </c>
    </row>
    <row r="36" spans="1:12">
      <c r="A36" s="8">
        <v>33</v>
      </c>
      <c r="B36" s="1" t="s">
        <v>166</v>
      </c>
      <c r="C36" s="4" t="s">
        <v>167</v>
      </c>
      <c r="D36" s="4" t="s">
        <v>159</v>
      </c>
      <c r="E36" s="4">
        <f>1000000+220000+110000</f>
        <v>1330000</v>
      </c>
      <c r="F36" s="4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94">
        <f t="shared" ref="L36:L67" si="1">E36+F36+G36+H36+I36+J36+K36</f>
        <v>1330000</v>
      </c>
    </row>
    <row r="37" spans="1:12">
      <c r="A37" s="8">
        <v>34</v>
      </c>
      <c r="B37" s="1" t="s">
        <v>168</v>
      </c>
      <c r="C37" s="4" t="s">
        <v>169</v>
      </c>
      <c r="D37" s="4" t="s">
        <v>159</v>
      </c>
      <c r="E37" s="4">
        <v>35000</v>
      </c>
      <c r="F37" s="4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94">
        <f t="shared" si="1"/>
        <v>35000</v>
      </c>
    </row>
    <row r="38" spans="1:12">
      <c r="A38" s="8">
        <v>35</v>
      </c>
      <c r="B38" s="1" t="s">
        <v>170</v>
      </c>
      <c r="C38" s="4" t="s">
        <v>171</v>
      </c>
      <c r="D38" s="4" t="s">
        <v>159</v>
      </c>
      <c r="E38" s="4">
        <v>0</v>
      </c>
      <c r="F38" s="4">
        <v>0</v>
      </c>
      <c r="G38" s="20">
        <v>0</v>
      </c>
      <c r="H38" s="20">
        <f>411600+138600+46200</f>
        <v>596400</v>
      </c>
      <c r="I38" s="20">
        <v>0</v>
      </c>
      <c r="J38" s="20">
        <v>0</v>
      </c>
      <c r="K38" s="20">
        <v>0</v>
      </c>
      <c r="L38" s="94">
        <f t="shared" si="1"/>
        <v>596400</v>
      </c>
    </row>
    <row r="39" spans="1:12">
      <c r="A39" s="8">
        <v>36</v>
      </c>
      <c r="B39" s="1" t="s">
        <v>175</v>
      </c>
      <c r="C39" s="4" t="s">
        <v>163</v>
      </c>
      <c r="D39" s="4" t="s">
        <v>159</v>
      </c>
      <c r="E39" s="4">
        <v>160000</v>
      </c>
      <c r="F39" s="4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94">
        <f t="shared" si="1"/>
        <v>160000</v>
      </c>
    </row>
    <row r="40" spans="1:12" ht="31.5">
      <c r="A40" s="8">
        <v>37</v>
      </c>
      <c r="B40" s="1" t="s">
        <v>60</v>
      </c>
      <c r="C40" s="4" t="s">
        <v>33</v>
      </c>
      <c r="D40" s="4" t="s">
        <v>34</v>
      </c>
      <c r="E40" s="4">
        <f>803000+185000+92500</f>
        <v>1080500</v>
      </c>
      <c r="F40" s="4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94">
        <f t="shared" si="1"/>
        <v>1080500</v>
      </c>
    </row>
    <row r="41" spans="1:12">
      <c r="A41" s="8">
        <v>38</v>
      </c>
      <c r="B41" s="1" t="s">
        <v>178</v>
      </c>
      <c r="C41" s="4" t="s">
        <v>179</v>
      </c>
      <c r="D41" s="4" t="s">
        <v>17</v>
      </c>
      <c r="E41" s="4">
        <v>0</v>
      </c>
      <c r="F41" s="4">
        <v>0</v>
      </c>
      <c r="G41" s="23">
        <v>0</v>
      </c>
      <c r="H41" s="20">
        <v>0</v>
      </c>
      <c r="I41" s="20">
        <v>0</v>
      </c>
      <c r="J41" s="20">
        <f>1902000+765000</f>
        <v>2667000</v>
      </c>
      <c r="K41" s="20">
        <v>0</v>
      </c>
      <c r="L41" s="94">
        <f t="shared" si="1"/>
        <v>2667000</v>
      </c>
    </row>
    <row r="42" spans="1:12">
      <c r="A42" s="8">
        <v>39</v>
      </c>
      <c r="B42" s="1" t="s">
        <v>182</v>
      </c>
      <c r="C42" s="4" t="s">
        <v>183</v>
      </c>
      <c r="D42" s="4" t="s">
        <v>17</v>
      </c>
      <c r="E42" s="4">
        <v>0</v>
      </c>
      <c r="F42" s="4">
        <v>0</v>
      </c>
      <c r="G42" s="20">
        <v>0</v>
      </c>
      <c r="H42" s="20">
        <f>1122400+289000+144500</f>
        <v>1555900</v>
      </c>
      <c r="I42" s="20">
        <v>0</v>
      </c>
      <c r="J42" s="20">
        <v>0</v>
      </c>
      <c r="K42" s="20">
        <v>0</v>
      </c>
      <c r="L42" s="94">
        <f t="shared" si="1"/>
        <v>1555900</v>
      </c>
    </row>
    <row r="43" spans="1:12">
      <c r="A43" s="8">
        <v>40</v>
      </c>
      <c r="B43" s="1" t="s">
        <v>184</v>
      </c>
      <c r="C43" s="4" t="s">
        <v>185</v>
      </c>
      <c r="D43" s="4" t="s">
        <v>17</v>
      </c>
      <c r="E43" s="4">
        <f>808000+162000+81000</f>
        <v>1051000</v>
      </c>
      <c r="F43" s="4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94">
        <f t="shared" si="1"/>
        <v>1051000</v>
      </c>
    </row>
    <row r="44" spans="1:12">
      <c r="A44" s="8">
        <v>41</v>
      </c>
      <c r="B44" s="1" t="s">
        <v>188</v>
      </c>
      <c r="C44" s="4" t="s">
        <v>413</v>
      </c>
      <c r="D44" s="4" t="s">
        <v>17</v>
      </c>
      <c r="E44" s="4">
        <v>0</v>
      </c>
      <c r="F44" s="4">
        <v>0</v>
      </c>
      <c r="G44" s="20">
        <v>0</v>
      </c>
      <c r="H44" s="20">
        <f>863000+194000+97000</f>
        <v>1154000</v>
      </c>
      <c r="I44" s="20">
        <v>0</v>
      </c>
      <c r="J44" s="20">
        <v>0</v>
      </c>
      <c r="K44" s="20">
        <v>0</v>
      </c>
      <c r="L44" s="94">
        <f t="shared" si="1"/>
        <v>1154000</v>
      </c>
    </row>
    <row r="45" spans="1:12" ht="47.25">
      <c r="A45" s="8">
        <v>42</v>
      </c>
      <c r="B45" s="1" t="s">
        <v>189</v>
      </c>
      <c r="C45" s="4" t="s">
        <v>190</v>
      </c>
      <c r="D45" s="4" t="s">
        <v>17</v>
      </c>
      <c r="E45" s="4">
        <v>0</v>
      </c>
      <c r="F45" s="4">
        <v>0</v>
      </c>
      <c r="G45" s="20">
        <v>0</v>
      </c>
      <c r="H45" s="20">
        <f>860500+194000+97000</f>
        <v>1151500</v>
      </c>
      <c r="I45" s="20">
        <v>0</v>
      </c>
      <c r="J45" s="20">
        <v>0</v>
      </c>
      <c r="K45" s="20">
        <v>0</v>
      </c>
      <c r="L45" s="94">
        <f t="shared" si="1"/>
        <v>1151500</v>
      </c>
    </row>
    <row r="46" spans="1:12" ht="31.5">
      <c r="A46" s="8">
        <v>43</v>
      </c>
      <c r="B46" s="1" t="s">
        <v>191</v>
      </c>
      <c r="C46" s="4" t="s">
        <v>185</v>
      </c>
      <c r="D46" s="4" t="s">
        <v>17</v>
      </c>
      <c r="E46" s="4">
        <v>0</v>
      </c>
      <c r="F46" s="4">
        <v>0</v>
      </c>
      <c r="G46" s="20">
        <v>0</v>
      </c>
      <c r="H46" s="20">
        <v>0</v>
      </c>
      <c r="I46" s="20">
        <f>923900+175000+87000</f>
        <v>1185900</v>
      </c>
      <c r="J46" s="20">
        <v>0</v>
      </c>
      <c r="K46" s="20">
        <v>0</v>
      </c>
      <c r="L46" s="94">
        <f t="shared" si="1"/>
        <v>1185900</v>
      </c>
    </row>
    <row r="47" spans="1:12">
      <c r="A47" s="8">
        <v>44</v>
      </c>
      <c r="B47" s="1" t="s">
        <v>192</v>
      </c>
      <c r="C47" s="4" t="s">
        <v>193</v>
      </c>
      <c r="D47" s="4" t="s">
        <v>17</v>
      </c>
      <c r="E47" s="4">
        <v>0</v>
      </c>
      <c r="F47" s="4">
        <f>1575000+560000</f>
        <v>2135000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94">
        <f t="shared" si="1"/>
        <v>2135000</v>
      </c>
    </row>
    <row r="48" spans="1:12">
      <c r="A48" s="8">
        <v>45</v>
      </c>
      <c r="B48" s="1" t="s">
        <v>195</v>
      </c>
      <c r="C48" s="4" t="s">
        <v>196</v>
      </c>
      <c r="D48" s="4" t="s">
        <v>17</v>
      </c>
      <c r="E48" s="4">
        <v>0</v>
      </c>
      <c r="F48" s="4">
        <v>2195000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94">
        <f t="shared" si="1"/>
        <v>2195000</v>
      </c>
    </row>
    <row r="49" spans="1:12">
      <c r="A49" s="8">
        <v>46</v>
      </c>
      <c r="B49" s="1" t="s">
        <v>197</v>
      </c>
      <c r="C49" s="4" t="s">
        <v>187</v>
      </c>
      <c r="D49" s="4" t="s">
        <v>17</v>
      </c>
      <c r="E49" s="4">
        <v>0</v>
      </c>
      <c r="F49" s="4">
        <v>0</v>
      </c>
      <c r="G49" s="22">
        <v>0</v>
      </c>
      <c r="H49" s="20">
        <v>0</v>
      </c>
      <c r="I49" s="20">
        <v>0</v>
      </c>
      <c r="J49" s="20">
        <f>2072000+765000</f>
        <v>2837000</v>
      </c>
      <c r="K49" s="20">
        <v>0</v>
      </c>
      <c r="L49" s="94">
        <f t="shared" si="1"/>
        <v>2837000</v>
      </c>
    </row>
    <row r="50" spans="1:12">
      <c r="A50" s="8">
        <v>47</v>
      </c>
      <c r="B50" s="1" t="s">
        <v>198</v>
      </c>
      <c r="C50" s="4" t="s">
        <v>193</v>
      </c>
      <c r="D50" s="4" t="s">
        <v>17</v>
      </c>
      <c r="E50" s="4">
        <v>0</v>
      </c>
      <c r="F50" s="4">
        <f>1715000+600000</f>
        <v>2315000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94">
        <f t="shared" si="1"/>
        <v>2315000</v>
      </c>
    </row>
    <row r="51" spans="1:12">
      <c r="A51" s="8">
        <v>48</v>
      </c>
      <c r="B51" s="1" t="s">
        <v>200</v>
      </c>
      <c r="C51" s="4" t="s">
        <v>201</v>
      </c>
      <c r="D51" s="4" t="s">
        <v>17</v>
      </c>
      <c r="E51" s="4">
        <v>0</v>
      </c>
      <c r="F51" s="4">
        <v>0</v>
      </c>
      <c r="G51" s="20">
        <v>0</v>
      </c>
      <c r="H51" s="20">
        <v>0</v>
      </c>
      <c r="I51" s="20">
        <f>1008000+252000+126000</f>
        <v>1386000</v>
      </c>
      <c r="J51" s="20">
        <v>0</v>
      </c>
      <c r="K51" s="20">
        <v>0</v>
      </c>
      <c r="L51" s="94">
        <f t="shared" si="1"/>
        <v>1386000</v>
      </c>
    </row>
    <row r="52" spans="1:12">
      <c r="A52" s="8">
        <v>49</v>
      </c>
      <c r="B52" s="1" t="s">
        <v>202</v>
      </c>
      <c r="C52" s="4" t="s">
        <v>203</v>
      </c>
      <c r="D52" s="4" t="s">
        <v>17</v>
      </c>
      <c r="E52" s="4">
        <v>0</v>
      </c>
      <c r="F52" s="4">
        <v>0</v>
      </c>
      <c r="G52" s="20">
        <v>0</v>
      </c>
      <c r="H52" s="20">
        <v>0</v>
      </c>
      <c r="I52" s="20">
        <f>1388655+312000+156000</f>
        <v>1856655</v>
      </c>
      <c r="J52" s="20">
        <v>0</v>
      </c>
      <c r="K52" s="20">
        <v>0</v>
      </c>
      <c r="L52" s="94">
        <f t="shared" si="1"/>
        <v>1856655</v>
      </c>
    </row>
    <row r="53" spans="1:12">
      <c r="A53" s="8">
        <v>50</v>
      </c>
      <c r="B53" s="1" t="s">
        <v>5</v>
      </c>
      <c r="C53" s="4" t="s">
        <v>36</v>
      </c>
      <c r="D53" s="4" t="s">
        <v>17</v>
      </c>
      <c r="E53" s="4">
        <v>0</v>
      </c>
      <c r="F53" s="4">
        <v>0</v>
      </c>
      <c r="G53" s="20">
        <v>0</v>
      </c>
      <c r="H53" s="20">
        <v>0</v>
      </c>
      <c r="I53" s="20">
        <f>1282500+312000+156000</f>
        <v>1750500</v>
      </c>
      <c r="J53" s="20">
        <v>0</v>
      </c>
      <c r="K53" s="20">
        <v>0</v>
      </c>
      <c r="L53" s="94">
        <f t="shared" si="1"/>
        <v>1750500</v>
      </c>
    </row>
    <row r="54" spans="1:12" ht="31.5">
      <c r="A54" s="8">
        <v>51</v>
      </c>
      <c r="B54" s="1" t="s">
        <v>206</v>
      </c>
      <c r="C54" s="4" t="s">
        <v>193</v>
      </c>
      <c r="D54" s="4" t="s">
        <v>17</v>
      </c>
      <c r="E54" s="4">
        <v>0</v>
      </c>
      <c r="F54" s="4">
        <v>0</v>
      </c>
      <c r="G54" s="22">
        <v>0</v>
      </c>
      <c r="H54" s="20">
        <v>0</v>
      </c>
      <c r="I54" s="20">
        <v>0</v>
      </c>
      <c r="J54" s="20">
        <f>1842500+731000</f>
        <v>2573500</v>
      </c>
      <c r="K54" s="20">
        <v>0</v>
      </c>
      <c r="L54" s="94">
        <f t="shared" si="1"/>
        <v>2573500</v>
      </c>
    </row>
    <row r="55" spans="1:12" ht="31.5">
      <c r="A55" s="8">
        <v>52</v>
      </c>
      <c r="B55" s="1" t="s">
        <v>207</v>
      </c>
      <c r="C55" s="5" t="s">
        <v>36</v>
      </c>
      <c r="D55" s="4" t="s">
        <v>17</v>
      </c>
      <c r="E55" s="4">
        <v>0</v>
      </c>
      <c r="F55" s="4">
        <v>0</v>
      </c>
      <c r="G55" s="20">
        <v>0</v>
      </c>
      <c r="H55" s="20">
        <v>36000</v>
      </c>
      <c r="I55" s="20">
        <v>0</v>
      </c>
      <c r="J55" s="20">
        <v>0</v>
      </c>
      <c r="K55" s="20">
        <v>0</v>
      </c>
      <c r="L55" s="94">
        <f t="shared" si="1"/>
        <v>36000</v>
      </c>
    </row>
    <row r="56" spans="1:12">
      <c r="A56" s="8">
        <v>53</v>
      </c>
      <c r="B56" s="44" t="s">
        <v>208</v>
      </c>
      <c r="C56" s="45" t="s">
        <v>209</v>
      </c>
      <c r="D56" s="4" t="s">
        <v>17</v>
      </c>
      <c r="E56" s="4">
        <v>0</v>
      </c>
      <c r="F56" s="4">
        <f>1475000+480000</f>
        <v>1955000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94">
        <f t="shared" si="1"/>
        <v>1955000</v>
      </c>
    </row>
    <row r="57" spans="1:12" ht="31.5">
      <c r="A57" s="8">
        <v>54</v>
      </c>
      <c r="B57" s="1" t="s">
        <v>210</v>
      </c>
      <c r="C57" s="4" t="s">
        <v>211</v>
      </c>
      <c r="D57" s="4" t="s">
        <v>17</v>
      </c>
      <c r="E57" s="4">
        <v>0</v>
      </c>
      <c r="F57" s="4">
        <v>0</v>
      </c>
      <c r="G57" s="20">
        <v>0</v>
      </c>
      <c r="H57" s="20">
        <v>0</v>
      </c>
      <c r="I57" s="20">
        <f>1344000+282000+141000</f>
        <v>1767000</v>
      </c>
      <c r="J57" s="20">
        <v>0</v>
      </c>
      <c r="K57" s="20">
        <v>0</v>
      </c>
      <c r="L57" s="94">
        <f t="shared" si="1"/>
        <v>1767000</v>
      </c>
    </row>
    <row r="58" spans="1:12" ht="31.5">
      <c r="A58" s="8">
        <v>55</v>
      </c>
      <c r="B58" s="1" t="s">
        <v>214</v>
      </c>
      <c r="C58" s="4" t="s">
        <v>187</v>
      </c>
      <c r="D58" s="4" t="s">
        <v>17</v>
      </c>
      <c r="E58" s="4">
        <v>0</v>
      </c>
      <c r="F58" s="4">
        <v>0</v>
      </c>
      <c r="G58" s="23">
        <v>0</v>
      </c>
      <c r="H58" s="20">
        <f>883000+180150+92000</f>
        <v>1155150</v>
      </c>
      <c r="I58" s="20">
        <v>0</v>
      </c>
      <c r="J58" s="20">
        <v>0</v>
      </c>
      <c r="K58" s="20">
        <v>0</v>
      </c>
      <c r="L58" s="94">
        <f t="shared" si="1"/>
        <v>1155150</v>
      </c>
    </row>
    <row r="59" spans="1:12">
      <c r="A59" s="8">
        <v>56</v>
      </c>
      <c r="B59" s="1" t="s">
        <v>215</v>
      </c>
      <c r="C59" s="4" t="s">
        <v>209</v>
      </c>
      <c r="D59" s="4" t="s">
        <v>17</v>
      </c>
      <c r="E59" s="4">
        <v>0</v>
      </c>
      <c r="F59" s="4">
        <v>0</v>
      </c>
      <c r="G59" s="22">
        <f>1020000+315000</f>
        <v>1335000</v>
      </c>
      <c r="H59" s="20">
        <v>0</v>
      </c>
      <c r="I59" s="20">
        <v>0</v>
      </c>
      <c r="J59" s="20">
        <v>0</v>
      </c>
      <c r="K59" s="20">
        <v>0</v>
      </c>
      <c r="L59" s="94">
        <f t="shared" si="1"/>
        <v>1335000</v>
      </c>
    </row>
    <row r="60" spans="1:12" ht="47.25">
      <c r="A60" s="8">
        <v>57</v>
      </c>
      <c r="B60" s="1" t="s">
        <v>217</v>
      </c>
      <c r="C60" s="4" t="s">
        <v>211</v>
      </c>
      <c r="D60" s="4" t="s">
        <v>17</v>
      </c>
      <c r="E60" s="4">
        <f>412685+76200+38000</f>
        <v>526885</v>
      </c>
      <c r="F60" s="4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94">
        <f t="shared" si="1"/>
        <v>526885</v>
      </c>
    </row>
    <row r="61" spans="1:12">
      <c r="A61" s="8">
        <v>58</v>
      </c>
      <c r="B61" s="1" t="s">
        <v>428</v>
      </c>
      <c r="C61" s="4" t="s">
        <v>187</v>
      </c>
      <c r="D61" s="4" t="s">
        <v>17</v>
      </c>
      <c r="E61" s="4">
        <v>0</v>
      </c>
      <c r="F61" s="4">
        <v>0</v>
      </c>
      <c r="G61" s="20">
        <v>0</v>
      </c>
      <c r="H61" s="20">
        <v>0</v>
      </c>
      <c r="I61" s="20">
        <f>1359000+282000+141000</f>
        <v>1782000</v>
      </c>
      <c r="J61" s="20">
        <v>0</v>
      </c>
      <c r="K61" s="20">
        <v>0</v>
      </c>
      <c r="L61" s="94">
        <f t="shared" si="1"/>
        <v>1782000</v>
      </c>
    </row>
    <row r="62" spans="1:12">
      <c r="A62" s="8">
        <v>59</v>
      </c>
      <c r="B62" s="1" t="s">
        <v>221</v>
      </c>
      <c r="C62" s="4" t="s">
        <v>222</v>
      </c>
      <c r="D62" s="4" t="s">
        <v>17</v>
      </c>
      <c r="E62" s="4">
        <v>0</v>
      </c>
      <c r="F62" s="4">
        <v>0</v>
      </c>
      <c r="G62" s="20">
        <v>0</v>
      </c>
      <c r="H62" s="20">
        <v>0</v>
      </c>
      <c r="I62" s="20">
        <f>1294400+312000+156000</f>
        <v>1762400</v>
      </c>
      <c r="J62" s="20">
        <v>0</v>
      </c>
      <c r="K62" s="20">
        <v>0</v>
      </c>
      <c r="L62" s="94">
        <f t="shared" si="1"/>
        <v>1762400</v>
      </c>
    </row>
    <row r="63" spans="1:12" ht="47.25">
      <c r="A63" s="8">
        <v>60</v>
      </c>
      <c r="B63" s="1" t="s">
        <v>229</v>
      </c>
      <c r="C63" s="4" t="s">
        <v>230</v>
      </c>
      <c r="D63" s="4" t="s">
        <v>226</v>
      </c>
      <c r="E63" s="4">
        <v>0</v>
      </c>
      <c r="F63" s="4">
        <v>1450000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94">
        <f t="shared" si="1"/>
        <v>1450000</v>
      </c>
    </row>
    <row r="64" spans="1:12" ht="31.5">
      <c r="A64" s="8">
        <v>61</v>
      </c>
      <c r="B64" s="1" t="s">
        <v>231</v>
      </c>
      <c r="C64" s="5" t="s">
        <v>414</v>
      </c>
      <c r="D64" s="4" t="s">
        <v>226</v>
      </c>
      <c r="E64" s="4">
        <v>0</v>
      </c>
      <c r="F64" s="4">
        <v>0</v>
      </c>
      <c r="G64" s="20">
        <v>0</v>
      </c>
      <c r="H64" s="20">
        <v>341250</v>
      </c>
      <c r="I64" s="20">
        <v>0</v>
      </c>
      <c r="J64" s="20">
        <v>0</v>
      </c>
      <c r="K64" s="20">
        <v>0</v>
      </c>
      <c r="L64" s="94">
        <f t="shared" si="1"/>
        <v>341250</v>
      </c>
    </row>
    <row r="65" spans="1:12">
      <c r="A65" s="8">
        <v>62</v>
      </c>
      <c r="B65" s="1" t="s">
        <v>470</v>
      </c>
      <c r="C65" s="4" t="s">
        <v>239</v>
      </c>
      <c r="D65" s="4" t="s">
        <v>235</v>
      </c>
      <c r="E65" s="4">
        <f>135000+135000+67500</f>
        <v>337500</v>
      </c>
      <c r="F65" s="4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94">
        <f t="shared" si="1"/>
        <v>337500</v>
      </c>
    </row>
    <row r="66" spans="1:12" ht="31.5">
      <c r="A66" s="8">
        <v>63</v>
      </c>
      <c r="B66" s="40" t="s">
        <v>459</v>
      </c>
      <c r="C66" s="40" t="s">
        <v>460</v>
      </c>
      <c r="D66" s="118" t="s">
        <v>235</v>
      </c>
      <c r="E66" s="4">
        <v>442000</v>
      </c>
      <c r="F66" s="4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94">
        <f t="shared" si="1"/>
        <v>442000</v>
      </c>
    </row>
    <row r="67" spans="1:12">
      <c r="A67" s="8">
        <v>64</v>
      </c>
      <c r="B67" s="100" t="s">
        <v>444</v>
      </c>
      <c r="C67" s="101" t="s">
        <v>445</v>
      </c>
      <c r="D67" s="101" t="s">
        <v>442</v>
      </c>
      <c r="E67" s="4">
        <f>720000+176000+88000</f>
        <v>984000</v>
      </c>
      <c r="F67" s="4">
        <v>0</v>
      </c>
      <c r="G67" s="20">
        <v>0</v>
      </c>
      <c r="H67" s="20">
        <v>0</v>
      </c>
      <c r="I67" s="20">
        <v>0</v>
      </c>
      <c r="J67" s="21">
        <v>0</v>
      </c>
      <c r="K67" s="20">
        <v>0</v>
      </c>
      <c r="L67" s="94">
        <f t="shared" si="1"/>
        <v>984000</v>
      </c>
    </row>
    <row r="68" spans="1:12">
      <c r="A68" s="8">
        <v>65</v>
      </c>
      <c r="B68" s="1" t="s">
        <v>245</v>
      </c>
      <c r="C68" s="4" t="s">
        <v>246</v>
      </c>
      <c r="D68" s="4" t="s">
        <v>244</v>
      </c>
      <c r="E68" s="4">
        <v>0</v>
      </c>
      <c r="F68" s="4">
        <v>0</v>
      </c>
      <c r="G68" s="22">
        <v>0</v>
      </c>
      <c r="H68" s="20">
        <v>0</v>
      </c>
      <c r="I68" s="20">
        <v>0</v>
      </c>
      <c r="J68" s="20">
        <f>2225000+765000</f>
        <v>2990000</v>
      </c>
      <c r="K68" s="20">
        <v>0</v>
      </c>
      <c r="L68" s="94">
        <f t="shared" ref="L68:L99" si="2">E68+F68+G68+H68+I68+J68+K68</f>
        <v>2990000</v>
      </c>
    </row>
    <row r="69" spans="1:12">
      <c r="A69" s="8">
        <v>66</v>
      </c>
      <c r="B69" s="1" t="s">
        <v>247</v>
      </c>
      <c r="C69" s="5" t="s">
        <v>262</v>
      </c>
      <c r="D69" s="4" t="s">
        <v>244</v>
      </c>
      <c r="E69" s="4">
        <v>0</v>
      </c>
      <c r="F69" s="4">
        <v>0</v>
      </c>
      <c r="G69" s="20">
        <v>0</v>
      </c>
      <c r="H69" s="20">
        <f>1504775+271600+135800</f>
        <v>1912175</v>
      </c>
      <c r="I69" s="20">
        <v>0</v>
      </c>
      <c r="J69" s="20">
        <v>0</v>
      </c>
      <c r="K69" s="20">
        <v>0</v>
      </c>
      <c r="L69" s="94">
        <f t="shared" si="2"/>
        <v>1912175</v>
      </c>
    </row>
    <row r="70" spans="1:12" ht="31.5">
      <c r="A70" s="8">
        <v>67</v>
      </c>
      <c r="B70" s="1" t="s">
        <v>248</v>
      </c>
      <c r="C70" s="46" t="s">
        <v>249</v>
      </c>
      <c r="D70" s="4" t="s">
        <v>244</v>
      </c>
      <c r="E70" s="4">
        <v>0</v>
      </c>
      <c r="F70" s="4">
        <v>0</v>
      </c>
      <c r="G70" s="22">
        <v>0</v>
      </c>
      <c r="H70" s="20">
        <v>0</v>
      </c>
      <c r="I70" s="20">
        <v>0</v>
      </c>
      <c r="J70" s="20">
        <v>1266500</v>
      </c>
      <c r="K70" s="20">
        <v>0</v>
      </c>
      <c r="L70" s="94">
        <f t="shared" si="2"/>
        <v>1266500</v>
      </c>
    </row>
    <row r="71" spans="1:12">
      <c r="A71" s="8">
        <v>68</v>
      </c>
      <c r="B71" s="1" t="s">
        <v>254</v>
      </c>
      <c r="C71" s="41" t="s">
        <v>255</v>
      </c>
      <c r="D71" s="4" t="s">
        <v>25</v>
      </c>
      <c r="E71" s="4">
        <v>0</v>
      </c>
      <c r="F71" s="4">
        <v>0</v>
      </c>
      <c r="G71" s="22">
        <v>0</v>
      </c>
      <c r="H71" s="20">
        <v>0</v>
      </c>
      <c r="I71" s="20">
        <v>0</v>
      </c>
      <c r="J71" s="20">
        <v>1975000</v>
      </c>
      <c r="K71" s="20">
        <v>0</v>
      </c>
      <c r="L71" s="94">
        <f t="shared" si="2"/>
        <v>1975000</v>
      </c>
    </row>
    <row r="72" spans="1:12" ht="31.5">
      <c r="A72" s="8">
        <v>69</v>
      </c>
      <c r="B72" s="1" t="s">
        <v>259</v>
      </c>
      <c r="C72" s="4" t="s">
        <v>260</v>
      </c>
      <c r="D72" s="4" t="s">
        <v>258</v>
      </c>
      <c r="E72" s="4">
        <v>0</v>
      </c>
      <c r="F72" s="4">
        <v>0</v>
      </c>
      <c r="G72" s="20">
        <v>0</v>
      </c>
      <c r="H72" s="20">
        <v>0</v>
      </c>
      <c r="I72" s="20">
        <f>632574+1061188+156000</f>
        <v>1849762</v>
      </c>
      <c r="J72" s="20">
        <v>0</v>
      </c>
      <c r="K72" s="20">
        <v>0</v>
      </c>
      <c r="L72" s="94">
        <f t="shared" si="2"/>
        <v>1849762</v>
      </c>
    </row>
    <row r="73" spans="1:12">
      <c r="A73" s="8">
        <v>70</v>
      </c>
      <c r="B73" s="42" t="s">
        <v>261</v>
      </c>
      <c r="C73" s="43" t="s">
        <v>262</v>
      </c>
      <c r="D73" s="4" t="s">
        <v>258</v>
      </c>
      <c r="E73" s="4">
        <v>0</v>
      </c>
      <c r="F73" s="4">
        <v>0</v>
      </c>
      <c r="G73" s="20">
        <f>1965000+630000</f>
        <v>2595000</v>
      </c>
      <c r="H73" s="20">
        <v>0</v>
      </c>
      <c r="I73" s="20">
        <v>0</v>
      </c>
      <c r="J73" s="20">
        <v>0</v>
      </c>
      <c r="K73" s="20">
        <v>0</v>
      </c>
      <c r="L73" s="94">
        <f t="shared" si="2"/>
        <v>2595000</v>
      </c>
    </row>
    <row r="74" spans="1:12">
      <c r="A74" s="8">
        <v>71</v>
      </c>
      <c r="B74" s="44" t="s">
        <v>263</v>
      </c>
      <c r="C74" s="45" t="s">
        <v>264</v>
      </c>
      <c r="D74" s="4" t="s">
        <v>258</v>
      </c>
      <c r="E74" s="4">
        <v>0</v>
      </c>
      <c r="F74" s="4">
        <f>1665000+570000</f>
        <v>2235000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94">
        <f t="shared" si="2"/>
        <v>2235000</v>
      </c>
    </row>
    <row r="75" spans="1:12">
      <c r="A75" s="8">
        <v>72</v>
      </c>
      <c r="B75" s="1" t="s">
        <v>1</v>
      </c>
      <c r="C75" s="5" t="s">
        <v>415</v>
      </c>
      <c r="D75" s="4" t="s">
        <v>38</v>
      </c>
      <c r="E75" s="4">
        <v>0</v>
      </c>
      <c r="F75" s="4">
        <v>0</v>
      </c>
      <c r="G75" s="20">
        <v>0</v>
      </c>
      <c r="H75" s="20">
        <f>450450+114910+61860</f>
        <v>627220</v>
      </c>
      <c r="I75" s="20">
        <v>0</v>
      </c>
      <c r="J75" s="20">
        <v>0</v>
      </c>
      <c r="K75" s="20">
        <v>0</v>
      </c>
      <c r="L75" s="94">
        <f t="shared" si="2"/>
        <v>627220</v>
      </c>
    </row>
    <row r="76" spans="1:12">
      <c r="A76" s="8">
        <v>73</v>
      </c>
      <c r="B76" s="1" t="s">
        <v>6</v>
      </c>
      <c r="C76" s="4" t="s">
        <v>37</v>
      </c>
      <c r="D76" s="4" t="s">
        <v>38</v>
      </c>
      <c r="E76" s="4">
        <v>0</v>
      </c>
      <c r="F76" s="4">
        <v>0</v>
      </c>
      <c r="G76" s="20">
        <v>0</v>
      </c>
      <c r="H76" s="20">
        <v>0</v>
      </c>
      <c r="I76" s="20">
        <f>1398500+312000+156000</f>
        <v>1866500</v>
      </c>
      <c r="J76" s="20">
        <v>0</v>
      </c>
      <c r="K76" s="20">
        <v>0</v>
      </c>
      <c r="L76" s="94">
        <f t="shared" si="2"/>
        <v>1866500</v>
      </c>
    </row>
    <row r="77" spans="1:12" ht="31.5">
      <c r="A77" s="8">
        <v>74</v>
      </c>
      <c r="B77" s="44" t="s">
        <v>272</v>
      </c>
      <c r="C77" s="45" t="s">
        <v>271</v>
      </c>
      <c r="D77" s="45" t="s">
        <v>273</v>
      </c>
      <c r="E77" s="4">
        <v>0</v>
      </c>
      <c r="F77" s="4">
        <f>1725000+570000</f>
        <v>2295000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94">
        <f t="shared" si="2"/>
        <v>2295000</v>
      </c>
    </row>
    <row r="78" spans="1:12" ht="31.5">
      <c r="A78" s="8">
        <v>75</v>
      </c>
      <c r="B78" s="40" t="s">
        <v>278</v>
      </c>
      <c r="C78" s="41" t="s">
        <v>279</v>
      </c>
      <c r="D78" s="4" t="s">
        <v>275</v>
      </c>
      <c r="E78" s="4">
        <v>0</v>
      </c>
      <c r="F78" s="4">
        <f>895000+330000</f>
        <v>1225000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94">
        <f t="shared" si="2"/>
        <v>1225000</v>
      </c>
    </row>
    <row r="79" spans="1:12" ht="31.5">
      <c r="A79" s="8">
        <v>76</v>
      </c>
      <c r="B79" s="1" t="s">
        <v>283</v>
      </c>
      <c r="C79" s="4" t="s">
        <v>284</v>
      </c>
      <c r="D79" s="4" t="s">
        <v>275</v>
      </c>
      <c r="E79" s="4">
        <f>422500+81000+40500</f>
        <v>544000</v>
      </c>
      <c r="F79" s="4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94">
        <f t="shared" si="2"/>
        <v>544000</v>
      </c>
    </row>
    <row r="80" spans="1:12" ht="31.5">
      <c r="A80" s="8">
        <v>77</v>
      </c>
      <c r="B80" s="55" t="s">
        <v>288</v>
      </c>
      <c r="C80" s="56" t="s">
        <v>289</v>
      </c>
      <c r="D80" s="56" t="s">
        <v>21</v>
      </c>
      <c r="E80" s="4">
        <f>725500+164000+87000</f>
        <v>976500</v>
      </c>
      <c r="F80" s="4">
        <v>0</v>
      </c>
      <c r="G80" s="57">
        <v>0</v>
      </c>
      <c r="H80" s="20">
        <v>0</v>
      </c>
      <c r="I80" s="20">
        <v>0</v>
      </c>
      <c r="J80" s="57">
        <v>0</v>
      </c>
      <c r="K80" s="20">
        <v>0</v>
      </c>
      <c r="L80" s="94">
        <f t="shared" si="2"/>
        <v>976500</v>
      </c>
    </row>
    <row r="81" spans="1:12" ht="31.5">
      <c r="A81" s="8">
        <v>78</v>
      </c>
      <c r="B81" s="1" t="s">
        <v>290</v>
      </c>
      <c r="C81" s="91" t="s">
        <v>417</v>
      </c>
      <c r="D81" s="4" t="s">
        <v>21</v>
      </c>
      <c r="E81" s="4">
        <v>0</v>
      </c>
      <c r="F81" s="4">
        <v>0</v>
      </c>
      <c r="G81" s="20">
        <v>0</v>
      </c>
      <c r="H81" s="20">
        <f>889200+197100+98550</f>
        <v>1184850</v>
      </c>
      <c r="I81" s="20">
        <v>0</v>
      </c>
      <c r="J81" s="20">
        <v>0</v>
      </c>
      <c r="K81" s="20">
        <v>0</v>
      </c>
      <c r="L81" s="94">
        <f t="shared" si="2"/>
        <v>1184850</v>
      </c>
    </row>
    <row r="82" spans="1:12" ht="47.25">
      <c r="A82" s="8">
        <v>79</v>
      </c>
      <c r="B82" s="42" t="s">
        <v>291</v>
      </c>
      <c r="C82" s="43" t="s">
        <v>292</v>
      </c>
      <c r="D82" s="4" t="s">
        <v>21</v>
      </c>
      <c r="E82" s="4">
        <v>0</v>
      </c>
      <c r="F82" s="4">
        <v>0</v>
      </c>
      <c r="G82" s="22">
        <f>1391000+812000</f>
        <v>2203000</v>
      </c>
      <c r="H82" s="20">
        <v>0</v>
      </c>
      <c r="I82" s="20">
        <v>0</v>
      </c>
      <c r="J82" s="20">
        <v>0</v>
      </c>
      <c r="K82" s="20">
        <v>0</v>
      </c>
      <c r="L82" s="94">
        <f t="shared" si="2"/>
        <v>2203000</v>
      </c>
    </row>
    <row r="83" spans="1:12" ht="31.5">
      <c r="A83" s="8">
        <v>80</v>
      </c>
      <c r="B83" s="1" t="s">
        <v>294</v>
      </c>
      <c r="C83" s="91" t="s">
        <v>419</v>
      </c>
      <c r="D83" s="4" t="s">
        <v>21</v>
      </c>
      <c r="E83" s="4">
        <v>0</v>
      </c>
      <c r="F83" s="4">
        <v>0</v>
      </c>
      <c r="G83" s="20">
        <v>0</v>
      </c>
      <c r="H83" s="20">
        <f>973700+203282+98000</f>
        <v>1274982</v>
      </c>
      <c r="I83" s="20">
        <v>0</v>
      </c>
      <c r="J83" s="20">
        <v>0</v>
      </c>
      <c r="K83" s="20">
        <v>0</v>
      </c>
      <c r="L83" s="94">
        <f t="shared" si="2"/>
        <v>1274982</v>
      </c>
    </row>
    <row r="84" spans="1:12" ht="31.5">
      <c r="A84" s="8">
        <v>81</v>
      </c>
      <c r="B84" s="40" t="s">
        <v>295</v>
      </c>
      <c r="C84" s="41" t="s">
        <v>296</v>
      </c>
      <c r="D84" s="4" t="s">
        <v>21</v>
      </c>
      <c r="E84" s="4">
        <v>0</v>
      </c>
      <c r="F84" s="4">
        <v>0</v>
      </c>
      <c r="G84" s="22">
        <v>0</v>
      </c>
      <c r="H84" s="20">
        <v>0</v>
      </c>
      <c r="I84" s="20">
        <v>0</v>
      </c>
      <c r="J84" s="20">
        <f>1876500+255000</f>
        <v>2131500</v>
      </c>
      <c r="K84" s="20">
        <v>0</v>
      </c>
      <c r="L84" s="94">
        <f t="shared" si="2"/>
        <v>2131500</v>
      </c>
    </row>
    <row r="85" spans="1:12" ht="31.5">
      <c r="A85" s="8">
        <v>82</v>
      </c>
      <c r="B85" s="42" t="s">
        <v>298</v>
      </c>
      <c r="C85" s="43" t="s">
        <v>299</v>
      </c>
      <c r="D85" s="4" t="s">
        <v>21</v>
      </c>
      <c r="E85" s="4">
        <v>0</v>
      </c>
      <c r="F85" s="4">
        <v>0</v>
      </c>
      <c r="G85" s="22">
        <f>903000+420000</f>
        <v>1323000</v>
      </c>
      <c r="H85" s="20">
        <v>0</v>
      </c>
      <c r="I85" s="20">
        <v>0</v>
      </c>
      <c r="J85" s="20">
        <v>0</v>
      </c>
      <c r="K85" s="20">
        <v>0</v>
      </c>
      <c r="L85" s="94">
        <f t="shared" si="2"/>
        <v>1323000</v>
      </c>
    </row>
    <row r="86" spans="1:12" ht="31.5">
      <c r="A86" s="8">
        <v>83</v>
      </c>
      <c r="B86" s="1" t="s">
        <v>301</v>
      </c>
      <c r="C86" s="46" t="s">
        <v>302</v>
      </c>
      <c r="D86" s="4" t="s">
        <v>32</v>
      </c>
      <c r="E86" s="4">
        <v>0</v>
      </c>
      <c r="F86" s="4">
        <v>0</v>
      </c>
      <c r="G86" s="20">
        <v>0</v>
      </c>
      <c r="H86" s="20">
        <v>944600</v>
      </c>
      <c r="I86" s="20">
        <v>0</v>
      </c>
      <c r="J86" s="20">
        <v>0</v>
      </c>
      <c r="K86" s="20">
        <v>0</v>
      </c>
      <c r="L86" s="94">
        <f t="shared" si="2"/>
        <v>944600</v>
      </c>
    </row>
    <row r="87" spans="1:12" ht="31.5">
      <c r="A87" s="8">
        <v>84</v>
      </c>
      <c r="B87" s="1" t="s">
        <v>303</v>
      </c>
      <c r="C87" s="46" t="s">
        <v>304</v>
      </c>
      <c r="D87" s="4" t="s">
        <v>32</v>
      </c>
      <c r="E87" s="4">
        <v>0</v>
      </c>
      <c r="F87" s="4">
        <v>0</v>
      </c>
      <c r="G87" s="20">
        <v>0</v>
      </c>
      <c r="H87" s="20">
        <f>1037900+223100+111550</f>
        <v>1372550</v>
      </c>
      <c r="I87" s="20">
        <v>0</v>
      </c>
      <c r="J87" s="20">
        <v>0</v>
      </c>
      <c r="K87" s="20">
        <v>0</v>
      </c>
      <c r="L87" s="94">
        <f t="shared" si="2"/>
        <v>1372550</v>
      </c>
    </row>
    <row r="88" spans="1:12" ht="18.75">
      <c r="A88" s="8">
        <v>85</v>
      </c>
      <c r="B88" s="1" t="s">
        <v>306</v>
      </c>
      <c r="C88" s="91" t="s">
        <v>304</v>
      </c>
      <c r="D88" s="4" t="s">
        <v>32</v>
      </c>
      <c r="E88" s="4">
        <v>0</v>
      </c>
      <c r="F88" s="4">
        <f>1485000+320000</f>
        <v>1805000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94">
        <f t="shared" si="2"/>
        <v>1805000</v>
      </c>
    </row>
    <row r="89" spans="1:12">
      <c r="A89" s="8">
        <v>86</v>
      </c>
      <c r="B89" s="1" t="s">
        <v>308</v>
      </c>
      <c r="C89" s="61" t="s">
        <v>309</v>
      </c>
      <c r="D89" s="4" t="s">
        <v>24</v>
      </c>
      <c r="E89" s="4">
        <v>0</v>
      </c>
      <c r="F89" s="4">
        <v>0</v>
      </c>
      <c r="G89" s="20">
        <v>0</v>
      </c>
      <c r="H89" s="20">
        <f>693400+135800+67900</f>
        <v>897100</v>
      </c>
      <c r="I89" s="20">
        <v>0</v>
      </c>
      <c r="J89" s="20">
        <v>0</v>
      </c>
      <c r="K89" s="20">
        <v>0</v>
      </c>
      <c r="L89" s="94">
        <f t="shared" si="2"/>
        <v>897100</v>
      </c>
    </row>
    <row r="90" spans="1:12">
      <c r="A90" s="8">
        <v>87</v>
      </c>
      <c r="B90" s="1" t="s">
        <v>310</v>
      </c>
      <c r="C90" s="12" t="s">
        <v>448</v>
      </c>
      <c r="D90" s="4" t="s">
        <v>24</v>
      </c>
      <c r="E90" s="4">
        <v>0</v>
      </c>
      <c r="F90" s="4">
        <v>0</v>
      </c>
      <c r="G90" s="20">
        <v>0</v>
      </c>
      <c r="H90" s="20">
        <v>0</v>
      </c>
      <c r="I90" s="20">
        <f>1387200+296000+148000</f>
        <v>1831200</v>
      </c>
      <c r="J90" s="20">
        <v>0</v>
      </c>
      <c r="K90" s="20">
        <v>0</v>
      </c>
      <c r="L90" s="94">
        <f t="shared" si="2"/>
        <v>1831200</v>
      </c>
    </row>
    <row r="91" spans="1:12">
      <c r="A91" s="8">
        <v>88</v>
      </c>
      <c r="B91" s="1" t="s">
        <v>314</v>
      </c>
      <c r="C91" s="12" t="s">
        <v>26</v>
      </c>
      <c r="D91" s="4" t="s">
        <v>24</v>
      </c>
      <c r="E91" s="4">
        <v>0</v>
      </c>
      <c r="F91" s="4">
        <v>0</v>
      </c>
      <c r="G91" s="20">
        <v>0</v>
      </c>
      <c r="H91" s="20">
        <v>0</v>
      </c>
      <c r="I91" s="20">
        <f>1352500+280800+140000</f>
        <v>1773300</v>
      </c>
      <c r="J91" s="20">
        <v>0</v>
      </c>
      <c r="K91" s="20">
        <v>0</v>
      </c>
      <c r="L91" s="94">
        <f t="shared" si="2"/>
        <v>1773300</v>
      </c>
    </row>
    <row r="92" spans="1:12">
      <c r="A92" s="8">
        <v>89</v>
      </c>
      <c r="B92" s="1" t="s">
        <v>315</v>
      </c>
      <c r="C92" s="12" t="s">
        <v>316</v>
      </c>
      <c r="D92" s="4" t="s">
        <v>24</v>
      </c>
      <c r="E92" s="4">
        <v>0</v>
      </c>
      <c r="F92" s="4">
        <v>0</v>
      </c>
      <c r="G92" s="20">
        <v>0</v>
      </c>
      <c r="H92" s="20">
        <v>0</v>
      </c>
      <c r="I92" s="20">
        <f>705600+126000+63000</f>
        <v>894600</v>
      </c>
      <c r="J92" s="20">
        <v>0</v>
      </c>
      <c r="K92" s="20">
        <v>0</v>
      </c>
      <c r="L92" s="94">
        <f t="shared" si="2"/>
        <v>894600</v>
      </c>
    </row>
    <row r="93" spans="1:12">
      <c r="A93" s="8">
        <v>90</v>
      </c>
      <c r="B93" s="1" t="s">
        <v>321</v>
      </c>
      <c r="C93" s="12" t="s">
        <v>313</v>
      </c>
      <c r="D93" s="4" t="s">
        <v>24</v>
      </c>
      <c r="E93" s="4">
        <v>0</v>
      </c>
      <c r="F93" s="4">
        <v>0</v>
      </c>
      <c r="G93" s="20">
        <v>0</v>
      </c>
      <c r="H93" s="20">
        <v>0</v>
      </c>
      <c r="I93" s="20">
        <f>1364000+312000+156000</f>
        <v>1832000</v>
      </c>
      <c r="J93" s="20">
        <v>0</v>
      </c>
      <c r="K93" s="20">
        <v>0</v>
      </c>
      <c r="L93" s="94">
        <f t="shared" si="2"/>
        <v>1832000</v>
      </c>
    </row>
    <row r="94" spans="1:12">
      <c r="A94" s="8">
        <v>91</v>
      </c>
      <c r="B94" s="1" t="s">
        <v>325</v>
      </c>
      <c r="C94" s="61" t="s">
        <v>326</v>
      </c>
      <c r="D94" s="4" t="s">
        <v>24</v>
      </c>
      <c r="E94" s="4">
        <v>0</v>
      </c>
      <c r="F94" s="4">
        <v>0</v>
      </c>
      <c r="G94" s="73">
        <f>1244000+560000</f>
        <v>1804000</v>
      </c>
      <c r="H94" s="20">
        <v>0</v>
      </c>
      <c r="I94" s="20">
        <v>0</v>
      </c>
      <c r="J94" s="20">
        <v>0</v>
      </c>
      <c r="K94" s="20">
        <v>0</v>
      </c>
      <c r="L94" s="94">
        <f t="shared" si="2"/>
        <v>1804000</v>
      </c>
    </row>
    <row r="95" spans="1:12">
      <c r="A95" s="8">
        <v>92</v>
      </c>
      <c r="B95" s="1" t="s">
        <v>327</v>
      </c>
      <c r="C95" s="12" t="s">
        <v>313</v>
      </c>
      <c r="D95" s="4" t="s">
        <v>24</v>
      </c>
      <c r="E95" s="4">
        <v>0</v>
      </c>
      <c r="F95" s="4">
        <v>0</v>
      </c>
      <c r="G95" s="20">
        <v>0</v>
      </c>
      <c r="H95" s="20">
        <v>0</v>
      </c>
      <c r="I95" s="20">
        <f>1379000+296000+148000</f>
        <v>1823000</v>
      </c>
      <c r="J95" s="20">
        <v>0</v>
      </c>
      <c r="K95" s="20">
        <v>0</v>
      </c>
      <c r="L95" s="94">
        <f t="shared" si="2"/>
        <v>1823000</v>
      </c>
    </row>
    <row r="96" spans="1:12">
      <c r="A96" s="8">
        <v>93</v>
      </c>
      <c r="B96" s="1" t="s">
        <v>329</v>
      </c>
      <c r="C96" s="12" t="s">
        <v>330</v>
      </c>
      <c r="D96" s="4" t="s">
        <v>24</v>
      </c>
      <c r="E96" s="4">
        <v>0</v>
      </c>
      <c r="F96" s="4">
        <v>0</v>
      </c>
      <c r="G96" s="32">
        <v>0</v>
      </c>
      <c r="H96" s="20">
        <v>0</v>
      </c>
      <c r="I96" s="20">
        <v>0</v>
      </c>
      <c r="J96" s="20">
        <f>1970000+765000</f>
        <v>2735000</v>
      </c>
      <c r="K96" s="20">
        <v>0</v>
      </c>
      <c r="L96" s="94">
        <f t="shared" si="2"/>
        <v>2735000</v>
      </c>
    </row>
    <row r="97" spans="1:12" ht="31.5">
      <c r="A97" s="8">
        <v>94</v>
      </c>
      <c r="B97" s="1" t="s">
        <v>331</v>
      </c>
      <c r="C97" s="5" t="s">
        <v>421</v>
      </c>
      <c r="D97" s="4" t="s">
        <v>24</v>
      </c>
      <c r="E97" s="4">
        <v>0</v>
      </c>
      <c r="F97" s="4">
        <v>0</v>
      </c>
      <c r="G97" s="20">
        <v>0</v>
      </c>
      <c r="H97" s="20">
        <f>797050+195500+99700</f>
        <v>1092250</v>
      </c>
      <c r="I97" s="20">
        <v>0</v>
      </c>
      <c r="J97" s="20">
        <v>0</v>
      </c>
      <c r="K97" s="20">
        <v>0</v>
      </c>
      <c r="L97" s="94">
        <f t="shared" si="2"/>
        <v>1092250</v>
      </c>
    </row>
    <row r="98" spans="1:12">
      <c r="A98" s="8">
        <v>95</v>
      </c>
      <c r="B98" s="1" t="s">
        <v>336</v>
      </c>
      <c r="C98" s="4" t="s">
        <v>26</v>
      </c>
      <c r="D98" s="4" t="s">
        <v>24</v>
      </c>
      <c r="E98" s="4">
        <v>0</v>
      </c>
      <c r="F98" s="4">
        <v>0</v>
      </c>
      <c r="G98" s="20">
        <v>0</v>
      </c>
      <c r="H98" s="20">
        <v>0</v>
      </c>
      <c r="I98" s="20">
        <f>1288000+280500+140000</f>
        <v>1708500</v>
      </c>
      <c r="J98" s="20">
        <v>0</v>
      </c>
      <c r="K98" s="20">
        <v>0</v>
      </c>
      <c r="L98" s="94">
        <f t="shared" si="2"/>
        <v>1708500</v>
      </c>
    </row>
    <row r="99" spans="1:12" ht="31.5">
      <c r="A99" s="8">
        <v>96</v>
      </c>
      <c r="B99" s="1" t="s">
        <v>471</v>
      </c>
      <c r="C99" s="4" t="s">
        <v>26</v>
      </c>
      <c r="D99" s="4" t="s">
        <v>24</v>
      </c>
      <c r="E99" s="4">
        <v>0</v>
      </c>
      <c r="F99" s="4">
        <v>0</v>
      </c>
      <c r="G99" s="20">
        <v>0</v>
      </c>
      <c r="H99" s="20">
        <v>0</v>
      </c>
      <c r="I99" s="20">
        <f>1359200+295600+147800</f>
        <v>1802600</v>
      </c>
      <c r="J99" s="20">
        <v>0</v>
      </c>
      <c r="K99" s="20">
        <v>0</v>
      </c>
      <c r="L99" s="94">
        <f t="shared" si="2"/>
        <v>1802600</v>
      </c>
    </row>
    <row r="100" spans="1:12">
      <c r="A100" s="8">
        <v>97</v>
      </c>
      <c r="B100" s="1" t="s">
        <v>339</v>
      </c>
      <c r="C100" s="4" t="s">
        <v>335</v>
      </c>
      <c r="D100" s="4" t="s">
        <v>24</v>
      </c>
      <c r="E100" s="4">
        <f>1000000+220000+110000</f>
        <v>1330000</v>
      </c>
      <c r="F100" s="4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94">
        <f t="shared" ref="L100:L121" si="3">E100+F100+G100+H100+I100+J100+K100</f>
        <v>1330000</v>
      </c>
    </row>
    <row r="101" spans="1:12">
      <c r="A101" s="8">
        <v>98</v>
      </c>
      <c r="B101" s="1" t="s">
        <v>340</v>
      </c>
      <c r="C101" s="4" t="s">
        <v>341</v>
      </c>
      <c r="D101" s="4" t="s">
        <v>24</v>
      </c>
      <c r="E101" s="4">
        <v>0</v>
      </c>
      <c r="F101" s="4">
        <f>1565000+400000</f>
        <v>1965000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94">
        <f t="shared" si="3"/>
        <v>1965000</v>
      </c>
    </row>
    <row r="102" spans="1:12" ht="31.5">
      <c r="A102" s="8">
        <v>99</v>
      </c>
      <c r="B102" s="1" t="s">
        <v>342</v>
      </c>
      <c r="C102" s="4" t="s">
        <v>343</v>
      </c>
      <c r="D102" s="4" t="s">
        <v>24</v>
      </c>
      <c r="E102" s="4">
        <v>0</v>
      </c>
      <c r="F102" s="4">
        <v>2145000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94">
        <f t="shared" si="3"/>
        <v>2145000</v>
      </c>
    </row>
    <row r="103" spans="1:12">
      <c r="A103" s="8">
        <v>100</v>
      </c>
      <c r="B103" s="1" t="s">
        <v>346</v>
      </c>
      <c r="C103" s="4" t="s">
        <v>347</v>
      </c>
      <c r="D103" s="4" t="s">
        <v>24</v>
      </c>
      <c r="E103" s="4">
        <v>0</v>
      </c>
      <c r="F103" s="4">
        <v>0</v>
      </c>
      <c r="G103" s="32">
        <v>0</v>
      </c>
      <c r="H103" s="20">
        <v>0</v>
      </c>
      <c r="I103" s="20">
        <v>0</v>
      </c>
      <c r="J103" s="20">
        <f>1633500+612000</f>
        <v>2245500</v>
      </c>
      <c r="K103" s="20">
        <v>0</v>
      </c>
      <c r="L103" s="94">
        <f t="shared" si="3"/>
        <v>2245500</v>
      </c>
    </row>
    <row r="104" spans="1:12">
      <c r="A104" s="8">
        <v>101</v>
      </c>
      <c r="B104" s="1" t="s">
        <v>348</v>
      </c>
      <c r="C104" s="5" t="s">
        <v>422</v>
      </c>
      <c r="D104" s="4" t="s">
        <v>24</v>
      </c>
      <c r="E104" s="4">
        <v>0</v>
      </c>
      <c r="F104" s="4">
        <v>0</v>
      </c>
      <c r="G104" s="20">
        <v>0</v>
      </c>
      <c r="H104" s="20">
        <f>638500+76800</f>
        <v>715300</v>
      </c>
      <c r="I104" s="20">
        <v>0</v>
      </c>
      <c r="J104" s="20">
        <v>0</v>
      </c>
      <c r="K104" s="20">
        <v>0</v>
      </c>
      <c r="L104" s="94">
        <f t="shared" si="3"/>
        <v>715300</v>
      </c>
    </row>
    <row r="105" spans="1:12" ht="31.5">
      <c r="A105" s="8">
        <v>102</v>
      </c>
      <c r="B105" s="1" t="s">
        <v>351</v>
      </c>
      <c r="C105" s="5" t="s">
        <v>424</v>
      </c>
      <c r="D105" s="4" t="s">
        <v>24</v>
      </c>
      <c r="E105" s="4">
        <v>0</v>
      </c>
      <c r="F105" s="4">
        <v>0</v>
      </c>
      <c r="G105" s="20">
        <v>0</v>
      </c>
      <c r="H105" s="20">
        <f>1087600+267000+133500</f>
        <v>1488100</v>
      </c>
      <c r="I105" s="20">
        <v>0</v>
      </c>
      <c r="J105" s="20">
        <v>0</v>
      </c>
      <c r="K105" s="20">
        <v>0</v>
      </c>
      <c r="L105" s="94">
        <f t="shared" si="3"/>
        <v>1488100</v>
      </c>
    </row>
    <row r="106" spans="1:12" ht="31.5">
      <c r="A106" s="8">
        <v>103</v>
      </c>
      <c r="B106" s="1" t="s">
        <v>353</v>
      </c>
      <c r="C106" s="46" t="s">
        <v>354</v>
      </c>
      <c r="D106" s="4" t="s">
        <v>24</v>
      </c>
      <c r="E106" s="4">
        <v>0</v>
      </c>
      <c r="F106" s="4">
        <v>0</v>
      </c>
      <c r="G106" s="32">
        <v>0</v>
      </c>
      <c r="H106" s="20">
        <f>930100+334650+111550</f>
        <v>1376300</v>
      </c>
      <c r="I106" s="20">
        <v>0</v>
      </c>
      <c r="J106" s="20">
        <v>0</v>
      </c>
      <c r="K106" s="20">
        <v>0</v>
      </c>
      <c r="L106" s="94">
        <f t="shared" si="3"/>
        <v>1376300</v>
      </c>
    </row>
    <row r="107" spans="1:12" ht="31.5">
      <c r="A107" s="8">
        <v>104</v>
      </c>
      <c r="B107" s="1" t="s">
        <v>357</v>
      </c>
      <c r="C107" s="12" t="s">
        <v>358</v>
      </c>
      <c r="D107" s="4" t="s">
        <v>24</v>
      </c>
      <c r="E107" s="4">
        <v>0</v>
      </c>
      <c r="F107" s="4">
        <f>1505000+510000</f>
        <v>2015000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94">
        <f t="shared" si="3"/>
        <v>2015000</v>
      </c>
    </row>
    <row r="108" spans="1:12">
      <c r="A108" s="8">
        <v>105</v>
      </c>
      <c r="B108" s="42" t="s">
        <v>359</v>
      </c>
      <c r="C108" s="64" t="s">
        <v>360</v>
      </c>
      <c r="D108" s="4" t="s">
        <v>24</v>
      </c>
      <c r="E108" s="4">
        <v>0</v>
      </c>
      <c r="F108" s="4">
        <v>0</v>
      </c>
      <c r="G108" s="32">
        <f>780000+315000</f>
        <v>1095000</v>
      </c>
      <c r="H108" s="20">
        <v>0</v>
      </c>
      <c r="I108" s="20">
        <v>0</v>
      </c>
      <c r="J108" s="20">
        <v>0</v>
      </c>
      <c r="K108" s="20">
        <v>0</v>
      </c>
      <c r="L108" s="94">
        <f t="shared" si="3"/>
        <v>1095000</v>
      </c>
    </row>
    <row r="109" spans="1:12" ht="18.75">
      <c r="A109" s="8">
        <v>106</v>
      </c>
      <c r="B109" s="1" t="s">
        <v>361</v>
      </c>
      <c r="C109" s="91" t="s">
        <v>425</v>
      </c>
      <c r="D109" s="4" t="s">
        <v>24</v>
      </c>
      <c r="E109" s="4">
        <v>0</v>
      </c>
      <c r="F109" s="4">
        <v>0</v>
      </c>
      <c r="G109" s="20">
        <v>0</v>
      </c>
      <c r="H109" s="20">
        <f>1196900+271600+135800</f>
        <v>1604300</v>
      </c>
      <c r="I109" s="20">
        <v>0</v>
      </c>
      <c r="J109" s="20">
        <v>0</v>
      </c>
      <c r="K109" s="20">
        <v>0</v>
      </c>
      <c r="L109" s="94">
        <f t="shared" si="3"/>
        <v>1604300</v>
      </c>
    </row>
    <row r="110" spans="1:12" ht="31.5">
      <c r="A110" s="8">
        <v>107</v>
      </c>
      <c r="B110" s="1" t="s">
        <v>8</v>
      </c>
      <c r="C110" s="5" t="s">
        <v>426</v>
      </c>
      <c r="D110" s="4" t="s">
        <v>62</v>
      </c>
      <c r="E110" s="4">
        <v>0</v>
      </c>
      <c r="F110" s="4">
        <v>1485000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94">
        <f t="shared" si="3"/>
        <v>1485000</v>
      </c>
    </row>
    <row r="111" spans="1:12">
      <c r="A111" s="8">
        <v>108</v>
      </c>
      <c r="B111" s="1" t="s">
        <v>0</v>
      </c>
      <c r="C111" s="4" t="s">
        <v>22</v>
      </c>
      <c r="D111" s="4" t="s">
        <v>23</v>
      </c>
      <c r="E111" s="4">
        <f>880000+183208+93208</f>
        <v>1156416</v>
      </c>
      <c r="F111" s="4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94">
        <f t="shared" si="3"/>
        <v>1156416</v>
      </c>
    </row>
    <row r="112" spans="1:12" ht="31.5">
      <c r="A112" s="8">
        <v>109</v>
      </c>
      <c r="B112" s="1" t="s">
        <v>364</v>
      </c>
      <c r="C112" s="4" t="s">
        <v>365</v>
      </c>
      <c r="D112" s="4" t="s">
        <v>23</v>
      </c>
      <c r="E112" s="4">
        <v>0</v>
      </c>
      <c r="F112" s="4">
        <v>0</v>
      </c>
      <c r="G112" s="20">
        <v>0</v>
      </c>
      <c r="H112" s="20">
        <v>0</v>
      </c>
      <c r="I112" s="20">
        <f>1386000+310000+155200</f>
        <v>1851200</v>
      </c>
      <c r="J112" s="20">
        <v>0</v>
      </c>
      <c r="K112" s="20">
        <v>0</v>
      </c>
      <c r="L112" s="94">
        <f t="shared" si="3"/>
        <v>1851200</v>
      </c>
    </row>
    <row r="113" spans="1:12">
      <c r="A113" s="8">
        <v>110</v>
      </c>
      <c r="B113" s="1" t="s">
        <v>368</v>
      </c>
      <c r="C113" s="4" t="s">
        <v>369</v>
      </c>
      <c r="D113" s="4" t="s">
        <v>23</v>
      </c>
      <c r="E113" s="4">
        <v>0</v>
      </c>
      <c r="F113" s="4">
        <v>0</v>
      </c>
      <c r="G113" s="20">
        <v>0</v>
      </c>
      <c r="H113" s="20">
        <v>0</v>
      </c>
      <c r="I113" s="20">
        <v>693900</v>
      </c>
      <c r="J113" s="20">
        <v>0</v>
      </c>
      <c r="K113" s="20">
        <v>0</v>
      </c>
      <c r="L113" s="94">
        <f t="shared" si="3"/>
        <v>693900</v>
      </c>
    </row>
    <row r="114" spans="1:12">
      <c r="A114" s="8">
        <v>111</v>
      </c>
      <c r="B114" s="1" t="s">
        <v>370</v>
      </c>
      <c r="C114" s="4" t="s">
        <v>371</v>
      </c>
      <c r="D114" s="4" t="s">
        <v>23</v>
      </c>
      <c r="E114" s="4">
        <v>0</v>
      </c>
      <c r="F114" s="4">
        <v>0</v>
      </c>
      <c r="G114" s="20">
        <v>0</v>
      </c>
      <c r="H114" s="20">
        <v>0</v>
      </c>
      <c r="I114" s="20">
        <f>1224400+262200+129600</f>
        <v>1616200</v>
      </c>
      <c r="J114" s="20">
        <v>0</v>
      </c>
      <c r="K114" s="20">
        <v>0</v>
      </c>
      <c r="L114" s="94">
        <f t="shared" si="3"/>
        <v>1616200</v>
      </c>
    </row>
    <row r="115" spans="1:12">
      <c r="A115" s="8">
        <v>112</v>
      </c>
      <c r="B115" s="1" t="s">
        <v>372</v>
      </c>
      <c r="C115" s="4" t="s">
        <v>371</v>
      </c>
      <c r="D115" s="4" t="s">
        <v>23</v>
      </c>
      <c r="E115" s="4">
        <v>0</v>
      </c>
      <c r="F115" s="4">
        <v>0</v>
      </c>
      <c r="G115" s="20">
        <v>0</v>
      </c>
      <c r="H115" s="20">
        <v>0</v>
      </c>
      <c r="I115" s="20">
        <v>1234500</v>
      </c>
      <c r="J115" s="20">
        <v>0</v>
      </c>
      <c r="K115" s="20">
        <v>0</v>
      </c>
      <c r="L115" s="94">
        <f t="shared" si="3"/>
        <v>1234500</v>
      </c>
    </row>
    <row r="116" spans="1:12">
      <c r="A116" s="8">
        <v>113</v>
      </c>
      <c r="B116" s="1" t="s">
        <v>373</v>
      </c>
      <c r="C116" s="4" t="s">
        <v>374</v>
      </c>
      <c r="D116" s="4" t="s">
        <v>23</v>
      </c>
      <c r="E116" s="4">
        <f>848500+180000+90000</f>
        <v>1118500</v>
      </c>
      <c r="F116" s="4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94">
        <f t="shared" si="3"/>
        <v>1118500</v>
      </c>
    </row>
    <row r="117" spans="1:12">
      <c r="A117" s="8">
        <v>114</v>
      </c>
      <c r="B117" s="1" t="s">
        <v>375</v>
      </c>
      <c r="C117" s="4" t="s">
        <v>376</v>
      </c>
      <c r="D117" s="4" t="s">
        <v>23</v>
      </c>
      <c r="E117" s="4">
        <v>0</v>
      </c>
      <c r="F117" s="4">
        <v>0</v>
      </c>
      <c r="G117" s="20">
        <v>0</v>
      </c>
      <c r="H117" s="20">
        <v>0</v>
      </c>
      <c r="I117" s="20">
        <f>1365500+308000+154000</f>
        <v>1827500</v>
      </c>
      <c r="J117" s="20">
        <v>0</v>
      </c>
      <c r="K117" s="20">
        <v>0</v>
      </c>
      <c r="L117" s="94">
        <f t="shared" si="3"/>
        <v>1827500</v>
      </c>
    </row>
    <row r="118" spans="1:12" ht="31.5">
      <c r="A118" s="8">
        <v>115</v>
      </c>
      <c r="B118" s="1" t="s">
        <v>472</v>
      </c>
      <c r="C118" s="4" t="s">
        <v>378</v>
      </c>
      <c r="D118" s="4" t="s">
        <v>23</v>
      </c>
      <c r="E118" s="4">
        <v>0</v>
      </c>
      <c r="F118" s="4">
        <v>0</v>
      </c>
      <c r="G118" s="23">
        <v>0</v>
      </c>
      <c r="H118" s="20">
        <v>0</v>
      </c>
      <c r="I118" s="20">
        <f>1445782+312000+156000</f>
        <v>1913782</v>
      </c>
      <c r="J118" s="20">
        <v>0</v>
      </c>
      <c r="K118" s="20">
        <v>0</v>
      </c>
      <c r="L118" s="94">
        <f t="shared" si="3"/>
        <v>1913782</v>
      </c>
    </row>
    <row r="119" spans="1:12">
      <c r="A119" s="8">
        <v>116</v>
      </c>
      <c r="B119" s="40" t="s">
        <v>379</v>
      </c>
      <c r="C119" s="41" t="s">
        <v>380</v>
      </c>
      <c r="D119" s="4" t="s">
        <v>23</v>
      </c>
      <c r="E119" s="4">
        <v>0</v>
      </c>
      <c r="F119" s="4">
        <f>1235000+520000</f>
        <v>1755000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94">
        <f t="shared" si="3"/>
        <v>1755000</v>
      </c>
    </row>
    <row r="120" spans="1:12" ht="31.5">
      <c r="A120" s="8">
        <v>117</v>
      </c>
      <c r="B120" s="1" t="s">
        <v>383</v>
      </c>
      <c r="C120" s="4" t="s">
        <v>380</v>
      </c>
      <c r="D120" s="4" t="s">
        <v>23</v>
      </c>
      <c r="E120" s="4">
        <f>905200+188000+93000</f>
        <v>1186200</v>
      </c>
      <c r="F120" s="4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94">
        <f t="shared" si="3"/>
        <v>1186200</v>
      </c>
    </row>
    <row r="121" spans="1:12" ht="18.75">
      <c r="A121" s="8">
        <v>118</v>
      </c>
      <c r="B121" s="1" t="s">
        <v>384</v>
      </c>
      <c r="C121" s="91" t="s">
        <v>427</v>
      </c>
      <c r="D121" s="4" t="s">
        <v>23</v>
      </c>
      <c r="E121" s="4">
        <v>0</v>
      </c>
      <c r="F121" s="4">
        <v>0</v>
      </c>
      <c r="G121" s="20">
        <v>0</v>
      </c>
      <c r="H121" s="20">
        <f>692500+138600+69300</f>
        <v>900400</v>
      </c>
      <c r="I121" s="20">
        <v>0</v>
      </c>
      <c r="J121" s="20">
        <v>0</v>
      </c>
      <c r="K121" s="20">
        <v>0</v>
      </c>
      <c r="L121" s="94">
        <f t="shared" si="3"/>
        <v>900400</v>
      </c>
    </row>
    <row r="122" spans="1:12" s="136" customFormat="1" ht="16.5" thickBot="1">
      <c r="A122" s="145"/>
      <c r="B122" s="146" t="s">
        <v>63</v>
      </c>
      <c r="C122" s="147"/>
      <c r="D122" s="147"/>
      <c r="E122" s="147">
        <f t="shared" ref="E122:L122" si="4">SUM(E4:E121)</f>
        <v>15406301</v>
      </c>
      <c r="F122" s="147">
        <f t="shared" si="4"/>
        <v>31550000</v>
      </c>
      <c r="G122" s="147">
        <f t="shared" si="4"/>
        <v>12869000</v>
      </c>
      <c r="H122" s="147">
        <f t="shared" si="4"/>
        <v>26529856</v>
      </c>
      <c r="I122" s="147">
        <f t="shared" si="4"/>
        <v>57648170</v>
      </c>
      <c r="J122" s="147">
        <f t="shared" si="4"/>
        <v>23552500</v>
      </c>
      <c r="K122" s="147">
        <f t="shared" si="4"/>
        <v>0</v>
      </c>
      <c r="L122" s="147">
        <f t="shared" si="4"/>
        <v>167555827</v>
      </c>
    </row>
    <row r="123" spans="1:12" s="127" customFormat="1" ht="16.5" thickTop="1">
      <c r="A123" s="20"/>
      <c r="B123" s="130" t="s">
        <v>479</v>
      </c>
      <c r="C123" s="21"/>
      <c r="D123" s="21"/>
      <c r="E123" s="21">
        <v>5475198</v>
      </c>
      <c r="F123" s="21">
        <v>702778</v>
      </c>
      <c r="G123" s="21">
        <v>593847</v>
      </c>
      <c r="H123" s="21">
        <v>8231288</v>
      </c>
      <c r="I123" s="21">
        <v>13759935</v>
      </c>
      <c r="J123" s="21">
        <v>671559</v>
      </c>
      <c r="K123" s="21">
        <v>0</v>
      </c>
      <c r="L123" s="21">
        <f>E123+F123+G123+H123+I123+J123+K123</f>
        <v>29434605</v>
      </c>
    </row>
    <row r="124" spans="1:12" s="16" customFormat="1">
      <c r="A124" s="133"/>
      <c r="B124" s="134"/>
      <c r="C124" s="132"/>
      <c r="D124" s="132"/>
      <c r="E124" s="132">
        <f>E122+E123</f>
        <v>20881499</v>
      </c>
      <c r="F124" s="132">
        <f t="shared" ref="F124:L124" si="5">F122+F123</f>
        <v>32252778</v>
      </c>
      <c r="G124" s="132">
        <f t="shared" si="5"/>
        <v>13462847</v>
      </c>
      <c r="H124" s="132">
        <f t="shared" si="5"/>
        <v>34761144</v>
      </c>
      <c r="I124" s="132">
        <f t="shared" si="5"/>
        <v>71408105</v>
      </c>
      <c r="J124" s="132">
        <f t="shared" si="5"/>
        <v>24224059</v>
      </c>
      <c r="K124" s="132">
        <f t="shared" si="5"/>
        <v>0</v>
      </c>
      <c r="L124" s="132">
        <f t="shared" si="5"/>
        <v>196990432</v>
      </c>
    </row>
    <row r="125" spans="1:12">
      <c r="C125" s="69"/>
      <c r="D125" s="69"/>
      <c r="E125" s="3"/>
      <c r="F125" s="3"/>
      <c r="G125" s="3"/>
      <c r="H125" s="3"/>
      <c r="I125" s="3"/>
      <c r="J125" s="3"/>
    </row>
    <row r="126" spans="1:12" ht="47.25">
      <c r="A126" s="3"/>
      <c r="B126" s="71" t="s">
        <v>390</v>
      </c>
      <c r="E126" s="120" t="s">
        <v>462</v>
      </c>
      <c r="F126" s="120" t="s">
        <v>466</v>
      </c>
      <c r="G126" s="120" t="s">
        <v>467</v>
      </c>
      <c r="H126" s="120" t="s">
        <v>463</v>
      </c>
      <c r="I126" s="120" t="s">
        <v>464</v>
      </c>
      <c r="J126" s="120" t="s">
        <v>468</v>
      </c>
    </row>
    <row r="127" spans="1:12">
      <c r="A127" s="3"/>
      <c r="F127" s="75"/>
      <c r="G127" s="75"/>
    </row>
    <row r="129" spans="1:1">
      <c r="A129" s="3"/>
    </row>
  </sheetData>
  <mergeCells count="3">
    <mergeCell ref="A2:D2"/>
    <mergeCell ref="A1:L1"/>
    <mergeCell ref="E2:L2"/>
  </mergeCells>
  <conditionalFormatting sqref="B40">
    <cfRule type="duplicateValues" dxfId="135" priority="9"/>
  </conditionalFormatting>
  <conditionalFormatting sqref="B126:D1048576 C122:D125 B4:B11 B41 B24:B39 B69:B71 B75:B125 B3:D3 B13:B22 B43:B65 B67">
    <cfRule type="duplicateValues" dxfId="134" priority="8"/>
  </conditionalFormatting>
  <conditionalFormatting sqref="B122:D1048576">
    <cfRule type="duplicateValues" dxfId="133" priority="7"/>
  </conditionalFormatting>
  <conditionalFormatting sqref="B123:D124">
    <cfRule type="duplicateValues" dxfId="132" priority="6"/>
  </conditionalFormatting>
  <conditionalFormatting sqref="C123:D124">
    <cfRule type="duplicateValues" dxfId="131" priority="5"/>
  </conditionalFormatting>
  <conditionalFormatting sqref="A3">
    <cfRule type="duplicateValues" dxfId="130" priority="4"/>
  </conditionalFormatting>
  <conditionalFormatting sqref="B3:D3">
    <cfRule type="duplicateValues" dxfId="129" priority="3"/>
  </conditionalFormatting>
  <conditionalFormatting sqref="C122:D125">
    <cfRule type="duplicateValues" dxfId="128" priority="2"/>
  </conditionalFormatting>
  <conditionalFormatting sqref="B122:D125">
    <cfRule type="duplicateValues" dxfId="12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RowHeight="15.75"/>
  <cols>
    <col min="1" max="1" width="7.28515625" style="74" customWidth="1"/>
    <col min="2" max="2" width="37.5703125" style="17" customWidth="1"/>
    <col min="3" max="3" width="16.140625" style="17" customWidth="1"/>
    <col min="4" max="4" width="15.85546875" style="17" customWidth="1"/>
    <col min="5" max="5" width="11.28515625" style="157" customWidth="1"/>
    <col min="6" max="7" width="11.42578125" style="157" customWidth="1"/>
    <col min="8" max="8" width="11.7109375" style="157" customWidth="1"/>
    <col min="9" max="9" width="11.85546875" style="157" customWidth="1"/>
    <col min="10" max="10" width="11.5703125" style="157" customWidth="1"/>
    <col min="11" max="11" width="12.7109375" style="150" customWidth="1"/>
    <col min="12" max="13" width="9.140625" style="3" customWidth="1"/>
    <col min="14" max="16384" width="9.140625" style="3"/>
  </cols>
  <sheetData>
    <row r="1" spans="1:11" s="6" customFormat="1" ht="23.25" customHeight="1">
      <c r="A1" s="181" t="s">
        <v>502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7" customFormat="1" ht="38.25" customHeight="1">
      <c r="A2" s="162" t="s">
        <v>47</v>
      </c>
      <c r="B2" s="162" t="s">
        <v>13</v>
      </c>
      <c r="C2" s="161" t="s">
        <v>46</v>
      </c>
      <c r="D2" s="161" t="s">
        <v>16</v>
      </c>
      <c r="E2" s="161" t="s">
        <v>508</v>
      </c>
      <c r="F2" s="161" t="s">
        <v>440</v>
      </c>
      <c r="G2" s="161" t="s">
        <v>499</v>
      </c>
      <c r="H2" s="161" t="s">
        <v>498</v>
      </c>
      <c r="I2" s="161" t="s">
        <v>452</v>
      </c>
      <c r="J2" s="161" t="s">
        <v>500</v>
      </c>
      <c r="K2" s="160" t="s">
        <v>503</v>
      </c>
    </row>
    <row r="3" spans="1:11" ht="31.5">
      <c r="A3" s="8">
        <v>1</v>
      </c>
      <c r="B3" s="1" t="s">
        <v>66</v>
      </c>
      <c r="C3" s="4" t="s">
        <v>67</v>
      </c>
      <c r="D3" s="4" t="s">
        <v>29</v>
      </c>
      <c r="E3" s="20">
        <v>0</v>
      </c>
      <c r="F3" s="20">
        <v>0</v>
      </c>
      <c r="G3" s="20">
        <v>1707000</v>
      </c>
      <c r="H3" s="20">
        <v>0</v>
      </c>
      <c r="I3" s="20">
        <v>0</v>
      </c>
      <c r="J3" s="20">
        <v>0</v>
      </c>
      <c r="K3" s="119">
        <f>E3+I3+H3+F3+G3+J3</f>
        <v>1707000</v>
      </c>
    </row>
    <row r="4" spans="1:11">
      <c r="A4" s="8">
        <v>2</v>
      </c>
      <c r="B4" s="1" t="s">
        <v>68</v>
      </c>
      <c r="C4" s="4" t="s">
        <v>39</v>
      </c>
      <c r="D4" s="4" t="s">
        <v>29</v>
      </c>
      <c r="E4" s="20">
        <v>0</v>
      </c>
      <c r="F4" s="20">
        <v>0</v>
      </c>
      <c r="G4" s="20">
        <v>1843279</v>
      </c>
      <c r="H4" s="20">
        <v>0</v>
      </c>
      <c r="I4" s="20">
        <v>0</v>
      </c>
      <c r="J4" s="20">
        <v>0</v>
      </c>
      <c r="K4" s="119">
        <f t="shared" ref="K4:K67" si="0">E4+I4+H4+F4+G4+J4</f>
        <v>1843279</v>
      </c>
    </row>
    <row r="5" spans="1:11">
      <c r="A5" s="8">
        <v>3</v>
      </c>
      <c r="B5" s="1" t="s">
        <v>69</v>
      </c>
      <c r="C5" s="4" t="s">
        <v>67</v>
      </c>
      <c r="D5" s="4" t="s">
        <v>29</v>
      </c>
      <c r="E5" s="20">
        <v>0</v>
      </c>
      <c r="F5" s="20">
        <v>0</v>
      </c>
      <c r="G5" s="20">
        <v>1764276</v>
      </c>
      <c r="H5" s="20">
        <v>0</v>
      </c>
      <c r="I5" s="20">
        <v>0</v>
      </c>
      <c r="J5" s="20">
        <v>0</v>
      </c>
      <c r="K5" s="119">
        <f t="shared" si="0"/>
        <v>1764276</v>
      </c>
    </row>
    <row r="6" spans="1:11">
      <c r="A6" s="8">
        <v>4</v>
      </c>
      <c r="B6" s="1" t="s">
        <v>70</v>
      </c>
      <c r="C6" s="4" t="s">
        <v>71</v>
      </c>
      <c r="D6" s="4" t="s">
        <v>29</v>
      </c>
      <c r="E6" s="20">
        <v>0</v>
      </c>
      <c r="F6" s="20">
        <v>0</v>
      </c>
      <c r="G6" s="20">
        <v>1776000</v>
      </c>
      <c r="H6" s="22">
        <v>0</v>
      </c>
      <c r="I6" s="20">
        <v>0</v>
      </c>
      <c r="J6" s="20">
        <v>0</v>
      </c>
      <c r="K6" s="119">
        <f t="shared" si="0"/>
        <v>1776000</v>
      </c>
    </row>
    <row r="7" spans="1:11">
      <c r="A7" s="8">
        <v>5</v>
      </c>
      <c r="B7" s="1" t="s">
        <v>11</v>
      </c>
      <c r="C7" s="4" t="s">
        <v>39</v>
      </c>
      <c r="D7" s="4" t="s">
        <v>29</v>
      </c>
      <c r="E7" s="20">
        <v>0</v>
      </c>
      <c r="F7" s="20">
        <v>0</v>
      </c>
      <c r="G7" s="20">
        <v>0</v>
      </c>
      <c r="H7" s="22">
        <v>0</v>
      </c>
      <c r="I7" s="20">
        <v>0</v>
      </c>
      <c r="J7" s="20">
        <f>170000+340000+680000+170000</f>
        <v>1360000</v>
      </c>
      <c r="K7" s="119">
        <f t="shared" si="0"/>
        <v>1360000</v>
      </c>
    </row>
    <row r="8" spans="1:11">
      <c r="A8" s="8">
        <v>6</v>
      </c>
      <c r="B8" s="1" t="s">
        <v>72</v>
      </c>
      <c r="C8" s="33" t="s">
        <v>73</v>
      </c>
      <c r="D8" s="4" t="s">
        <v>29</v>
      </c>
      <c r="E8" s="20">
        <v>0</v>
      </c>
      <c r="F8" s="20">
        <v>454300</v>
      </c>
      <c r="G8" s="20">
        <v>0</v>
      </c>
      <c r="H8" s="20">
        <v>0</v>
      </c>
      <c r="I8" s="20">
        <v>0</v>
      </c>
      <c r="J8" s="20">
        <v>0</v>
      </c>
      <c r="K8" s="119">
        <f t="shared" si="0"/>
        <v>454300</v>
      </c>
    </row>
    <row r="9" spans="1:11">
      <c r="A9" s="8">
        <v>7</v>
      </c>
      <c r="B9" s="1" t="s">
        <v>74</v>
      </c>
      <c r="C9" s="4" t="s">
        <v>75</v>
      </c>
      <c r="D9" s="4" t="s">
        <v>29</v>
      </c>
      <c r="E9" s="20">
        <v>0</v>
      </c>
      <c r="F9" s="20">
        <v>0</v>
      </c>
      <c r="G9" s="20">
        <v>1548200</v>
      </c>
      <c r="H9" s="20">
        <v>0</v>
      </c>
      <c r="I9" s="20">
        <v>0</v>
      </c>
      <c r="J9" s="20">
        <v>0</v>
      </c>
      <c r="K9" s="119">
        <f t="shared" si="0"/>
        <v>1548200</v>
      </c>
    </row>
    <row r="10" spans="1:11">
      <c r="A10" s="8">
        <v>8</v>
      </c>
      <c r="B10" s="1" t="s">
        <v>76</v>
      </c>
      <c r="C10" s="5" t="s">
        <v>67</v>
      </c>
      <c r="D10" s="4" t="s">
        <v>29</v>
      </c>
      <c r="E10" s="20">
        <v>0</v>
      </c>
      <c r="F10" s="20">
        <v>1585478</v>
      </c>
      <c r="G10" s="20">
        <v>0</v>
      </c>
      <c r="H10" s="20">
        <v>0</v>
      </c>
      <c r="I10" s="20">
        <v>0</v>
      </c>
      <c r="J10" s="20">
        <v>0</v>
      </c>
      <c r="K10" s="119">
        <f t="shared" si="0"/>
        <v>1585478</v>
      </c>
    </row>
    <row r="11" spans="1:11" ht="31.5">
      <c r="A11" s="8">
        <v>9</v>
      </c>
      <c r="B11" s="1" t="s">
        <v>77</v>
      </c>
      <c r="C11" s="4" t="s">
        <v>78</v>
      </c>
      <c r="D11" s="4" t="s">
        <v>29</v>
      </c>
      <c r="E11" s="20">
        <v>0</v>
      </c>
      <c r="F11" s="20">
        <v>0</v>
      </c>
      <c r="G11" s="20">
        <v>0</v>
      </c>
      <c r="H11" s="20">
        <v>0</v>
      </c>
      <c r="I11" s="20">
        <f>600000+300000+150000+150000+150000+300000+150000</f>
        <v>1800000</v>
      </c>
      <c r="J11" s="20">
        <v>0</v>
      </c>
      <c r="K11" s="119">
        <f t="shared" si="0"/>
        <v>1800000</v>
      </c>
    </row>
    <row r="12" spans="1:11" ht="31.5">
      <c r="A12" s="8">
        <v>10</v>
      </c>
      <c r="B12" s="1" t="s">
        <v>79</v>
      </c>
      <c r="C12" s="4" t="s">
        <v>80</v>
      </c>
      <c r="D12" s="4" t="s">
        <v>29</v>
      </c>
      <c r="E12" s="20">
        <v>0</v>
      </c>
      <c r="F12" s="20">
        <v>0</v>
      </c>
      <c r="G12" s="20">
        <v>1779690</v>
      </c>
      <c r="H12" s="20">
        <v>0</v>
      </c>
      <c r="I12" s="20">
        <v>0</v>
      </c>
      <c r="J12" s="20">
        <v>0</v>
      </c>
      <c r="K12" s="119">
        <f t="shared" si="0"/>
        <v>1779690</v>
      </c>
    </row>
    <row r="13" spans="1:11">
      <c r="A13" s="8">
        <v>11</v>
      </c>
      <c r="B13" s="1" t="s">
        <v>81</v>
      </c>
      <c r="C13" s="4" t="s">
        <v>82</v>
      </c>
      <c r="D13" s="4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f>450000+450000+150000+190000+340000+200000+200000</f>
        <v>1980000</v>
      </c>
      <c r="J13" s="20">
        <v>0</v>
      </c>
      <c r="K13" s="119">
        <f t="shared" si="0"/>
        <v>1980000</v>
      </c>
    </row>
    <row r="14" spans="1:11">
      <c r="A14" s="8">
        <v>12</v>
      </c>
      <c r="B14" s="1" t="s">
        <v>84</v>
      </c>
      <c r="C14" s="4" t="s">
        <v>85</v>
      </c>
      <c r="D14" s="4" t="s">
        <v>35</v>
      </c>
      <c r="E14" s="20">
        <v>547500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19">
        <f t="shared" si="0"/>
        <v>547500</v>
      </c>
    </row>
    <row r="15" spans="1:11">
      <c r="A15" s="8">
        <v>13</v>
      </c>
      <c r="B15" s="100" t="s">
        <v>446</v>
      </c>
      <c r="C15" s="101" t="s">
        <v>447</v>
      </c>
      <c r="D15" s="101" t="s">
        <v>35</v>
      </c>
      <c r="E15" s="20">
        <v>646800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19">
        <f t="shared" si="0"/>
        <v>646800</v>
      </c>
    </row>
    <row r="16" spans="1:11" ht="31.5">
      <c r="A16" s="8">
        <v>14</v>
      </c>
      <c r="B16" s="1" t="s">
        <v>7</v>
      </c>
      <c r="C16" s="4" t="s">
        <v>40</v>
      </c>
      <c r="D16" s="4" t="s">
        <v>35</v>
      </c>
      <c r="E16" s="20">
        <v>247500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19">
        <f t="shared" si="0"/>
        <v>247500</v>
      </c>
    </row>
    <row r="17" spans="1:11" ht="47.25">
      <c r="A17" s="8">
        <v>15</v>
      </c>
      <c r="B17" s="1" t="s">
        <v>87</v>
      </c>
      <c r="C17" s="4" t="s">
        <v>88</v>
      </c>
      <c r="D17" s="4" t="s">
        <v>18</v>
      </c>
      <c r="E17" s="20">
        <v>0</v>
      </c>
      <c r="F17" s="20">
        <v>0</v>
      </c>
      <c r="G17" s="20">
        <v>1872000</v>
      </c>
      <c r="H17" s="20">
        <v>0</v>
      </c>
      <c r="I17" s="20">
        <v>0</v>
      </c>
      <c r="J17" s="20">
        <v>0</v>
      </c>
      <c r="K17" s="119">
        <f t="shared" si="0"/>
        <v>1872000</v>
      </c>
    </row>
    <row r="18" spans="1:11">
      <c r="A18" s="8">
        <v>16</v>
      </c>
      <c r="B18" s="1" t="s">
        <v>89</v>
      </c>
      <c r="C18" s="4" t="s">
        <v>90</v>
      </c>
      <c r="D18" s="4" t="s">
        <v>18</v>
      </c>
      <c r="E18" s="20">
        <v>0</v>
      </c>
      <c r="F18" s="20">
        <v>0</v>
      </c>
      <c r="G18" s="20">
        <v>1872000</v>
      </c>
      <c r="H18" s="20">
        <v>0</v>
      </c>
      <c r="I18" s="20">
        <v>0</v>
      </c>
      <c r="J18" s="20">
        <v>0</v>
      </c>
      <c r="K18" s="119">
        <f t="shared" si="0"/>
        <v>1872000</v>
      </c>
    </row>
    <row r="19" spans="1:11" ht="31.5">
      <c r="A19" s="8">
        <v>17</v>
      </c>
      <c r="B19" s="1" t="s">
        <v>91</v>
      </c>
      <c r="C19" s="4" t="s">
        <v>92</v>
      </c>
      <c r="D19" s="4" t="s">
        <v>18</v>
      </c>
      <c r="E19" s="20">
        <v>312500</v>
      </c>
      <c r="F19" s="20">
        <v>0</v>
      </c>
      <c r="G19" s="20">
        <v>0</v>
      </c>
      <c r="H19" s="22">
        <v>0</v>
      </c>
      <c r="I19" s="20">
        <v>0</v>
      </c>
      <c r="J19" s="20">
        <v>0</v>
      </c>
      <c r="K19" s="119">
        <f t="shared" si="0"/>
        <v>312500</v>
      </c>
    </row>
    <row r="20" spans="1:11">
      <c r="A20" s="8">
        <v>18</v>
      </c>
      <c r="B20" s="1" t="s">
        <v>9</v>
      </c>
      <c r="C20" s="4" t="s">
        <v>42</v>
      </c>
      <c r="D20" s="4" t="s">
        <v>18</v>
      </c>
      <c r="E20" s="20">
        <v>0</v>
      </c>
      <c r="F20" s="20">
        <v>2250400</v>
      </c>
      <c r="G20" s="20">
        <v>0</v>
      </c>
      <c r="H20" s="22">
        <v>0</v>
      </c>
      <c r="I20" s="20">
        <v>0</v>
      </c>
      <c r="J20" s="20">
        <v>0</v>
      </c>
      <c r="K20" s="119">
        <f t="shared" si="0"/>
        <v>2250400</v>
      </c>
    </row>
    <row r="21" spans="1:11" ht="31.5">
      <c r="A21" s="8">
        <v>19</v>
      </c>
      <c r="B21" s="1" t="s">
        <v>93</v>
      </c>
      <c r="C21" s="4" t="s">
        <v>94</v>
      </c>
      <c r="D21" s="4" t="s">
        <v>18</v>
      </c>
      <c r="E21" s="20">
        <v>0</v>
      </c>
      <c r="F21" s="20">
        <v>0</v>
      </c>
      <c r="G21" s="20">
        <v>1846200</v>
      </c>
      <c r="H21" s="20">
        <v>0</v>
      </c>
      <c r="I21" s="20">
        <v>0</v>
      </c>
      <c r="J21" s="20">
        <v>0</v>
      </c>
      <c r="K21" s="119">
        <f t="shared" si="0"/>
        <v>1846200</v>
      </c>
    </row>
    <row r="22" spans="1:11">
      <c r="A22" s="8">
        <v>20</v>
      </c>
      <c r="B22" s="1" t="s">
        <v>97</v>
      </c>
      <c r="C22" s="4" t="s">
        <v>96</v>
      </c>
      <c r="D22" s="4" t="s">
        <v>98</v>
      </c>
      <c r="E22" s="20">
        <v>155000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19">
        <f t="shared" si="0"/>
        <v>155000</v>
      </c>
    </row>
    <row r="23" spans="1:11" ht="31.5">
      <c r="A23" s="8">
        <v>21</v>
      </c>
      <c r="B23" s="1" t="s">
        <v>103</v>
      </c>
      <c r="C23" s="4" t="s">
        <v>104</v>
      </c>
      <c r="D23" s="4" t="s">
        <v>31</v>
      </c>
      <c r="E23" s="20">
        <v>0</v>
      </c>
      <c r="F23" s="20">
        <v>0</v>
      </c>
      <c r="G23" s="20">
        <v>0</v>
      </c>
      <c r="H23" s="22">
        <v>684000</v>
      </c>
      <c r="I23" s="20">
        <v>410000</v>
      </c>
      <c r="J23" s="20">
        <f>204000+204000+408000+204000</f>
        <v>1020000</v>
      </c>
      <c r="K23" s="119">
        <f t="shared" si="0"/>
        <v>2114000</v>
      </c>
    </row>
    <row r="24" spans="1:11">
      <c r="A24" s="8">
        <v>22</v>
      </c>
      <c r="B24" s="1" t="s">
        <v>12</v>
      </c>
      <c r="C24" s="4" t="s">
        <v>45</v>
      </c>
      <c r="D24" s="4" t="s">
        <v>31</v>
      </c>
      <c r="E24" s="20">
        <v>0</v>
      </c>
      <c r="F24" s="20">
        <v>0</v>
      </c>
      <c r="G24" s="20">
        <v>0</v>
      </c>
      <c r="H24" s="23">
        <v>0</v>
      </c>
      <c r="I24" s="20">
        <v>0</v>
      </c>
      <c r="J24" s="20">
        <v>952000</v>
      </c>
      <c r="K24" s="119">
        <f t="shared" si="0"/>
        <v>952000</v>
      </c>
    </row>
    <row r="25" spans="1:11">
      <c r="A25" s="8">
        <v>23</v>
      </c>
      <c r="B25" s="40" t="s">
        <v>112</v>
      </c>
      <c r="C25" s="4" t="s">
        <v>108</v>
      </c>
      <c r="D25" s="4" t="s">
        <v>108</v>
      </c>
      <c r="E25" s="20">
        <v>0</v>
      </c>
      <c r="F25" s="20">
        <v>0</v>
      </c>
      <c r="G25" s="20">
        <v>0</v>
      </c>
      <c r="H25" s="20">
        <v>0</v>
      </c>
      <c r="I25" s="20">
        <f>500000+800000+100000</f>
        <v>1400000</v>
      </c>
      <c r="J25" s="20">
        <v>0</v>
      </c>
      <c r="K25" s="119">
        <f t="shared" si="0"/>
        <v>1400000</v>
      </c>
    </row>
    <row r="26" spans="1:11">
      <c r="A26" s="8">
        <v>24</v>
      </c>
      <c r="B26" s="1" t="s">
        <v>115</v>
      </c>
      <c r="C26" s="4" t="s">
        <v>116</v>
      </c>
      <c r="D26" s="4" t="s">
        <v>108</v>
      </c>
      <c r="E26" s="20">
        <v>0</v>
      </c>
      <c r="F26" s="20">
        <v>0</v>
      </c>
      <c r="G26" s="20">
        <v>1625400</v>
      </c>
      <c r="H26" s="22">
        <v>0</v>
      </c>
      <c r="I26" s="20">
        <v>0</v>
      </c>
      <c r="J26" s="20">
        <v>0</v>
      </c>
      <c r="K26" s="119">
        <f t="shared" si="0"/>
        <v>1625400</v>
      </c>
    </row>
    <row r="27" spans="1:11">
      <c r="A27" s="8">
        <v>25</v>
      </c>
      <c r="B27" s="1" t="s">
        <v>118</v>
      </c>
      <c r="C27" s="4" t="s">
        <v>108</v>
      </c>
      <c r="D27" s="4" t="s">
        <v>108</v>
      </c>
      <c r="E27" s="20">
        <v>351000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19">
        <f t="shared" si="0"/>
        <v>351000</v>
      </c>
    </row>
    <row r="28" spans="1:11" ht="31.5">
      <c r="A28" s="8">
        <v>26</v>
      </c>
      <c r="B28" s="1" t="s">
        <v>123</v>
      </c>
      <c r="C28" s="4" t="s">
        <v>124</v>
      </c>
      <c r="D28" s="4" t="s">
        <v>20</v>
      </c>
      <c r="E28" s="20">
        <v>0</v>
      </c>
      <c r="F28" s="20">
        <v>498500</v>
      </c>
      <c r="G28" s="20">
        <v>0</v>
      </c>
      <c r="H28" s="20">
        <v>0</v>
      </c>
      <c r="I28" s="20">
        <v>0</v>
      </c>
      <c r="J28" s="20">
        <v>0</v>
      </c>
      <c r="K28" s="119">
        <f t="shared" si="0"/>
        <v>498500</v>
      </c>
    </row>
    <row r="29" spans="1:11" ht="31.5">
      <c r="A29" s="8">
        <v>27</v>
      </c>
      <c r="B29" s="1" t="s">
        <v>125</v>
      </c>
      <c r="C29" s="4" t="s">
        <v>126</v>
      </c>
      <c r="D29" s="4" t="s">
        <v>20</v>
      </c>
      <c r="E29" s="20">
        <v>0</v>
      </c>
      <c r="F29" s="20">
        <v>0</v>
      </c>
      <c r="G29" s="20">
        <v>1415450</v>
      </c>
      <c r="H29" s="20">
        <v>0</v>
      </c>
      <c r="I29" s="20">
        <v>0</v>
      </c>
      <c r="J29" s="20">
        <v>0</v>
      </c>
      <c r="K29" s="119">
        <f t="shared" si="0"/>
        <v>1415450</v>
      </c>
    </row>
    <row r="30" spans="1:11" ht="31.5">
      <c r="A30" s="8">
        <v>28</v>
      </c>
      <c r="B30" s="1" t="s">
        <v>131</v>
      </c>
      <c r="C30" s="4" t="s">
        <v>132</v>
      </c>
      <c r="D30" s="4" t="s">
        <v>20</v>
      </c>
      <c r="E30" s="20">
        <v>0</v>
      </c>
      <c r="F30" s="20">
        <v>0</v>
      </c>
      <c r="G30" s="20">
        <v>1258400</v>
      </c>
      <c r="H30" s="20">
        <v>0</v>
      </c>
      <c r="I30" s="20">
        <v>0</v>
      </c>
      <c r="J30" s="20">
        <v>0</v>
      </c>
      <c r="K30" s="119">
        <f t="shared" si="0"/>
        <v>1258400</v>
      </c>
    </row>
    <row r="31" spans="1:11" ht="31.5">
      <c r="A31" s="8">
        <v>29</v>
      </c>
      <c r="B31" s="1" t="s">
        <v>133</v>
      </c>
      <c r="C31" s="4" t="s">
        <v>134</v>
      </c>
      <c r="D31" s="4" t="s">
        <v>20</v>
      </c>
      <c r="E31" s="20">
        <v>0</v>
      </c>
      <c r="F31" s="20">
        <v>0</v>
      </c>
      <c r="G31" s="20">
        <v>0</v>
      </c>
      <c r="H31" s="22">
        <f>203000+595000+406000+210000+210000+420000+210000</f>
        <v>2254000</v>
      </c>
      <c r="I31" s="20">
        <v>0</v>
      </c>
      <c r="J31" s="20">
        <v>0</v>
      </c>
      <c r="K31" s="119">
        <f t="shared" si="0"/>
        <v>2254000</v>
      </c>
    </row>
    <row r="32" spans="1:11" ht="47.25">
      <c r="A32" s="8">
        <v>30</v>
      </c>
      <c r="B32" s="1" t="s">
        <v>135</v>
      </c>
      <c r="C32" s="4" t="s">
        <v>124</v>
      </c>
      <c r="D32" s="4" t="s">
        <v>20</v>
      </c>
      <c r="E32" s="20">
        <v>0</v>
      </c>
      <c r="F32" s="20">
        <v>0</v>
      </c>
      <c r="G32" s="20">
        <v>1602000</v>
      </c>
      <c r="H32" s="20">
        <v>0</v>
      </c>
      <c r="I32" s="20">
        <v>0</v>
      </c>
      <c r="J32" s="20">
        <v>0</v>
      </c>
      <c r="K32" s="119">
        <f t="shared" si="0"/>
        <v>1602000</v>
      </c>
    </row>
    <row r="33" spans="1:11" ht="20.25" customHeight="1">
      <c r="A33" s="8">
        <v>31</v>
      </c>
      <c r="B33" s="1" t="s">
        <v>137</v>
      </c>
      <c r="C33" s="5" t="s">
        <v>409</v>
      </c>
      <c r="D33" s="4" t="s">
        <v>19</v>
      </c>
      <c r="E33" s="20">
        <v>0</v>
      </c>
      <c r="F33" s="20">
        <v>1499800</v>
      </c>
      <c r="G33" s="20">
        <v>0</v>
      </c>
      <c r="H33" s="20">
        <v>0</v>
      </c>
      <c r="I33" s="20">
        <v>0</v>
      </c>
      <c r="J33" s="20">
        <v>0</v>
      </c>
      <c r="K33" s="119">
        <f t="shared" si="0"/>
        <v>1499800</v>
      </c>
    </row>
    <row r="34" spans="1:11">
      <c r="A34" s="8">
        <v>32</v>
      </c>
      <c r="B34" s="1" t="s">
        <v>142</v>
      </c>
      <c r="C34" s="5" t="s">
        <v>410</v>
      </c>
      <c r="D34" s="4" t="s">
        <v>19</v>
      </c>
      <c r="E34" s="20">
        <v>0</v>
      </c>
      <c r="F34" s="20">
        <v>1929600</v>
      </c>
      <c r="G34" s="20">
        <v>0</v>
      </c>
      <c r="H34" s="20">
        <v>0</v>
      </c>
      <c r="I34" s="20">
        <v>0</v>
      </c>
      <c r="J34" s="20">
        <v>0</v>
      </c>
      <c r="K34" s="119">
        <f t="shared" si="0"/>
        <v>1929600</v>
      </c>
    </row>
    <row r="35" spans="1:11">
      <c r="A35" s="8">
        <v>33</v>
      </c>
      <c r="B35" s="1" t="s">
        <v>143</v>
      </c>
      <c r="C35" s="12" t="s">
        <v>144</v>
      </c>
      <c r="D35" s="4" t="s">
        <v>19</v>
      </c>
      <c r="E35" s="20">
        <v>831260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19">
        <f t="shared" si="0"/>
        <v>831260</v>
      </c>
    </row>
    <row r="36" spans="1:11" ht="31.5">
      <c r="A36" s="8">
        <v>34</v>
      </c>
      <c r="B36" s="1" t="s">
        <v>151</v>
      </c>
      <c r="C36" s="4" t="s">
        <v>152</v>
      </c>
      <c r="D36" s="4" t="s">
        <v>153</v>
      </c>
      <c r="E36" s="20">
        <v>0</v>
      </c>
      <c r="F36" s="20">
        <v>0</v>
      </c>
      <c r="G36" s="20">
        <v>681200</v>
      </c>
      <c r="H36" s="20">
        <v>0</v>
      </c>
      <c r="I36" s="20">
        <v>0</v>
      </c>
      <c r="J36" s="20">
        <v>0</v>
      </c>
      <c r="K36" s="119">
        <f t="shared" si="0"/>
        <v>681200</v>
      </c>
    </row>
    <row r="37" spans="1:11" ht="31.5">
      <c r="A37" s="8">
        <v>35</v>
      </c>
      <c r="B37" s="1" t="s">
        <v>154</v>
      </c>
      <c r="C37" s="4" t="s">
        <v>155</v>
      </c>
      <c r="D37" s="4" t="s">
        <v>153</v>
      </c>
      <c r="E37" s="20">
        <v>0</v>
      </c>
      <c r="F37" s="20">
        <v>0</v>
      </c>
      <c r="G37" s="20">
        <v>1185600</v>
      </c>
      <c r="H37" s="20">
        <v>0</v>
      </c>
      <c r="I37" s="20">
        <v>0</v>
      </c>
      <c r="J37" s="20">
        <v>0</v>
      </c>
      <c r="K37" s="119">
        <f t="shared" si="0"/>
        <v>1185600</v>
      </c>
    </row>
    <row r="38" spans="1:11" ht="31.5">
      <c r="A38" s="8">
        <v>36</v>
      </c>
      <c r="B38" s="1" t="s">
        <v>494</v>
      </c>
      <c r="C38" s="5"/>
      <c r="D38" s="4" t="s">
        <v>493</v>
      </c>
      <c r="E38" s="20">
        <v>0</v>
      </c>
      <c r="F38" s="20">
        <v>571500</v>
      </c>
      <c r="G38" s="20">
        <v>0</v>
      </c>
      <c r="H38" s="20">
        <v>0</v>
      </c>
      <c r="I38" s="20">
        <v>0</v>
      </c>
      <c r="J38" s="20">
        <v>0</v>
      </c>
      <c r="K38" s="119">
        <f t="shared" si="0"/>
        <v>571500</v>
      </c>
    </row>
    <row r="39" spans="1:11">
      <c r="A39" s="8">
        <v>37</v>
      </c>
      <c r="B39" s="1" t="s">
        <v>3</v>
      </c>
      <c r="C39" s="5" t="s">
        <v>412</v>
      </c>
      <c r="D39" s="4" t="s">
        <v>28</v>
      </c>
      <c r="E39" s="20">
        <v>0</v>
      </c>
      <c r="F39" s="20">
        <v>0</v>
      </c>
      <c r="G39" s="20">
        <v>0</v>
      </c>
      <c r="H39" s="20">
        <f>630000+210000</f>
        <v>840000</v>
      </c>
      <c r="I39" s="20">
        <v>0</v>
      </c>
      <c r="J39" s="20">
        <v>0</v>
      </c>
      <c r="K39" s="119">
        <f t="shared" si="0"/>
        <v>840000</v>
      </c>
    </row>
    <row r="40" spans="1:11">
      <c r="A40" s="8">
        <v>38</v>
      </c>
      <c r="B40" s="1" t="s">
        <v>166</v>
      </c>
      <c r="C40" s="4" t="s">
        <v>167</v>
      </c>
      <c r="D40" s="4" t="s">
        <v>159</v>
      </c>
      <c r="E40" s="20">
        <v>1320000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19">
        <f t="shared" si="0"/>
        <v>1320000</v>
      </c>
    </row>
    <row r="41" spans="1:11">
      <c r="A41" s="8">
        <v>39</v>
      </c>
      <c r="B41" s="1" t="s">
        <v>170</v>
      </c>
      <c r="C41" s="4" t="s">
        <v>171</v>
      </c>
      <c r="D41" s="4" t="s">
        <v>159</v>
      </c>
      <c r="E41" s="20">
        <v>0</v>
      </c>
      <c r="F41" s="20">
        <v>596750</v>
      </c>
      <c r="G41" s="20">
        <v>0</v>
      </c>
      <c r="H41" s="20">
        <v>0</v>
      </c>
      <c r="I41" s="20">
        <v>0</v>
      </c>
      <c r="J41" s="20">
        <v>0</v>
      </c>
      <c r="K41" s="119">
        <f t="shared" si="0"/>
        <v>596750</v>
      </c>
    </row>
    <row r="42" spans="1:11" ht="31.5">
      <c r="A42" s="8">
        <v>40</v>
      </c>
      <c r="B42" s="1" t="s">
        <v>60</v>
      </c>
      <c r="C42" s="4" t="s">
        <v>33</v>
      </c>
      <c r="D42" s="4" t="s">
        <v>34</v>
      </c>
      <c r="E42" s="20">
        <v>1092000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19">
        <f t="shared" si="0"/>
        <v>1092000</v>
      </c>
    </row>
    <row r="43" spans="1:11" ht="31.5">
      <c r="A43" s="8">
        <v>41</v>
      </c>
      <c r="B43" s="1" t="s">
        <v>178</v>
      </c>
      <c r="C43" s="4" t="s">
        <v>179</v>
      </c>
      <c r="D43" s="4" t="s">
        <v>17</v>
      </c>
      <c r="E43" s="20">
        <v>0</v>
      </c>
      <c r="F43" s="20">
        <v>0</v>
      </c>
      <c r="G43" s="20">
        <v>0</v>
      </c>
      <c r="H43" s="23">
        <v>0</v>
      </c>
      <c r="I43" s="20">
        <v>0</v>
      </c>
      <c r="J43" s="20">
        <f>255000+765000+510000+255000+255000+510000+255000</f>
        <v>2805000</v>
      </c>
      <c r="K43" s="119">
        <f t="shared" si="0"/>
        <v>2805000</v>
      </c>
    </row>
    <row r="44" spans="1:11" ht="31.5">
      <c r="A44" s="8">
        <v>42</v>
      </c>
      <c r="B44" s="1" t="s">
        <v>182</v>
      </c>
      <c r="C44" s="4" t="s">
        <v>183</v>
      </c>
      <c r="D44" s="4" t="s">
        <v>17</v>
      </c>
      <c r="E44" s="20">
        <v>0</v>
      </c>
      <c r="F44" s="20">
        <v>1455000</v>
      </c>
      <c r="G44" s="20">
        <v>0</v>
      </c>
      <c r="H44" s="20">
        <v>0</v>
      </c>
      <c r="I44" s="20">
        <v>0</v>
      </c>
      <c r="J44" s="20">
        <v>0</v>
      </c>
      <c r="K44" s="119">
        <f t="shared" si="0"/>
        <v>1455000</v>
      </c>
    </row>
    <row r="45" spans="1:11" ht="31.5">
      <c r="A45" s="8">
        <v>43</v>
      </c>
      <c r="B45" s="1" t="s">
        <v>184</v>
      </c>
      <c r="C45" s="4" t="s">
        <v>185</v>
      </c>
      <c r="D45" s="4" t="s">
        <v>17</v>
      </c>
      <c r="E45" s="20">
        <v>838000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19">
        <f t="shared" si="0"/>
        <v>838000</v>
      </c>
    </row>
    <row r="46" spans="1:11" ht="31.5">
      <c r="A46" s="8">
        <v>44</v>
      </c>
      <c r="B46" s="42" t="s">
        <v>186</v>
      </c>
      <c r="C46" s="43" t="s">
        <v>187</v>
      </c>
      <c r="D46" s="4" t="s">
        <v>17</v>
      </c>
      <c r="E46" s="20">
        <v>0</v>
      </c>
      <c r="F46" s="20">
        <v>0</v>
      </c>
      <c r="G46" s="20">
        <v>0</v>
      </c>
      <c r="H46" s="20">
        <v>232000</v>
      </c>
      <c r="I46" s="20">
        <v>0</v>
      </c>
      <c r="J46" s="20">
        <v>0</v>
      </c>
      <c r="K46" s="119">
        <f t="shared" si="0"/>
        <v>232000</v>
      </c>
    </row>
    <row r="47" spans="1:11" ht="31.5">
      <c r="A47" s="8">
        <v>45</v>
      </c>
      <c r="B47" s="1" t="s">
        <v>188</v>
      </c>
      <c r="C47" s="4" t="s">
        <v>413</v>
      </c>
      <c r="D47" s="4" t="s">
        <v>17</v>
      </c>
      <c r="E47" s="20">
        <v>0</v>
      </c>
      <c r="F47" s="20">
        <v>1262250</v>
      </c>
      <c r="G47" s="20">
        <v>0</v>
      </c>
      <c r="H47" s="20">
        <v>0</v>
      </c>
      <c r="I47" s="20">
        <v>0</v>
      </c>
      <c r="J47" s="20">
        <v>0</v>
      </c>
      <c r="K47" s="119">
        <f t="shared" si="0"/>
        <v>1262250</v>
      </c>
    </row>
    <row r="48" spans="1:11" ht="47.25">
      <c r="A48" s="8">
        <v>46</v>
      </c>
      <c r="B48" s="1" t="s">
        <v>189</v>
      </c>
      <c r="C48" s="4" t="s">
        <v>190</v>
      </c>
      <c r="D48" s="4" t="s">
        <v>17</v>
      </c>
      <c r="E48" s="20">
        <v>0</v>
      </c>
      <c r="F48" s="20">
        <v>1164000</v>
      </c>
      <c r="G48" s="20">
        <v>0</v>
      </c>
      <c r="H48" s="20">
        <v>0</v>
      </c>
      <c r="I48" s="20">
        <v>0</v>
      </c>
      <c r="J48" s="20">
        <v>0</v>
      </c>
      <c r="K48" s="119">
        <f t="shared" si="0"/>
        <v>1164000</v>
      </c>
    </row>
    <row r="49" spans="1:11" ht="31.5">
      <c r="A49" s="8">
        <v>47</v>
      </c>
      <c r="B49" s="1" t="s">
        <v>191</v>
      </c>
      <c r="C49" s="4" t="s">
        <v>185</v>
      </c>
      <c r="D49" s="4" t="s">
        <v>17</v>
      </c>
      <c r="E49" s="20">
        <v>0</v>
      </c>
      <c r="F49" s="20">
        <v>0</v>
      </c>
      <c r="G49" s="20">
        <v>992120</v>
      </c>
      <c r="H49" s="20">
        <v>0</v>
      </c>
      <c r="I49" s="20">
        <v>0</v>
      </c>
      <c r="J49" s="20">
        <v>0</v>
      </c>
      <c r="K49" s="119">
        <f t="shared" si="0"/>
        <v>992120</v>
      </c>
    </row>
    <row r="50" spans="1:11" ht="31.5">
      <c r="A50" s="8">
        <v>48</v>
      </c>
      <c r="B50" s="1" t="s">
        <v>192</v>
      </c>
      <c r="C50" s="4" t="s">
        <v>193</v>
      </c>
      <c r="D50" s="4" t="s">
        <v>17</v>
      </c>
      <c r="E50" s="20">
        <v>0</v>
      </c>
      <c r="F50" s="20">
        <v>0</v>
      </c>
      <c r="G50" s="20">
        <v>0</v>
      </c>
      <c r="H50" s="20">
        <v>0</v>
      </c>
      <c r="I50" s="20">
        <f>570000+550000+350000+300000+300000+150000</f>
        <v>2220000</v>
      </c>
      <c r="J50" s="20">
        <v>0</v>
      </c>
      <c r="K50" s="119">
        <f t="shared" si="0"/>
        <v>2220000</v>
      </c>
    </row>
    <row r="51" spans="1:11" ht="31.5">
      <c r="A51" s="8">
        <v>49</v>
      </c>
      <c r="B51" s="1" t="s">
        <v>195</v>
      </c>
      <c r="C51" s="4" t="s">
        <v>196</v>
      </c>
      <c r="D51" s="4" t="s">
        <v>17</v>
      </c>
      <c r="E51" s="20">
        <v>0</v>
      </c>
      <c r="F51" s="20">
        <v>0</v>
      </c>
      <c r="G51" s="20">
        <v>0</v>
      </c>
      <c r="H51" s="20">
        <v>0</v>
      </c>
      <c r="I51" s="20">
        <f>600000+600000+600000+200000+200000</f>
        <v>2200000</v>
      </c>
      <c r="J51" s="20">
        <v>0</v>
      </c>
      <c r="K51" s="119">
        <f t="shared" si="0"/>
        <v>2200000</v>
      </c>
    </row>
    <row r="52" spans="1:11" ht="31.5">
      <c r="A52" s="8">
        <v>50</v>
      </c>
      <c r="B52" s="1" t="s">
        <v>197</v>
      </c>
      <c r="C52" s="4" t="s">
        <v>187</v>
      </c>
      <c r="D52" s="4" t="s">
        <v>17</v>
      </c>
      <c r="E52" s="20">
        <v>0</v>
      </c>
      <c r="F52" s="20">
        <v>0</v>
      </c>
      <c r="G52" s="20">
        <v>0</v>
      </c>
      <c r="H52" s="22">
        <v>0</v>
      </c>
      <c r="I52" s="20">
        <v>0</v>
      </c>
      <c r="J52" s="20">
        <f>255000+503000+755000+510000+765000</f>
        <v>2788000</v>
      </c>
      <c r="K52" s="119">
        <f t="shared" si="0"/>
        <v>2788000</v>
      </c>
    </row>
    <row r="53" spans="1:11" ht="31.5">
      <c r="A53" s="8">
        <v>51</v>
      </c>
      <c r="B53" s="1" t="s">
        <v>198</v>
      </c>
      <c r="C53" s="4" t="s">
        <v>193</v>
      </c>
      <c r="D53" s="4" t="s">
        <v>17</v>
      </c>
      <c r="E53" s="20">
        <v>0</v>
      </c>
      <c r="F53" s="20">
        <v>0</v>
      </c>
      <c r="G53" s="20">
        <v>0</v>
      </c>
      <c r="H53" s="20">
        <v>0</v>
      </c>
      <c r="I53" s="20">
        <f>800000+400000+200000+200000+400000+200000+200000</f>
        <v>2400000</v>
      </c>
      <c r="J53" s="20">
        <v>0</v>
      </c>
      <c r="K53" s="119">
        <f t="shared" si="0"/>
        <v>2400000</v>
      </c>
    </row>
    <row r="54" spans="1:11" ht="31.5">
      <c r="A54" s="8">
        <v>52</v>
      </c>
      <c r="B54" s="1" t="s">
        <v>200</v>
      </c>
      <c r="C54" s="4" t="s">
        <v>201</v>
      </c>
      <c r="D54" s="4" t="s">
        <v>17</v>
      </c>
      <c r="E54" s="20">
        <v>0</v>
      </c>
      <c r="F54" s="20">
        <v>0</v>
      </c>
      <c r="G54" s="20">
        <v>1512000</v>
      </c>
      <c r="H54" s="20">
        <v>0</v>
      </c>
      <c r="I54" s="20">
        <v>0</v>
      </c>
      <c r="J54" s="20">
        <v>0</v>
      </c>
      <c r="K54" s="119">
        <f t="shared" si="0"/>
        <v>1512000</v>
      </c>
    </row>
    <row r="55" spans="1:11" ht="31.5">
      <c r="A55" s="8">
        <v>53</v>
      </c>
      <c r="B55" s="1" t="s">
        <v>202</v>
      </c>
      <c r="C55" s="4" t="s">
        <v>203</v>
      </c>
      <c r="D55" s="4" t="s">
        <v>17</v>
      </c>
      <c r="E55" s="20">
        <v>0</v>
      </c>
      <c r="F55" s="20">
        <v>0</v>
      </c>
      <c r="G55" s="20">
        <v>1872000</v>
      </c>
      <c r="H55" s="20">
        <v>0</v>
      </c>
      <c r="I55" s="20">
        <v>0</v>
      </c>
      <c r="J55" s="20">
        <v>0</v>
      </c>
      <c r="K55" s="119">
        <f t="shared" si="0"/>
        <v>1872000</v>
      </c>
    </row>
    <row r="56" spans="1:11" ht="31.5">
      <c r="A56" s="8">
        <v>54</v>
      </c>
      <c r="B56" s="1" t="s">
        <v>5</v>
      </c>
      <c r="C56" s="4" t="s">
        <v>36</v>
      </c>
      <c r="D56" s="4" t="s">
        <v>17</v>
      </c>
      <c r="E56" s="20">
        <v>0</v>
      </c>
      <c r="F56" s="20">
        <v>0</v>
      </c>
      <c r="G56" s="20">
        <v>1846000</v>
      </c>
      <c r="H56" s="20">
        <v>0</v>
      </c>
      <c r="I56" s="20">
        <v>0</v>
      </c>
      <c r="J56" s="20">
        <v>0</v>
      </c>
      <c r="K56" s="119">
        <f t="shared" si="0"/>
        <v>1846000</v>
      </c>
    </row>
    <row r="57" spans="1:11" ht="31.5">
      <c r="A57" s="8">
        <v>55</v>
      </c>
      <c r="B57" s="1" t="s">
        <v>206</v>
      </c>
      <c r="C57" s="4" t="s">
        <v>193</v>
      </c>
      <c r="D57" s="4" t="s">
        <v>17</v>
      </c>
      <c r="E57" s="20">
        <v>0</v>
      </c>
      <c r="F57" s="20">
        <v>0</v>
      </c>
      <c r="G57" s="20">
        <v>0</v>
      </c>
      <c r="H57" s="22">
        <v>0</v>
      </c>
      <c r="I57" s="20">
        <v>0</v>
      </c>
      <c r="J57" s="20">
        <f>246500+739500+493000+246500+246500+493000+246500</f>
        <v>2711500</v>
      </c>
      <c r="K57" s="119">
        <f t="shared" si="0"/>
        <v>2711500</v>
      </c>
    </row>
    <row r="58" spans="1:11" ht="31.5">
      <c r="A58" s="8">
        <v>56</v>
      </c>
      <c r="B58" s="44" t="s">
        <v>208</v>
      </c>
      <c r="C58" s="45" t="s">
        <v>209</v>
      </c>
      <c r="D58" s="4" t="s">
        <v>17</v>
      </c>
      <c r="E58" s="20">
        <v>0</v>
      </c>
      <c r="F58" s="20">
        <v>0</v>
      </c>
      <c r="G58" s="20">
        <v>0</v>
      </c>
      <c r="H58" s="20">
        <v>0</v>
      </c>
      <c r="I58" s="20">
        <f>790000+600000+200000+400000+400000</f>
        <v>2390000</v>
      </c>
      <c r="J58" s="20">
        <v>0</v>
      </c>
      <c r="K58" s="119">
        <f t="shared" si="0"/>
        <v>2390000</v>
      </c>
    </row>
    <row r="59" spans="1:11" ht="47.25">
      <c r="A59" s="8">
        <v>57</v>
      </c>
      <c r="B59" s="1" t="s">
        <v>210</v>
      </c>
      <c r="C59" s="4" t="s">
        <v>211</v>
      </c>
      <c r="D59" s="4" t="s">
        <v>17</v>
      </c>
      <c r="E59" s="20">
        <v>0</v>
      </c>
      <c r="F59" s="20">
        <v>0</v>
      </c>
      <c r="G59" s="20">
        <v>1765000</v>
      </c>
      <c r="H59" s="20">
        <v>0</v>
      </c>
      <c r="I59" s="20">
        <v>0</v>
      </c>
      <c r="J59" s="20">
        <v>0</v>
      </c>
      <c r="K59" s="119">
        <f t="shared" si="0"/>
        <v>1765000</v>
      </c>
    </row>
    <row r="60" spans="1:11" ht="31.5">
      <c r="A60" s="8">
        <v>58</v>
      </c>
      <c r="B60" s="1" t="s">
        <v>214</v>
      </c>
      <c r="C60" s="4" t="s">
        <v>187</v>
      </c>
      <c r="D60" s="4" t="s">
        <v>17</v>
      </c>
      <c r="E60" s="20">
        <v>140000</v>
      </c>
      <c r="F60" s="20">
        <v>1117250</v>
      </c>
      <c r="G60" s="20">
        <v>0</v>
      </c>
      <c r="H60" s="23">
        <v>0</v>
      </c>
      <c r="I60" s="20">
        <v>350000</v>
      </c>
      <c r="J60" s="20">
        <v>0</v>
      </c>
      <c r="K60" s="119">
        <f t="shared" si="0"/>
        <v>1607250</v>
      </c>
    </row>
    <row r="61" spans="1:11" ht="31.5">
      <c r="A61" s="8">
        <v>59</v>
      </c>
      <c r="B61" s="1" t="s">
        <v>215</v>
      </c>
      <c r="C61" s="4" t="s">
        <v>209</v>
      </c>
      <c r="D61" s="4" t="s">
        <v>17</v>
      </c>
      <c r="E61" s="20">
        <v>0</v>
      </c>
      <c r="F61" s="20">
        <v>0</v>
      </c>
      <c r="G61" s="20">
        <v>0</v>
      </c>
      <c r="H61" s="22">
        <f>105000+315000+210000+105000+105000+105000</f>
        <v>945000</v>
      </c>
      <c r="I61" s="20">
        <v>0</v>
      </c>
      <c r="J61" s="20">
        <v>0</v>
      </c>
      <c r="K61" s="119">
        <f t="shared" si="0"/>
        <v>945000</v>
      </c>
    </row>
    <row r="62" spans="1:11" ht="47.25">
      <c r="A62" s="8">
        <v>60</v>
      </c>
      <c r="B62" s="1" t="s">
        <v>217</v>
      </c>
      <c r="C62" s="4" t="s">
        <v>211</v>
      </c>
      <c r="D62" s="4" t="s">
        <v>17</v>
      </c>
      <c r="E62" s="20">
        <v>584030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119">
        <f t="shared" si="0"/>
        <v>584030</v>
      </c>
    </row>
    <row r="63" spans="1:11" ht="31.5">
      <c r="A63" s="8">
        <v>61</v>
      </c>
      <c r="B63" s="1" t="s">
        <v>219</v>
      </c>
      <c r="C63" s="4" t="s">
        <v>185</v>
      </c>
      <c r="D63" s="4" t="s">
        <v>17</v>
      </c>
      <c r="E63" s="20">
        <v>412500</v>
      </c>
      <c r="F63" s="20">
        <v>116400</v>
      </c>
      <c r="G63" s="20">
        <v>0</v>
      </c>
      <c r="H63" s="20">
        <v>0</v>
      </c>
      <c r="I63" s="20">
        <v>200000</v>
      </c>
      <c r="J63" s="20">
        <v>0</v>
      </c>
      <c r="K63" s="119">
        <f t="shared" si="0"/>
        <v>728900</v>
      </c>
    </row>
    <row r="64" spans="1:11" ht="31.5">
      <c r="A64" s="8">
        <v>62</v>
      </c>
      <c r="B64" s="1" t="s">
        <v>428</v>
      </c>
      <c r="C64" s="4" t="s">
        <v>187</v>
      </c>
      <c r="D64" s="4" t="s">
        <v>17</v>
      </c>
      <c r="E64" s="20">
        <v>0</v>
      </c>
      <c r="F64" s="20">
        <v>0</v>
      </c>
      <c r="G64" s="20">
        <v>1269000</v>
      </c>
      <c r="H64" s="20">
        <v>0</v>
      </c>
      <c r="I64" s="20">
        <v>0</v>
      </c>
      <c r="J64" s="20">
        <v>0</v>
      </c>
      <c r="K64" s="119">
        <f t="shared" si="0"/>
        <v>1269000</v>
      </c>
    </row>
    <row r="65" spans="1:11" ht="31.5">
      <c r="A65" s="8">
        <v>63</v>
      </c>
      <c r="B65" s="1" t="s">
        <v>221</v>
      </c>
      <c r="C65" s="4" t="s">
        <v>222</v>
      </c>
      <c r="D65" s="4" t="s">
        <v>17</v>
      </c>
      <c r="E65" s="20">
        <v>0</v>
      </c>
      <c r="F65" s="20">
        <v>0</v>
      </c>
      <c r="G65" s="20">
        <v>1862000</v>
      </c>
      <c r="H65" s="20">
        <v>0</v>
      </c>
      <c r="I65" s="20">
        <v>0</v>
      </c>
      <c r="J65" s="20">
        <v>0</v>
      </c>
      <c r="K65" s="119">
        <f t="shared" si="0"/>
        <v>1862000</v>
      </c>
    </row>
    <row r="66" spans="1:11" ht="47.25">
      <c r="A66" s="8">
        <v>64</v>
      </c>
      <c r="B66" s="1" t="s">
        <v>229</v>
      </c>
      <c r="C66" s="4" t="s">
        <v>230</v>
      </c>
      <c r="D66" s="4" t="s">
        <v>226</v>
      </c>
      <c r="E66" s="20">
        <v>0</v>
      </c>
      <c r="F66" s="20">
        <v>0</v>
      </c>
      <c r="G66" s="20">
        <v>0</v>
      </c>
      <c r="H66" s="20">
        <v>0</v>
      </c>
      <c r="I66" s="20">
        <f>200000+300000+200000+100000+330000</f>
        <v>1130000</v>
      </c>
      <c r="J66" s="20">
        <v>0</v>
      </c>
      <c r="K66" s="119">
        <f t="shared" si="0"/>
        <v>1130000</v>
      </c>
    </row>
    <row r="67" spans="1:11" ht="47.25">
      <c r="A67" s="8">
        <v>65</v>
      </c>
      <c r="B67" s="1" t="s">
        <v>231</v>
      </c>
      <c r="C67" s="5" t="s">
        <v>414</v>
      </c>
      <c r="D67" s="4" t="s">
        <v>226</v>
      </c>
      <c r="E67" s="20">
        <v>0</v>
      </c>
      <c r="F67" s="20">
        <v>788100</v>
      </c>
      <c r="G67" s="20">
        <v>0</v>
      </c>
      <c r="H67" s="20">
        <v>0</v>
      </c>
      <c r="I67" s="20">
        <v>0</v>
      </c>
      <c r="J67" s="20">
        <v>0</v>
      </c>
      <c r="K67" s="119">
        <f t="shared" si="0"/>
        <v>788100</v>
      </c>
    </row>
    <row r="68" spans="1:11" ht="31.5">
      <c r="A68" s="8">
        <v>66</v>
      </c>
      <c r="B68" s="1" t="s">
        <v>470</v>
      </c>
      <c r="C68" s="4" t="s">
        <v>239</v>
      </c>
      <c r="D68" s="4" t="s">
        <v>235</v>
      </c>
      <c r="E68" s="20">
        <v>769500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119">
        <f t="shared" ref="K68:K129" si="1">E68+I68+H68+F68+G68+J68</f>
        <v>769500</v>
      </c>
    </row>
    <row r="69" spans="1:11" ht="31.5">
      <c r="A69" s="8">
        <v>67</v>
      </c>
      <c r="B69" s="40" t="s">
        <v>459</v>
      </c>
      <c r="C69" s="40" t="s">
        <v>460</v>
      </c>
      <c r="D69" s="118" t="s">
        <v>235</v>
      </c>
      <c r="E69" s="20">
        <v>1024000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119">
        <f t="shared" si="1"/>
        <v>1024000</v>
      </c>
    </row>
    <row r="70" spans="1:11">
      <c r="A70" s="8">
        <v>68</v>
      </c>
      <c r="B70" s="100" t="s">
        <v>444</v>
      </c>
      <c r="C70" s="101" t="s">
        <v>445</v>
      </c>
      <c r="D70" s="101" t="s">
        <v>442</v>
      </c>
      <c r="E70" s="20">
        <v>457000</v>
      </c>
      <c r="F70" s="20">
        <v>0</v>
      </c>
      <c r="G70" s="20">
        <v>0</v>
      </c>
      <c r="H70" s="20">
        <v>0</v>
      </c>
      <c r="I70" s="20">
        <v>0</v>
      </c>
      <c r="J70" s="21">
        <v>0</v>
      </c>
      <c r="K70" s="119">
        <f t="shared" si="1"/>
        <v>457000</v>
      </c>
    </row>
    <row r="71" spans="1:11" ht="31.5">
      <c r="A71" s="8">
        <v>69</v>
      </c>
      <c r="B71" s="1" t="s">
        <v>245</v>
      </c>
      <c r="C71" s="4" t="s">
        <v>246</v>
      </c>
      <c r="D71" s="4" t="s">
        <v>244</v>
      </c>
      <c r="E71" s="20">
        <v>0</v>
      </c>
      <c r="F71" s="20">
        <v>0</v>
      </c>
      <c r="G71" s="20">
        <v>0</v>
      </c>
      <c r="H71" s="22">
        <v>0</v>
      </c>
      <c r="I71" s="20">
        <v>0</v>
      </c>
      <c r="J71" s="20">
        <f>1275000+510000+255000+255000+510000+255000</f>
        <v>3060000</v>
      </c>
      <c r="K71" s="119">
        <f t="shared" si="1"/>
        <v>3060000</v>
      </c>
    </row>
    <row r="72" spans="1:11">
      <c r="A72" s="8">
        <v>70</v>
      </c>
      <c r="B72" s="1" t="s">
        <v>247</v>
      </c>
      <c r="C72" s="5" t="s">
        <v>262</v>
      </c>
      <c r="D72" s="4" t="s">
        <v>244</v>
      </c>
      <c r="E72" s="20">
        <v>0</v>
      </c>
      <c r="F72" s="20">
        <v>1629600</v>
      </c>
      <c r="G72" s="20">
        <v>0</v>
      </c>
      <c r="H72" s="20">
        <v>0</v>
      </c>
      <c r="I72" s="20">
        <v>0</v>
      </c>
      <c r="J72" s="20">
        <v>0</v>
      </c>
      <c r="K72" s="119">
        <f t="shared" si="1"/>
        <v>1629600</v>
      </c>
    </row>
    <row r="73" spans="1:11" ht="31.5">
      <c r="A73" s="8">
        <v>71</v>
      </c>
      <c r="B73" s="1" t="s">
        <v>248</v>
      </c>
      <c r="C73" s="46" t="s">
        <v>249</v>
      </c>
      <c r="D73" s="4" t="s">
        <v>244</v>
      </c>
      <c r="E73" s="20">
        <v>0</v>
      </c>
      <c r="F73" s="20">
        <v>0</v>
      </c>
      <c r="G73" s="20">
        <v>0</v>
      </c>
      <c r="H73" s="22">
        <v>0</v>
      </c>
      <c r="I73" s="20">
        <v>0</v>
      </c>
      <c r="J73" s="20">
        <f>255000+765000+510000+255000+255000+510000+255000</f>
        <v>2805000</v>
      </c>
      <c r="K73" s="119">
        <f t="shared" si="1"/>
        <v>2805000</v>
      </c>
    </row>
    <row r="74" spans="1:11">
      <c r="A74" s="8">
        <v>72</v>
      </c>
      <c r="B74" s="1" t="s">
        <v>254</v>
      </c>
      <c r="C74" s="41" t="s">
        <v>255</v>
      </c>
      <c r="D74" s="4" t="s">
        <v>25</v>
      </c>
      <c r="E74" s="20">
        <v>0</v>
      </c>
      <c r="F74" s="20">
        <v>0</v>
      </c>
      <c r="G74" s="20">
        <v>0</v>
      </c>
      <c r="H74" s="22">
        <v>0</v>
      </c>
      <c r="I74" s="20">
        <v>0</v>
      </c>
      <c r="J74" s="20">
        <f>1275000+765000+510000+255000+255000+255000+510000</f>
        <v>3825000</v>
      </c>
      <c r="K74" s="119">
        <f t="shared" si="1"/>
        <v>3825000</v>
      </c>
    </row>
    <row r="75" spans="1:11" ht="31.5">
      <c r="A75" s="8">
        <v>73</v>
      </c>
      <c r="B75" s="1" t="s">
        <v>259</v>
      </c>
      <c r="C75" s="4" t="s">
        <v>260</v>
      </c>
      <c r="D75" s="4" t="s">
        <v>258</v>
      </c>
      <c r="E75" s="20">
        <v>0</v>
      </c>
      <c r="F75" s="20">
        <v>0</v>
      </c>
      <c r="G75" s="20">
        <v>1816511</v>
      </c>
      <c r="H75" s="20">
        <v>0</v>
      </c>
      <c r="I75" s="20">
        <v>0</v>
      </c>
      <c r="J75" s="20">
        <v>0</v>
      </c>
      <c r="K75" s="119">
        <f t="shared" si="1"/>
        <v>1816511</v>
      </c>
    </row>
    <row r="76" spans="1:11">
      <c r="A76" s="8">
        <v>74</v>
      </c>
      <c r="B76" s="42" t="s">
        <v>261</v>
      </c>
      <c r="C76" s="43" t="s">
        <v>262</v>
      </c>
      <c r="D76" s="4" t="s">
        <v>258</v>
      </c>
      <c r="E76" s="20">
        <v>0</v>
      </c>
      <c r="F76" s="20">
        <v>0</v>
      </c>
      <c r="G76" s="20">
        <v>0</v>
      </c>
      <c r="H76" s="20">
        <f>210000+420000+630000+210000+210000+420000+210000</f>
        <v>2310000</v>
      </c>
      <c r="I76" s="20">
        <v>0</v>
      </c>
      <c r="J76" s="20">
        <v>0</v>
      </c>
      <c r="K76" s="119">
        <f t="shared" si="1"/>
        <v>2310000</v>
      </c>
    </row>
    <row r="77" spans="1:11">
      <c r="A77" s="8">
        <v>75</v>
      </c>
      <c r="B77" s="44" t="s">
        <v>263</v>
      </c>
      <c r="C77" s="45" t="s">
        <v>264</v>
      </c>
      <c r="D77" s="4" t="s">
        <v>258</v>
      </c>
      <c r="E77" s="20">
        <v>0</v>
      </c>
      <c r="F77" s="20">
        <v>0</v>
      </c>
      <c r="G77" s="20">
        <v>0</v>
      </c>
      <c r="H77" s="20">
        <v>0</v>
      </c>
      <c r="I77" s="20">
        <f>800000+400000+200000+200000+390000+200000+200000</f>
        <v>2390000</v>
      </c>
      <c r="J77" s="20">
        <v>0</v>
      </c>
      <c r="K77" s="119">
        <f t="shared" si="1"/>
        <v>2390000</v>
      </c>
    </row>
    <row r="78" spans="1:11">
      <c r="A78" s="8">
        <v>76</v>
      </c>
      <c r="B78" s="40" t="s">
        <v>265</v>
      </c>
      <c r="C78" s="47" t="s">
        <v>266</v>
      </c>
      <c r="D78" s="4" t="s">
        <v>258</v>
      </c>
      <c r="E78" s="20">
        <v>0</v>
      </c>
      <c r="F78" s="20">
        <v>0</v>
      </c>
      <c r="G78" s="20">
        <v>0</v>
      </c>
      <c r="H78" s="20">
        <v>0</v>
      </c>
      <c r="I78" s="20">
        <f>975000+400000+200000</f>
        <v>1575000</v>
      </c>
      <c r="J78" s="20">
        <v>0</v>
      </c>
      <c r="K78" s="119">
        <f t="shared" si="1"/>
        <v>1575000</v>
      </c>
    </row>
    <row r="79" spans="1:11">
      <c r="A79" s="8">
        <v>77</v>
      </c>
      <c r="B79" s="1" t="s">
        <v>1</v>
      </c>
      <c r="C79" s="5" t="s">
        <v>415</v>
      </c>
      <c r="D79" s="4" t="s">
        <v>38</v>
      </c>
      <c r="E79" s="20">
        <v>0</v>
      </c>
      <c r="F79" s="20">
        <v>407400</v>
      </c>
      <c r="G79" s="20">
        <v>0</v>
      </c>
      <c r="H79" s="20">
        <v>0</v>
      </c>
      <c r="I79" s="20">
        <v>0</v>
      </c>
      <c r="J79" s="20">
        <v>0</v>
      </c>
      <c r="K79" s="119">
        <f t="shared" si="1"/>
        <v>407400</v>
      </c>
    </row>
    <row r="80" spans="1:11">
      <c r="A80" s="8">
        <v>78</v>
      </c>
      <c r="B80" s="1" t="s">
        <v>6</v>
      </c>
      <c r="C80" s="4" t="s">
        <v>37</v>
      </c>
      <c r="D80" s="4" t="s">
        <v>38</v>
      </c>
      <c r="E80" s="20">
        <v>0</v>
      </c>
      <c r="F80" s="20">
        <v>0</v>
      </c>
      <c r="G80" s="20">
        <v>1872000</v>
      </c>
      <c r="H80" s="20">
        <v>0</v>
      </c>
      <c r="I80" s="20">
        <v>0</v>
      </c>
      <c r="J80" s="20">
        <v>0</v>
      </c>
      <c r="K80" s="119">
        <f t="shared" si="1"/>
        <v>1872000</v>
      </c>
    </row>
    <row r="81" spans="1:11" ht="47.25">
      <c r="A81" s="8">
        <v>79</v>
      </c>
      <c r="B81" s="44" t="s">
        <v>272</v>
      </c>
      <c r="C81" s="45" t="s">
        <v>271</v>
      </c>
      <c r="D81" s="45" t="s">
        <v>273</v>
      </c>
      <c r="E81" s="20">
        <v>0</v>
      </c>
      <c r="F81" s="20">
        <v>0</v>
      </c>
      <c r="G81" s="20">
        <v>0</v>
      </c>
      <c r="H81" s="20">
        <v>0</v>
      </c>
      <c r="I81" s="20">
        <f>570000+570000+190000+760000+190000</f>
        <v>2280000</v>
      </c>
      <c r="J81" s="20">
        <v>0</v>
      </c>
      <c r="K81" s="119">
        <f t="shared" si="1"/>
        <v>2280000</v>
      </c>
    </row>
    <row r="82" spans="1:11" ht="47.25">
      <c r="A82" s="8">
        <v>80</v>
      </c>
      <c r="B82" s="40" t="s">
        <v>278</v>
      </c>
      <c r="C82" s="41" t="s">
        <v>279</v>
      </c>
      <c r="D82" s="4" t="s">
        <v>275</v>
      </c>
      <c r="E82" s="20">
        <v>0</v>
      </c>
      <c r="F82" s="20">
        <v>0</v>
      </c>
      <c r="G82" s="20">
        <v>0</v>
      </c>
      <c r="H82" s="20">
        <v>0</v>
      </c>
      <c r="I82" s="20">
        <f>110000+440000+220000+110000</f>
        <v>880000</v>
      </c>
      <c r="J82" s="20">
        <v>0</v>
      </c>
      <c r="K82" s="119">
        <f t="shared" si="1"/>
        <v>880000</v>
      </c>
    </row>
    <row r="83" spans="1:11" ht="31.5">
      <c r="A83" s="8">
        <v>81</v>
      </c>
      <c r="B83" s="1" t="s">
        <v>283</v>
      </c>
      <c r="C83" s="4" t="s">
        <v>284</v>
      </c>
      <c r="D83" s="4" t="s">
        <v>275</v>
      </c>
      <c r="E83" s="20">
        <v>549000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119">
        <f t="shared" si="1"/>
        <v>549000</v>
      </c>
    </row>
    <row r="84" spans="1:11" ht="47.25">
      <c r="A84" s="8">
        <v>82</v>
      </c>
      <c r="B84" s="55" t="s">
        <v>288</v>
      </c>
      <c r="C84" s="56" t="s">
        <v>289</v>
      </c>
      <c r="D84" s="56" t="s">
        <v>21</v>
      </c>
      <c r="E84" s="20">
        <v>224500</v>
      </c>
      <c r="F84" s="20">
        <v>0</v>
      </c>
      <c r="G84" s="20">
        <v>0</v>
      </c>
      <c r="H84" s="57">
        <v>0</v>
      </c>
      <c r="I84" s="20">
        <v>0</v>
      </c>
      <c r="J84" s="57">
        <v>0</v>
      </c>
      <c r="K84" s="119">
        <f t="shared" si="1"/>
        <v>224500</v>
      </c>
    </row>
    <row r="85" spans="1:11" ht="31.5">
      <c r="A85" s="8">
        <v>83</v>
      </c>
      <c r="B85" s="1" t="s">
        <v>290</v>
      </c>
      <c r="C85" s="91" t="s">
        <v>417</v>
      </c>
      <c r="D85" s="4" t="s">
        <v>21</v>
      </c>
      <c r="E85" s="20">
        <v>0</v>
      </c>
      <c r="F85" s="20">
        <v>1331550</v>
      </c>
      <c r="G85" s="20">
        <v>0</v>
      </c>
      <c r="H85" s="20">
        <v>0</v>
      </c>
      <c r="I85" s="20">
        <v>0</v>
      </c>
      <c r="J85" s="20">
        <v>0</v>
      </c>
      <c r="K85" s="119">
        <f t="shared" si="1"/>
        <v>1331550</v>
      </c>
    </row>
    <row r="86" spans="1:11" ht="47.25">
      <c r="A86" s="8">
        <v>84</v>
      </c>
      <c r="B86" s="42" t="s">
        <v>291</v>
      </c>
      <c r="C86" s="43" t="s">
        <v>292</v>
      </c>
      <c r="D86" s="4" t="s">
        <v>21</v>
      </c>
      <c r="E86" s="20">
        <v>0</v>
      </c>
      <c r="F86" s="20">
        <v>0</v>
      </c>
      <c r="G86" s="20">
        <v>0</v>
      </c>
      <c r="H86" s="22">
        <f>203000+406000+406000+203000+203000+406000+203000</f>
        <v>2030000</v>
      </c>
      <c r="I86" s="20">
        <v>0</v>
      </c>
      <c r="J86" s="20">
        <v>0</v>
      </c>
      <c r="K86" s="119">
        <f t="shared" si="1"/>
        <v>2030000</v>
      </c>
    </row>
    <row r="87" spans="1:11" ht="31.5">
      <c r="A87" s="8">
        <v>85</v>
      </c>
      <c r="B87" s="1" t="s">
        <v>294</v>
      </c>
      <c r="C87" s="91" t="s">
        <v>419</v>
      </c>
      <c r="D87" s="4" t="s">
        <v>21</v>
      </c>
      <c r="E87" s="20">
        <v>0</v>
      </c>
      <c r="F87" s="20">
        <v>1457009</v>
      </c>
      <c r="G87" s="20">
        <v>0</v>
      </c>
      <c r="H87" s="20">
        <v>0</v>
      </c>
      <c r="I87" s="20">
        <v>0</v>
      </c>
      <c r="J87" s="20">
        <v>0</v>
      </c>
      <c r="K87" s="119">
        <f t="shared" si="1"/>
        <v>1457009</v>
      </c>
    </row>
    <row r="88" spans="1:11" ht="31.5">
      <c r="A88" s="8">
        <v>86</v>
      </c>
      <c r="B88" s="40" t="s">
        <v>295</v>
      </c>
      <c r="C88" s="41" t="s">
        <v>296</v>
      </c>
      <c r="D88" s="4" t="s">
        <v>21</v>
      </c>
      <c r="E88" s="20">
        <v>0</v>
      </c>
      <c r="F88" s="20">
        <v>0</v>
      </c>
      <c r="G88" s="20">
        <v>0</v>
      </c>
      <c r="H88" s="22">
        <v>0</v>
      </c>
      <c r="I88" s="20">
        <v>0</v>
      </c>
      <c r="J88" s="20">
        <f>509500+306000+765000+255000+255000+510000+255000</f>
        <v>2855500</v>
      </c>
      <c r="K88" s="119">
        <f t="shared" si="1"/>
        <v>2855500</v>
      </c>
    </row>
    <row r="89" spans="1:11" ht="31.5">
      <c r="A89" s="8">
        <v>87</v>
      </c>
      <c r="B89" s="42" t="s">
        <v>298</v>
      </c>
      <c r="C89" s="43" t="s">
        <v>299</v>
      </c>
      <c r="D89" s="4" t="s">
        <v>21</v>
      </c>
      <c r="E89" s="20">
        <v>0</v>
      </c>
      <c r="F89" s="20">
        <v>0</v>
      </c>
      <c r="G89" s="20">
        <v>0</v>
      </c>
      <c r="H89" s="22">
        <f>140000+420000+154000+308000+147000+154000+308000</f>
        <v>1631000</v>
      </c>
      <c r="I89" s="20">
        <v>0</v>
      </c>
      <c r="J89" s="20">
        <v>0</v>
      </c>
      <c r="K89" s="119">
        <f t="shared" si="1"/>
        <v>1631000</v>
      </c>
    </row>
    <row r="90" spans="1:11" ht="47.25">
      <c r="A90" s="8">
        <v>88</v>
      </c>
      <c r="B90" s="40" t="s">
        <v>490</v>
      </c>
      <c r="C90" s="41" t="s">
        <v>491</v>
      </c>
      <c r="D90" s="4" t="s">
        <v>32</v>
      </c>
      <c r="E90" s="20">
        <v>0</v>
      </c>
      <c r="F90" s="20">
        <v>1522450</v>
      </c>
      <c r="G90" s="20">
        <v>0</v>
      </c>
      <c r="H90" s="20">
        <v>0</v>
      </c>
      <c r="I90" s="20">
        <v>0</v>
      </c>
      <c r="J90" s="20">
        <v>0</v>
      </c>
      <c r="K90" s="119">
        <f t="shared" si="1"/>
        <v>1522450</v>
      </c>
    </row>
    <row r="91" spans="1:11" ht="31.5">
      <c r="A91" s="8">
        <v>89</v>
      </c>
      <c r="B91" s="40" t="s">
        <v>303</v>
      </c>
      <c r="C91" s="41" t="s">
        <v>304</v>
      </c>
      <c r="D91" s="4" t="s">
        <v>32</v>
      </c>
      <c r="E91" s="20">
        <v>0</v>
      </c>
      <c r="F91" s="20">
        <v>1338600</v>
      </c>
      <c r="G91" s="20">
        <v>0</v>
      </c>
      <c r="H91" s="20">
        <v>0</v>
      </c>
      <c r="I91" s="20">
        <v>0</v>
      </c>
      <c r="J91" s="20">
        <v>0</v>
      </c>
      <c r="K91" s="119">
        <f t="shared" si="1"/>
        <v>1338600</v>
      </c>
    </row>
    <row r="92" spans="1:11">
      <c r="A92" s="8">
        <v>90</v>
      </c>
      <c r="B92" s="40" t="s">
        <v>306</v>
      </c>
      <c r="C92" s="41" t="s">
        <v>304</v>
      </c>
      <c r="D92" s="4" t="s">
        <v>32</v>
      </c>
      <c r="E92" s="20">
        <v>0</v>
      </c>
      <c r="F92" s="20">
        <v>0</v>
      </c>
      <c r="G92" s="20">
        <v>0</v>
      </c>
      <c r="H92" s="20">
        <v>0</v>
      </c>
      <c r="I92" s="20">
        <f>640000+480000+160000+160000+320000+160000+200000</f>
        <v>2120000</v>
      </c>
      <c r="J92" s="20">
        <v>0</v>
      </c>
      <c r="K92" s="119">
        <f t="shared" si="1"/>
        <v>2120000</v>
      </c>
    </row>
    <row r="93" spans="1:11">
      <c r="A93" s="8">
        <v>91</v>
      </c>
      <c r="B93" s="1" t="s">
        <v>308</v>
      </c>
      <c r="C93" s="61" t="s">
        <v>309</v>
      </c>
      <c r="D93" s="4" t="s">
        <v>24</v>
      </c>
      <c r="E93" s="20">
        <v>0</v>
      </c>
      <c r="F93" s="20">
        <v>814800</v>
      </c>
      <c r="G93" s="20">
        <v>0</v>
      </c>
      <c r="H93" s="20">
        <v>0</v>
      </c>
      <c r="I93" s="20">
        <v>0</v>
      </c>
      <c r="J93" s="20">
        <v>0</v>
      </c>
      <c r="K93" s="119">
        <f t="shared" si="1"/>
        <v>814800</v>
      </c>
    </row>
    <row r="94" spans="1:11">
      <c r="A94" s="8">
        <v>92</v>
      </c>
      <c r="B94" s="1" t="s">
        <v>310</v>
      </c>
      <c r="C94" s="12" t="s">
        <v>448</v>
      </c>
      <c r="D94" s="4" t="s">
        <v>24</v>
      </c>
      <c r="E94" s="20">
        <v>0</v>
      </c>
      <c r="F94" s="20">
        <v>0</v>
      </c>
      <c r="G94" s="20">
        <v>1539000</v>
      </c>
      <c r="H94" s="20">
        <v>0</v>
      </c>
      <c r="I94" s="20">
        <v>0</v>
      </c>
      <c r="J94" s="20">
        <v>0</v>
      </c>
      <c r="K94" s="119">
        <f t="shared" si="1"/>
        <v>1539000</v>
      </c>
    </row>
    <row r="95" spans="1:11" ht="31.5">
      <c r="A95" s="8">
        <v>93</v>
      </c>
      <c r="B95" s="1" t="s">
        <v>314</v>
      </c>
      <c r="C95" s="12" t="s">
        <v>26</v>
      </c>
      <c r="D95" s="4" t="s">
        <v>24</v>
      </c>
      <c r="E95" s="20">
        <v>0</v>
      </c>
      <c r="F95" s="20">
        <v>0</v>
      </c>
      <c r="G95" s="20">
        <v>1692000</v>
      </c>
      <c r="H95" s="20">
        <v>0</v>
      </c>
      <c r="I95" s="20">
        <v>0</v>
      </c>
      <c r="J95" s="20">
        <v>0</v>
      </c>
      <c r="K95" s="119">
        <f t="shared" si="1"/>
        <v>1692000</v>
      </c>
    </row>
    <row r="96" spans="1:11">
      <c r="A96" s="8">
        <v>94</v>
      </c>
      <c r="B96" s="1" t="s">
        <v>315</v>
      </c>
      <c r="C96" s="12" t="s">
        <v>316</v>
      </c>
      <c r="D96" s="4" t="s">
        <v>24</v>
      </c>
      <c r="E96" s="20">
        <v>0</v>
      </c>
      <c r="F96" s="20">
        <v>0</v>
      </c>
      <c r="G96" s="20">
        <v>756000</v>
      </c>
      <c r="H96" s="20">
        <v>0</v>
      </c>
      <c r="I96" s="20">
        <v>0</v>
      </c>
      <c r="J96" s="20">
        <v>0</v>
      </c>
      <c r="K96" s="119">
        <f t="shared" si="1"/>
        <v>756000</v>
      </c>
    </row>
    <row r="97" spans="1:11" ht="47.25">
      <c r="A97" s="8">
        <v>95</v>
      </c>
      <c r="B97" s="44" t="s">
        <v>317</v>
      </c>
      <c r="C97" s="62" t="s">
        <v>318</v>
      </c>
      <c r="D97" s="4" t="s">
        <v>24</v>
      </c>
      <c r="E97" s="20">
        <v>0</v>
      </c>
      <c r="F97" s="20">
        <v>0</v>
      </c>
      <c r="G97" s="20">
        <v>0</v>
      </c>
      <c r="H97" s="20">
        <v>0</v>
      </c>
      <c r="I97" s="20">
        <v>875000</v>
      </c>
      <c r="J97" s="20">
        <v>0</v>
      </c>
      <c r="K97" s="119">
        <f t="shared" si="1"/>
        <v>875000</v>
      </c>
    </row>
    <row r="98" spans="1:11">
      <c r="A98" s="8">
        <v>96</v>
      </c>
      <c r="B98" s="1" t="s">
        <v>319</v>
      </c>
      <c r="C98" s="12" t="s">
        <v>320</v>
      </c>
      <c r="D98" s="4" t="s">
        <v>24</v>
      </c>
      <c r="E98" s="20">
        <v>0</v>
      </c>
      <c r="F98" s="20">
        <v>291000</v>
      </c>
      <c r="G98" s="20">
        <v>312000</v>
      </c>
      <c r="H98" s="20">
        <v>0</v>
      </c>
      <c r="I98" s="20">
        <v>0</v>
      </c>
      <c r="J98" s="20">
        <v>0</v>
      </c>
      <c r="K98" s="119">
        <f t="shared" si="1"/>
        <v>603000</v>
      </c>
    </row>
    <row r="99" spans="1:11">
      <c r="A99" s="8">
        <v>97</v>
      </c>
      <c r="B99" s="1" t="s">
        <v>321</v>
      </c>
      <c r="C99" s="12" t="s">
        <v>313</v>
      </c>
      <c r="D99" s="4" t="s">
        <v>24</v>
      </c>
      <c r="E99" s="20">
        <v>0</v>
      </c>
      <c r="F99" s="20">
        <v>0</v>
      </c>
      <c r="G99" s="20">
        <v>1872000</v>
      </c>
      <c r="H99" s="20">
        <v>0</v>
      </c>
      <c r="I99" s="20">
        <v>0</v>
      </c>
      <c r="J99" s="20">
        <v>0</v>
      </c>
      <c r="K99" s="119">
        <f t="shared" si="1"/>
        <v>1872000</v>
      </c>
    </row>
    <row r="100" spans="1:11" ht="47.25">
      <c r="A100" s="8">
        <v>98</v>
      </c>
      <c r="B100" s="1" t="s">
        <v>322</v>
      </c>
      <c r="C100" s="12" t="s">
        <v>323</v>
      </c>
      <c r="D100" s="4" t="s">
        <v>24</v>
      </c>
      <c r="E100" s="20">
        <v>0</v>
      </c>
      <c r="F100" s="20">
        <v>0</v>
      </c>
      <c r="G100" s="20">
        <v>0</v>
      </c>
      <c r="H100" s="22">
        <f>540000+630000+210000</f>
        <v>1380000</v>
      </c>
      <c r="I100" s="20">
        <v>0</v>
      </c>
      <c r="J100" s="20">
        <v>0</v>
      </c>
      <c r="K100" s="119">
        <f t="shared" si="1"/>
        <v>1380000</v>
      </c>
    </row>
    <row r="101" spans="1:11">
      <c r="A101" s="8">
        <v>99</v>
      </c>
      <c r="B101" s="1" t="s">
        <v>325</v>
      </c>
      <c r="C101" s="61" t="s">
        <v>326</v>
      </c>
      <c r="D101" s="4" t="s">
        <v>24</v>
      </c>
      <c r="E101" s="20">
        <v>0</v>
      </c>
      <c r="F101" s="20">
        <v>0</v>
      </c>
      <c r="G101" s="20">
        <v>0</v>
      </c>
      <c r="H101" s="73">
        <f>420000+420000+140000+140000+280000+140000</f>
        <v>1540000</v>
      </c>
      <c r="I101" s="20">
        <v>0</v>
      </c>
      <c r="J101" s="20">
        <v>0</v>
      </c>
      <c r="K101" s="119">
        <f t="shared" si="1"/>
        <v>1540000</v>
      </c>
    </row>
    <row r="102" spans="1:11">
      <c r="A102" s="8">
        <v>100</v>
      </c>
      <c r="B102" s="1" t="s">
        <v>327</v>
      </c>
      <c r="C102" s="12" t="s">
        <v>313</v>
      </c>
      <c r="D102" s="4" t="s">
        <v>24</v>
      </c>
      <c r="E102" s="20">
        <v>0</v>
      </c>
      <c r="F102" s="20">
        <v>0</v>
      </c>
      <c r="G102" s="20">
        <v>1840000</v>
      </c>
      <c r="H102" s="20">
        <v>0</v>
      </c>
      <c r="I102" s="20">
        <v>0</v>
      </c>
      <c r="J102" s="20">
        <v>0</v>
      </c>
      <c r="K102" s="119">
        <f t="shared" si="1"/>
        <v>1840000</v>
      </c>
    </row>
    <row r="103" spans="1:11">
      <c r="A103" s="8">
        <v>101</v>
      </c>
      <c r="B103" s="1" t="s">
        <v>329</v>
      </c>
      <c r="C103" s="12" t="s">
        <v>330</v>
      </c>
      <c r="D103" s="4" t="s">
        <v>24</v>
      </c>
      <c r="E103" s="20">
        <v>0</v>
      </c>
      <c r="F103" s="20">
        <v>0</v>
      </c>
      <c r="G103" s="20">
        <v>0</v>
      </c>
      <c r="H103" s="32">
        <v>0</v>
      </c>
      <c r="I103" s="20">
        <v>0</v>
      </c>
      <c r="J103" s="20">
        <f>255000+765000+510000+255000+255000+510000+255000</f>
        <v>2805000</v>
      </c>
      <c r="K103" s="119">
        <f t="shared" si="1"/>
        <v>2805000</v>
      </c>
    </row>
    <row r="104" spans="1:11" ht="21.75" customHeight="1">
      <c r="A104" s="8">
        <v>102</v>
      </c>
      <c r="B104" s="1" t="s">
        <v>331</v>
      </c>
      <c r="C104" s="5" t="s">
        <v>421</v>
      </c>
      <c r="D104" s="4" t="s">
        <v>24</v>
      </c>
      <c r="E104" s="20">
        <v>0</v>
      </c>
      <c r="F104" s="20">
        <v>1444850</v>
      </c>
      <c r="G104" s="20">
        <v>0</v>
      </c>
      <c r="H104" s="20">
        <v>0</v>
      </c>
      <c r="I104" s="20">
        <v>0</v>
      </c>
      <c r="J104" s="20">
        <v>0</v>
      </c>
      <c r="K104" s="119">
        <f t="shared" si="1"/>
        <v>1444850</v>
      </c>
    </row>
    <row r="105" spans="1:11">
      <c r="A105" s="8">
        <v>103</v>
      </c>
      <c r="B105" s="1" t="s">
        <v>332</v>
      </c>
      <c r="C105" s="4" t="s">
        <v>333</v>
      </c>
      <c r="D105" s="4" t="s">
        <v>24</v>
      </c>
      <c r="E105" s="20">
        <v>180000</v>
      </c>
      <c r="F105" s="20">
        <v>270000</v>
      </c>
      <c r="G105" s="20">
        <v>0</v>
      </c>
      <c r="H105" s="32">
        <v>300000</v>
      </c>
      <c r="I105" s="20">
        <v>0</v>
      </c>
      <c r="J105" s="20">
        <v>0</v>
      </c>
      <c r="K105" s="119">
        <f t="shared" si="1"/>
        <v>750000</v>
      </c>
    </row>
    <row r="106" spans="1:11">
      <c r="A106" s="8">
        <v>104</v>
      </c>
      <c r="B106" s="1" t="s">
        <v>336</v>
      </c>
      <c r="C106" s="4" t="s">
        <v>26</v>
      </c>
      <c r="D106" s="4" t="s">
        <v>24</v>
      </c>
      <c r="E106" s="20">
        <v>0</v>
      </c>
      <c r="F106" s="20">
        <v>0</v>
      </c>
      <c r="G106" s="20">
        <v>1725000</v>
      </c>
      <c r="H106" s="20">
        <v>0</v>
      </c>
      <c r="I106" s="20">
        <v>0</v>
      </c>
      <c r="J106" s="20">
        <v>0</v>
      </c>
      <c r="K106" s="119">
        <f t="shared" si="1"/>
        <v>1725000</v>
      </c>
    </row>
    <row r="107" spans="1:11" ht="31.5">
      <c r="A107" s="8">
        <v>105</v>
      </c>
      <c r="B107" s="1" t="s">
        <v>471</v>
      </c>
      <c r="C107" s="4" t="s">
        <v>26</v>
      </c>
      <c r="D107" s="4" t="s">
        <v>24</v>
      </c>
      <c r="E107" s="20">
        <v>0</v>
      </c>
      <c r="F107" s="20">
        <v>0</v>
      </c>
      <c r="G107" s="20">
        <v>1767000</v>
      </c>
      <c r="H107" s="20">
        <v>0</v>
      </c>
      <c r="I107" s="20">
        <v>0</v>
      </c>
      <c r="J107" s="20">
        <v>0</v>
      </c>
      <c r="K107" s="119">
        <f t="shared" si="1"/>
        <v>1767000</v>
      </c>
    </row>
    <row r="108" spans="1:11">
      <c r="A108" s="8">
        <v>106</v>
      </c>
      <c r="B108" s="1" t="s">
        <v>339</v>
      </c>
      <c r="C108" s="4" t="s">
        <v>335</v>
      </c>
      <c r="D108" s="4" t="s">
        <v>24</v>
      </c>
      <c r="E108" s="20">
        <v>1281500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119">
        <f t="shared" si="1"/>
        <v>1281500</v>
      </c>
    </row>
    <row r="109" spans="1:11">
      <c r="A109" s="8">
        <v>107</v>
      </c>
      <c r="B109" s="1" t="s">
        <v>340</v>
      </c>
      <c r="C109" s="4" t="s">
        <v>341</v>
      </c>
      <c r="D109" s="4" t="s">
        <v>24</v>
      </c>
      <c r="E109" s="20">
        <v>0</v>
      </c>
      <c r="F109" s="20">
        <v>0</v>
      </c>
      <c r="G109" s="20">
        <v>0</v>
      </c>
      <c r="H109" s="20">
        <v>0</v>
      </c>
      <c r="I109" s="20">
        <f>1000000+400000+200000+200000+400000+200000+200000</f>
        <v>2600000</v>
      </c>
      <c r="J109" s="20">
        <v>0</v>
      </c>
      <c r="K109" s="119">
        <f t="shared" si="1"/>
        <v>2600000</v>
      </c>
    </row>
    <row r="110" spans="1:11" ht="16.5" customHeight="1">
      <c r="A110" s="8">
        <v>108</v>
      </c>
      <c r="B110" s="1" t="s">
        <v>342</v>
      </c>
      <c r="C110" s="4" t="s">
        <v>343</v>
      </c>
      <c r="D110" s="4" t="s">
        <v>24</v>
      </c>
      <c r="E110" s="20">
        <v>0</v>
      </c>
      <c r="F110" s="20">
        <v>0</v>
      </c>
      <c r="G110" s="20">
        <v>0</v>
      </c>
      <c r="H110" s="20">
        <v>0</v>
      </c>
      <c r="I110" s="20">
        <f>600000+800000+600000+200000+200000</f>
        <v>2400000</v>
      </c>
      <c r="J110" s="20">
        <v>0</v>
      </c>
      <c r="K110" s="119">
        <f t="shared" si="1"/>
        <v>2400000</v>
      </c>
    </row>
    <row r="111" spans="1:11" ht="47.25">
      <c r="A111" s="8">
        <v>109</v>
      </c>
      <c r="B111" s="1" t="s">
        <v>344</v>
      </c>
      <c r="C111" s="4" t="s">
        <v>345</v>
      </c>
      <c r="D111" s="4" t="s">
        <v>24</v>
      </c>
      <c r="E111" s="20">
        <v>0</v>
      </c>
      <c r="F111" s="20">
        <v>310400</v>
      </c>
      <c r="G111" s="20">
        <v>0</v>
      </c>
      <c r="H111" s="20">
        <v>0</v>
      </c>
      <c r="I111" s="20">
        <v>0</v>
      </c>
      <c r="J111" s="20">
        <v>0</v>
      </c>
      <c r="K111" s="119">
        <f t="shared" si="1"/>
        <v>310400</v>
      </c>
    </row>
    <row r="112" spans="1:11">
      <c r="A112" s="8">
        <v>110</v>
      </c>
      <c r="B112" s="1" t="s">
        <v>346</v>
      </c>
      <c r="C112" s="4" t="s">
        <v>347</v>
      </c>
      <c r="D112" s="4" t="s">
        <v>24</v>
      </c>
      <c r="E112" s="20">
        <v>0</v>
      </c>
      <c r="F112" s="20">
        <v>0</v>
      </c>
      <c r="G112" s="20">
        <v>0</v>
      </c>
      <c r="H112" s="32">
        <v>0</v>
      </c>
      <c r="I112" s="20">
        <v>0</v>
      </c>
      <c r="J112" s="20">
        <f>204000+612000+408000+204000+204000+416500+212500</f>
        <v>2261000</v>
      </c>
      <c r="K112" s="119">
        <f t="shared" si="1"/>
        <v>2261000</v>
      </c>
    </row>
    <row r="113" spans="1:11">
      <c r="A113" s="8">
        <v>111</v>
      </c>
      <c r="B113" s="63" t="s">
        <v>349</v>
      </c>
      <c r="C113" s="5" t="s">
        <v>423</v>
      </c>
      <c r="D113" s="4" t="s">
        <v>24</v>
      </c>
      <c r="E113" s="20">
        <v>0</v>
      </c>
      <c r="F113" s="20">
        <v>1732550</v>
      </c>
      <c r="G113" s="20">
        <v>0</v>
      </c>
      <c r="H113" s="20">
        <v>0</v>
      </c>
      <c r="I113" s="20">
        <v>0</v>
      </c>
      <c r="J113" s="20">
        <v>0</v>
      </c>
      <c r="K113" s="119">
        <f t="shared" si="1"/>
        <v>1732550</v>
      </c>
    </row>
    <row r="114" spans="1:11" ht="31.5">
      <c r="A114" s="8">
        <v>112</v>
      </c>
      <c r="B114" s="1" t="s">
        <v>351</v>
      </c>
      <c r="C114" s="5" t="s">
        <v>424</v>
      </c>
      <c r="D114" s="4" t="s">
        <v>24</v>
      </c>
      <c r="E114" s="20">
        <v>0</v>
      </c>
      <c r="F114" s="20">
        <v>1682150</v>
      </c>
      <c r="G114" s="20">
        <v>0</v>
      </c>
      <c r="H114" s="20">
        <v>0</v>
      </c>
      <c r="I114" s="20">
        <v>0</v>
      </c>
      <c r="J114" s="20">
        <v>0</v>
      </c>
      <c r="K114" s="119">
        <f t="shared" si="1"/>
        <v>1682150</v>
      </c>
    </row>
    <row r="115" spans="1:11" ht="31.5">
      <c r="A115" s="8">
        <v>113</v>
      </c>
      <c r="B115" s="1" t="s">
        <v>353</v>
      </c>
      <c r="C115" s="46" t="s">
        <v>354</v>
      </c>
      <c r="D115" s="4" t="s">
        <v>24</v>
      </c>
      <c r="E115" s="20">
        <v>0</v>
      </c>
      <c r="F115" s="20">
        <v>1700571</v>
      </c>
      <c r="G115" s="20">
        <v>0</v>
      </c>
      <c r="H115" s="32">
        <v>0</v>
      </c>
      <c r="I115" s="20">
        <v>0</v>
      </c>
      <c r="J115" s="20">
        <v>0</v>
      </c>
      <c r="K115" s="119">
        <f t="shared" si="1"/>
        <v>1700571</v>
      </c>
    </row>
    <row r="116" spans="1:11" ht="31.5">
      <c r="A116" s="8">
        <v>114</v>
      </c>
      <c r="B116" s="1" t="s">
        <v>357</v>
      </c>
      <c r="C116" s="12" t="s">
        <v>358</v>
      </c>
      <c r="D116" s="4" t="s">
        <v>24</v>
      </c>
      <c r="E116" s="20">
        <v>0</v>
      </c>
      <c r="F116" s="20">
        <v>0</v>
      </c>
      <c r="G116" s="20">
        <v>0</v>
      </c>
      <c r="H116" s="20">
        <v>0</v>
      </c>
      <c r="I116" s="20">
        <f>510000+530000+190000+190000+360000+180000+180000</f>
        <v>2140000</v>
      </c>
      <c r="J116" s="20">
        <v>0</v>
      </c>
      <c r="K116" s="119">
        <f t="shared" si="1"/>
        <v>2140000</v>
      </c>
    </row>
    <row r="117" spans="1:11" ht="31.5">
      <c r="A117" s="8">
        <v>115</v>
      </c>
      <c r="B117" s="42" t="s">
        <v>492</v>
      </c>
      <c r="C117" s="64" t="s">
        <v>360</v>
      </c>
      <c r="D117" s="4" t="s">
        <v>24</v>
      </c>
      <c r="E117" s="20">
        <v>0</v>
      </c>
      <c r="F117" s="20">
        <v>0</v>
      </c>
      <c r="G117" s="20">
        <v>0</v>
      </c>
      <c r="H117" s="32">
        <f>420000+315000+105000+210000+105000</f>
        <v>1155000</v>
      </c>
      <c r="I117" s="20">
        <v>0</v>
      </c>
      <c r="J117" s="20">
        <v>0</v>
      </c>
      <c r="K117" s="119">
        <f t="shared" si="1"/>
        <v>1155000</v>
      </c>
    </row>
    <row r="118" spans="1:11" ht="31.5">
      <c r="A118" s="8">
        <v>116</v>
      </c>
      <c r="B118" s="1" t="s">
        <v>361</v>
      </c>
      <c r="C118" s="91" t="s">
        <v>425</v>
      </c>
      <c r="D118" s="4" t="s">
        <v>24</v>
      </c>
      <c r="E118" s="20">
        <v>0</v>
      </c>
      <c r="F118" s="20">
        <v>1561700</v>
      </c>
      <c r="G118" s="20">
        <v>0</v>
      </c>
      <c r="H118" s="20">
        <v>0</v>
      </c>
      <c r="I118" s="20">
        <v>0</v>
      </c>
      <c r="J118" s="20">
        <v>0</v>
      </c>
      <c r="K118" s="119">
        <f t="shared" si="1"/>
        <v>1561700</v>
      </c>
    </row>
    <row r="119" spans="1:11" ht="31.5">
      <c r="A119" s="8">
        <v>117</v>
      </c>
      <c r="B119" s="1" t="s">
        <v>8</v>
      </c>
      <c r="C119" s="5" t="s">
        <v>426</v>
      </c>
      <c r="D119" s="4" t="s">
        <v>62</v>
      </c>
      <c r="E119" s="20">
        <v>0</v>
      </c>
      <c r="F119" s="20">
        <v>0</v>
      </c>
      <c r="G119" s="20">
        <v>0</v>
      </c>
      <c r="H119" s="20">
        <v>0</v>
      </c>
      <c r="I119" s="20">
        <f>320000+960000+160000+150000+300000+150000</f>
        <v>2040000</v>
      </c>
      <c r="J119" s="20">
        <v>0</v>
      </c>
      <c r="K119" s="119">
        <f t="shared" si="1"/>
        <v>2040000</v>
      </c>
    </row>
    <row r="120" spans="1:11">
      <c r="A120" s="8">
        <v>118</v>
      </c>
      <c r="B120" s="1" t="s">
        <v>0</v>
      </c>
      <c r="C120" s="4" t="s">
        <v>22</v>
      </c>
      <c r="D120" s="4" t="s">
        <v>23</v>
      </c>
      <c r="E120" s="20">
        <v>1080000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19">
        <f t="shared" si="1"/>
        <v>1080000</v>
      </c>
    </row>
    <row r="121" spans="1:11" ht="31.5">
      <c r="A121" s="8">
        <v>119</v>
      </c>
      <c r="B121" s="1" t="s">
        <v>364</v>
      </c>
      <c r="C121" s="4" t="s">
        <v>365</v>
      </c>
      <c r="D121" s="4" t="s">
        <v>23</v>
      </c>
      <c r="E121" s="20">
        <v>0</v>
      </c>
      <c r="F121" s="20">
        <v>0</v>
      </c>
      <c r="G121" s="20">
        <v>1856550</v>
      </c>
      <c r="H121" s="20">
        <v>0</v>
      </c>
      <c r="I121" s="20">
        <v>0</v>
      </c>
      <c r="J121" s="20">
        <v>0</v>
      </c>
      <c r="K121" s="119">
        <f t="shared" si="1"/>
        <v>1856550</v>
      </c>
    </row>
    <row r="122" spans="1:11">
      <c r="A122" s="8">
        <v>120</v>
      </c>
      <c r="B122" s="1" t="s">
        <v>368</v>
      </c>
      <c r="C122" s="4" t="s">
        <v>369</v>
      </c>
      <c r="D122" s="4" t="s">
        <v>23</v>
      </c>
      <c r="E122" s="20">
        <v>0</v>
      </c>
      <c r="F122" s="20">
        <v>0</v>
      </c>
      <c r="G122" s="20">
        <v>1092000</v>
      </c>
      <c r="H122" s="20">
        <v>0</v>
      </c>
      <c r="I122" s="20">
        <v>0</v>
      </c>
      <c r="J122" s="20">
        <v>0</v>
      </c>
      <c r="K122" s="119">
        <f t="shared" si="1"/>
        <v>1092000</v>
      </c>
    </row>
    <row r="123" spans="1:11">
      <c r="A123" s="8">
        <v>121</v>
      </c>
      <c r="B123" s="1" t="s">
        <v>370</v>
      </c>
      <c r="C123" s="4" t="s">
        <v>371</v>
      </c>
      <c r="D123" s="4" t="s">
        <v>23</v>
      </c>
      <c r="E123" s="20">
        <v>0</v>
      </c>
      <c r="F123" s="20">
        <v>0</v>
      </c>
      <c r="G123" s="20">
        <v>1498300</v>
      </c>
      <c r="H123" s="20">
        <v>0</v>
      </c>
      <c r="I123" s="20">
        <v>0</v>
      </c>
      <c r="J123" s="20">
        <v>0</v>
      </c>
      <c r="K123" s="119">
        <f t="shared" si="1"/>
        <v>1498300</v>
      </c>
    </row>
    <row r="124" spans="1:11">
      <c r="A124" s="8">
        <v>122</v>
      </c>
      <c r="B124" s="1" t="s">
        <v>373</v>
      </c>
      <c r="C124" s="4" t="s">
        <v>374</v>
      </c>
      <c r="D124" s="4" t="s">
        <v>23</v>
      </c>
      <c r="E124" s="20">
        <v>1065000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19">
        <f t="shared" si="1"/>
        <v>1065000</v>
      </c>
    </row>
    <row r="125" spans="1:11" ht="31.5">
      <c r="A125" s="8">
        <v>123</v>
      </c>
      <c r="B125" s="1" t="s">
        <v>375</v>
      </c>
      <c r="C125" s="4" t="s">
        <v>376</v>
      </c>
      <c r="D125" s="4" t="s">
        <v>23</v>
      </c>
      <c r="E125" s="20">
        <v>0</v>
      </c>
      <c r="F125" s="20">
        <v>0</v>
      </c>
      <c r="G125" s="20">
        <v>1854000</v>
      </c>
      <c r="H125" s="20">
        <v>0</v>
      </c>
      <c r="I125" s="20">
        <v>0</v>
      </c>
      <c r="J125" s="20">
        <v>0</v>
      </c>
      <c r="K125" s="119">
        <f t="shared" si="1"/>
        <v>1854000</v>
      </c>
    </row>
    <row r="126" spans="1:11" ht="20.25" customHeight="1">
      <c r="A126" s="8">
        <v>124</v>
      </c>
      <c r="B126" s="1" t="s">
        <v>472</v>
      </c>
      <c r="C126" s="4" t="s">
        <v>378</v>
      </c>
      <c r="D126" s="4" t="s">
        <v>23</v>
      </c>
      <c r="E126" s="20">
        <v>0</v>
      </c>
      <c r="F126" s="20">
        <v>0</v>
      </c>
      <c r="G126" s="20">
        <v>1560000</v>
      </c>
      <c r="H126" s="23">
        <v>0</v>
      </c>
      <c r="I126" s="20">
        <v>0</v>
      </c>
      <c r="J126" s="20">
        <v>0</v>
      </c>
      <c r="K126" s="119">
        <f t="shared" si="1"/>
        <v>1560000</v>
      </c>
    </row>
    <row r="127" spans="1:11" ht="18.75" customHeight="1">
      <c r="A127" s="8">
        <v>125</v>
      </c>
      <c r="B127" s="40" t="s">
        <v>379</v>
      </c>
      <c r="C127" s="4" t="s">
        <v>380</v>
      </c>
      <c r="D127" s="4" t="s">
        <v>23</v>
      </c>
      <c r="E127" s="20">
        <v>0</v>
      </c>
      <c r="F127" s="20">
        <v>0</v>
      </c>
      <c r="G127" s="20">
        <v>0</v>
      </c>
      <c r="H127" s="20">
        <v>0</v>
      </c>
      <c r="I127" s="20">
        <f>420000+280000+140000+140000+280000+140000+140000</f>
        <v>1540000</v>
      </c>
      <c r="J127" s="20">
        <v>0</v>
      </c>
      <c r="K127" s="119">
        <f t="shared" si="1"/>
        <v>1540000</v>
      </c>
    </row>
    <row r="128" spans="1:11" ht="31.5">
      <c r="A128" s="8">
        <v>126</v>
      </c>
      <c r="B128" s="1" t="s">
        <v>383</v>
      </c>
      <c r="C128" s="4" t="s">
        <v>380</v>
      </c>
      <c r="D128" s="4" t="s">
        <v>23</v>
      </c>
      <c r="E128" s="20">
        <v>1142145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119">
        <f t="shared" si="1"/>
        <v>1142145</v>
      </c>
    </row>
    <row r="129" spans="1:11" ht="18.75" customHeight="1">
      <c r="A129" s="8">
        <v>127</v>
      </c>
      <c r="B129" s="1" t="s">
        <v>384</v>
      </c>
      <c r="C129" s="91" t="s">
        <v>427</v>
      </c>
      <c r="D129" s="4" t="s">
        <v>23</v>
      </c>
      <c r="E129" s="20">
        <v>0</v>
      </c>
      <c r="F129" s="20">
        <v>1168250</v>
      </c>
      <c r="G129" s="20">
        <v>0</v>
      </c>
      <c r="H129" s="20">
        <v>0</v>
      </c>
      <c r="I129" s="20">
        <v>0</v>
      </c>
      <c r="J129" s="20">
        <v>0</v>
      </c>
      <c r="K129" s="119">
        <f t="shared" si="1"/>
        <v>1168250</v>
      </c>
    </row>
    <row r="130" spans="1:11" s="14" customFormat="1">
      <c r="A130" s="8"/>
      <c r="B130" s="149"/>
      <c r="C130" s="9"/>
      <c r="D130" s="9" t="s">
        <v>501</v>
      </c>
      <c r="E130" s="21">
        <f t="shared" ref="E130:K130" si="2">SUM(E3:E129)</f>
        <v>15250735</v>
      </c>
      <c r="F130" s="21">
        <f t="shared" si="2"/>
        <v>33952208</v>
      </c>
      <c r="G130" s="21">
        <f t="shared" si="2"/>
        <v>57947176</v>
      </c>
      <c r="H130" s="21">
        <f t="shared" si="2"/>
        <v>15301000</v>
      </c>
      <c r="I130" s="21">
        <f t="shared" si="2"/>
        <v>37320000</v>
      </c>
      <c r="J130" s="21">
        <f t="shared" si="2"/>
        <v>29248000</v>
      </c>
      <c r="K130" s="9">
        <f t="shared" si="2"/>
        <v>189019119</v>
      </c>
    </row>
    <row r="131" spans="1:11">
      <c r="A131" s="3"/>
      <c r="G131" s="158"/>
      <c r="H131" s="159"/>
      <c r="I131" s="159"/>
    </row>
    <row r="133" spans="1:11">
      <c r="A133" s="3"/>
    </row>
  </sheetData>
  <mergeCells count="1">
    <mergeCell ref="A1:K1"/>
  </mergeCells>
  <conditionalFormatting sqref="D119 C109:C111 B3:B10 B20:B30 B55:B57 B61:B111 B53 B12:B18 B33:B51 D130:D1048576 B113:B1048576 C113:C126 C129:C1048576">
    <cfRule type="duplicateValues" dxfId="126" priority="11"/>
  </conditionalFormatting>
  <conditionalFormatting sqref="D119 B109:C111 D130:D1048576 B113:B1048576 C113:C126 C129:C1048576">
    <cfRule type="duplicateValues" dxfId="125" priority="10"/>
  </conditionalFormatting>
  <conditionalFormatting sqref="A3 A7 A11 A15 A19 A23 A27 A31 A35 A39 A43 A47 A51 A55 A59 A63 A67 A71 A75 A79 A83 A87 A91 A95 A99 A103 A107 A111 A115 A119 A123 A127">
    <cfRule type="duplicateValues" dxfId="124" priority="9"/>
  </conditionalFormatting>
  <conditionalFormatting sqref="C109:C111">
    <cfRule type="duplicateValues" dxfId="123" priority="8"/>
  </conditionalFormatting>
  <conditionalFormatting sqref="B109:C111">
    <cfRule type="duplicateValues" dxfId="122" priority="7"/>
  </conditionalFormatting>
  <conditionalFormatting sqref="B42">
    <cfRule type="duplicateValues" dxfId="121" priority="6"/>
  </conditionalFormatting>
  <conditionalFormatting sqref="B90">
    <cfRule type="duplicateValues" dxfId="120" priority="5"/>
  </conditionalFormatting>
  <conditionalFormatting sqref="A2">
    <cfRule type="duplicateValues" dxfId="119" priority="4"/>
  </conditionalFormatting>
  <conditionalFormatting sqref="B131:D1048576 B3:B10 B43 B72:B74 B2:D2 B12:B25 B45:B68 B70 B79:B130 B27:B41">
    <cfRule type="duplicateValues" dxfId="118" priority="3"/>
  </conditionalFormatting>
  <conditionalFormatting sqref="B131:D1048576">
    <cfRule type="duplicateValues" dxfId="117" priority="2"/>
  </conditionalFormatting>
  <conditionalFormatting sqref="B95">
    <cfRule type="duplicateValues" dxfId="116" priority="1"/>
  </conditionalFormatting>
  <pageMargins left="0.23622047244094491" right="0.19685039370078741" top="0.35433070866141736" bottom="0.31496062992125984" header="0.19685039370078741" footer="0.19685039370078741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workbookViewId="0">
      <pane xSplit="1" ySplit="2" topLeftCell="B123" activePane="bottomRight" state="frozen"/>
      <selection pane="topRight" activeCell="B1" sqref="B1"/>
      <selection pane="bottomLeft" activeCell="A3" sqref="A3"/>
      <selection pane="bottomRight" sqref="A1:XFD2"/>
    </sheetView>
  </sheetViews>
  <sheetFormatPr defaultRowHeight="15.75"/>
  <cols>
    <col min="1" max="1" width="5.42578125" style="74" customWidth="1"/>
    <col min="2" max="2" width="42.28515625" style="17" customWidth="1"/>
    <col min="3" max="3" width="16.140625" style="17" customWidth="1"/>
    <col min="4" max="4" width="19.140625" style="17" customWidth="1"/>
    <col min="5" max="5" width="14.7109375" style="14" customWidth="1"/>
    <col min="6" max="6" width="11" style="14" customWidth="1"/>
    <col min="7" max="7" width="14.85546875" style="14" customWidth="1"/>
    <col min="8" max="8" width="15.7109375" style="14" customWidth="1"/>
    <col min="9" max="9" width="16.28515625" style="14" customWidth="1"/>
    <col min="10" max="10" width="15" style="14" customWidth="1"/>
    <col min="11" max="11" width="15.85546875" style="150" customWidth="1"/>
    <col min="12" max="16384" width="9.140625" style="3"/>
  </cols>
  <sheetData>
    <row r="1" spans="1:11" s="6" customFormat="1" ht="23.25">
      <c r="A1" s="181" t="s">
        <v>516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74" customFormat="1" ht="63">
      <c r="A2" s="163" t="s">
        <v>47</v>
      </c>
      <c r="B2" s="163" t="s">
        <v>13</v>
      </c>
      <c r="C2" s="163" t="s">
        <v>46</v>
      </c>
      <c r="D2" s="163" t="s">
        <v>16</v>
      </c>
      <c r="E2" s="163" t="s">
        <v>388</v>
      </c>
      <c r="F2" s="163" t="s">
        <v>56</v>
      </c>
      <c r="G2" s="163" t="s">
        <v>429</v>
      </c>
      <c r="H2" s="163" t="s">
        <v>55</v>
      </c>
      <c r="I2" s="163" t="s">
        <v>54</v>
      </c>
      <c r="J2" s="163" t="s">
        <v>391</v>
      </c>
      <c r="K2" s="164" t="s">
        <v>57</v>
      </c>
    </row>
    <row r="3" spans="1:11">
      <c r="A3" s="8">
        <v>1</v>
      </c>
      <c r="B3" s="1" t="s">
        <v>66</v>
      </c>
      <c r="C3" s="4" t="s">
        <v>67</v>
      </c>
      <c r="D3" s="4" t="s">
        <v>29</v>
      </c>
      <c r="E3" s="4"/>
      <c r="F3" s="20"/>
      <c r="G3" s="20">
        <v>1560000</v>
      </c>
      <c r="H3" s="4"/>
      <c r="I3" s="4"/>
      <c r="J3" s="20"/>
      <c r="K3" s="119">
        <f>SUM(E3:J3)</f>
        <v>1560000</v>
      </c>
    </row>
    <row r="4" spans="1:11">
      <c r="A4" s="8">
        <v>2</v>
      </c>
      <c r="B4" s="1" t="s">
        <v>68</v>
      </c>
      <c r="C4" s="4" t="s">
        <v>39</v>
      </c>
      <c r="D4" s="4" t="s">
        <v>29</v>
      </c>
      <c r="E4" s="4"/>
      <c r="F4" s="20"/>
      <c r="G4" s="20">
        <v>1716000</v>
      </c>
      <c r="H4" s="4"/>
      <c r="I4" s="4"/>
      <c r="J4" s="20"/>
      <c r="K4" s="119">
        <f t="shared" ref="K4:K67" si="0">SUM(E4:J4)</f>
        <v>1716000</v>
      </c>
    </row>
    <row r="5" spans="1:11">
      <c r="A5" s="8">
        <v>3</v>
      </c>
      <c r="B5" s="1" t="s">
        <v>69</v>
      </c>
      <c r="C5" s="4" t="s">
        <v>67</v>
      </c>
      <c r="D5" s="4" t="s">
        <v>29</v>
      </c>
      <c r="E5" s="4"/>
      <c r="F5" s="20"/>
      <c r="G5" s="20">
        <v>1596400</v>
      </c>
      <c r="H5" s="4"/>
      <c r="I5" s="4"/>
      <c r="J5" s="20"/>
      <c r="K5" s="119">
        <f t="shared" si="0"/>
        <v>1596400</v>
      </c>
    </row>
    <row r="6" spans="1:11">
      <c r="A6" s="8">
        <v>4</v>
      </c>
      <c r="B6" s="1" t="s">
        <v>70</v>
      </c>
      <c r="C6" s="4" t="s">
        <v>71</v>
      </c>
      <c r="D6" s="4" t="s">
        <v>29</v>
      </c>
      <c r="E6" s="4"/>
      <c r="F6" s="20"/>
      <c r="G6" s="20">
        <v>1716000</v>
      </c>
      <c r="H6" s="11"/>
      <c r="I6" s="4"/>
      <c r="J6" s="20"/>
      <c r="K6" s="119">
        <f t="shared" si="0"/>
        <v>1716000</v>
      </c>
    </row>
    <row r="7" spans="1:11">
      <c r="A7" s="8">
        <v>5</v>
      </c>
      <c r="B7" s="1" t="s">
        <v>11</v>
      </c>
      <c r="C7" s="4" t="s">
        <v>39</v>
      </c>
      <c r="D7" s="4" t="s">
        <v>29</v>
      </c>
      <c r="E7" s="4"/>
      <c r="F7" s="20"/>
      <c r="G7" s="20"/>
      <c r="H7" s="11"/>
      <c r="I7" s="4"/>
      <c r="J7" s="20">
        <f>493000+153000+178500+178500+178500+357000+357000+178500</f>
        <v>2074000</v>
      </c>
      <c r="K7" s="119">
        <f t="shared" si="0"/>
        <v>2074000</v>
      </c>
    </row>
    <row r="8" spans="1:11">
      <c r="A8" s="8">
        <v>6</v>
      </c>
      <c r="B8" s="1" t="s">
        <v>72</v>
      </c>
      <c r="C8" s="33" t="s">
        <v>73</v>
      </c>
      <c r="D8" s="4" t="s">
        <v>29</v>
      </c>
      <c r="E8" s="4"/>
      <c r="F8" s="20">
        <v>872950</v>
      </c>
      <c r="G8" s="20"/>
      <c r="H8" s="4"/>
      <c r="I8" s="4"/>
      <c r="J8" s="20"/>
      <c r="K8" s="119">
        <f t="shared" si="0"/>
        <v>872950</v>
      </c>
    </row>
    <row r="9" spans="1:11">
      <c r="A9" s="8">
        <v>7</v>
      </c>
      <c r="B9" s="1" t="s">
        <v>74</v>
      </c>
      <c r="C9" s="4" t="s">
        <v>75</v>
      </c>
      <c r="D9" s="4" t="s">
        <v>29</v>
      </c>
      <c r="E9" s="4"/>
      <c r="F9" s="20"/>
      <c r="G9" s="20">
        <v>1642000</v>
      </c>
      <c r="H9" s="4"/>
      <c r="I9" s="4"/>
      <c r="J9" s="20"/>
      <c r="K9" s="119">
        <f t="shared" si="0"/>
        <v>1642000</v>
      </c>
    </row>
    <row r="10" spans="1:11">
      <c r="A10" s="8">
        <v>8</v>
      </c>
      <c r="B10" s="1" t="s">
        <v>76</v>
      </c>
      <c r="C10" s="5" t="s">
        <v>67</v>
      </c>
      <c r="D10" s="4" t="s">
        <v>29</v>
      </c>
      <c r="E10" s="4"/>
      <c r="F10" s="20">
        <v>1600500</v>
      </c>
      <c r="G10" s="20"/>
      <c r="H10" s="4"/>
      <c r="I10" s="4"/>
      <c r="J10" s="20"/>
      <c r="K10" s="119">
        <f t="shared" si="0"/>
        <v>1600500</v>
      </c>
    </row>
    <row r="11" spans="1:11">
      <c r="A11" s="8">
        <v>9</v>
      </c>
      <c r="B11" s="1" t="s">
        <v>77</v>
      </c>
      <c r="C11" s="4" t="s">
        <v>78</v>
      </c>
      <c r="D11" s="4" t="s">
        <v>29</v>
      </c>
      <c r="E11" s="4"/>
      <c r="F11" s="20"/>
      <c r="G11" s="20"/>
      <c r="H11" s="4"/>
      <c r="I11" s="4">
        <f>300000+150000+150000+150000+150000+300000+450000</f>
        <v>1650000</v>
      </c>
      <c r="J11" s="20"/>
      <c r="K11" s="119">
        <f t="shared" si="0"/>
        <v>1650000</v>
      </c>
    </row>
    <row r="12" spans="1:11" ht="31.5">
      <c r="A12" s="8">
        <v>10</v>
      </c>
      <c r="B12" s="1" t="s">
        <v>79</v>
      </c>
      <c r="C12" s="4" t="s">
        <v>80</v>
      </c>
      <c r="D12" s="4" t="s">
        <v>29</v>
      </c>
      <c r="E12" s="4"/>
      <c r="F12" s="20"/>
      <c r="G12" s="20">
        <v>1404000</v>
      </c>
      <c r="H12" s="4"/>
      <c r="I12" s="4"/>
      <c r="J12" s="20"/>
      <c r="K12" s="119">
        <f t="shared" si="0"/>
        <v>1404000</v>
      </c>
    </row>
    <row r="13" spans="1:11">
      <c r="A13" s="8">
        <v>11</v>
      </c>
      <c r="B13" s="1" t="s">
        <v>81</v>
      </c>
      <c r="C13" s="4" t="s">
        <v>82</v>
      </c>
      <c r="D13" s="4" t="s">
        <v>29</v>
      </c>
      <c r="E13" s="4"/>
      <c r="F13" s="20"/>
      <c r="G13" s="20"/>
      <c r="H13" s="4"/>
      <c r="I13" s="4">
        <f>400000+200000+200000+200000+200000+400000+600000</f>
        <v>2200000</v>
      </c>
      <c r="J13" s="20"/>
      <c r="K13" s="119">
        <f t="shared" si="0"/>
        <v>2200000</v>
      </c>
    </row>
    <row r="14" spans="1:11">
      <c r="A14" s="8">
        <v>12</v>
      </c>
      <c r="B14" s="1" t="s">
        <v>457</v>
      </c>
      <c r="C14" s="4" t="s">
        <v>458</v>
      </c>
      <c r="D14" s="4" t="s">
        <v>35</v>
      </c>
      <c r="E14" s="4"/>
      <c r="F14" s="20"/>
      <c r="G14" s="20"/>
      <c r="H14" s="4">
        <f>231000+70000</f>
        <v>301000</v>
      </c>
      <c r="I14" s="4"/>
      <c r="J14" s="20"/>
      <c r="K14" s="119">
        <f t="shared" si="0"/>
        <v>301000</v>
      </c>
    </row>
    <row r="15" spans="1:11">
      <c r="A15" s="8">
        <v>13</v>
      </c>
      <c r="B15" s="1" t="s">
        <v>84</v>
      </c>
      <c r="C15" s="4" t="s">
        <v>85</v>
      </c>
      <c r="D15" s="4" t="s">
        <v>35</v>
      </c>
      <c r="E15" s="4">
        <v>585000</v>
      </c>
      <c r="F15" s="20"/>
      <c r="G15" s="20"/>
      <c r="H15" s="4"/>
      <c r="I15" s="4"/>
      <c r="J15" s="20"/>
      <c r="K15" s="119">
        <f t="shared" si="0"/>
        <v>585000</v>
      </c>
    </row>
    <row r="16" spans="1:11">
      <c r="A16" s="8">
        <v>14</v>
      </c>
      <c r="B16" s="1" t="s">
        <v>7</v>
      </c>
      <c r="C16" s="4" t="s">
        <v>40</v>
      </c>
      <c r="D16" s="4" t="s">
        <v>35</v>
      </c>
      <c r="E16" s="4">
        <v>734500</v>
      </c>
      <c r="F16" s="20"/>
      <c r="G16" s="20"/>
      <c r="H16" s="4"/>
      <c r="I16" s="4"/>
      <c r="J16" s="20"/>
      <c r="K16" s="119">
        <f t="shared" si="0"/>
        <v>734500</v>
      </c>
    </row>
    <row r="17" spans="1:11" ht="31.5">
      <c r="A17" s="8">
        <v>15</v>
      </c>
      <c r="B17" s="1" t="s">
        <v>87</v>
      </c>
      <c r="C17" s="4" t="s">
        <v>88</v>
      </c>
      <c r="D17" s="4" t="s">
        <v>18</v>
      </c>
      <c r="E17" s="4"/>
      <c r="F17" s="20"/>
      <c r="G17" s="20">
        <v>1716000</v>
      </c>
      <c r="H17" s="4"/>
      <c r="I17" s="4"/>
      <c r="J17" s="20"/>
      <c r="K17" s="119">
        <f t="shared" si="0"/>
        <v>1716000</v>
      </c>
    </row>
    <row r="18" spans="1:11">
      <c r="A18" s="8">
        <v>16</v>
      </c>
      <c r="B18" s="1" t="s">
        <v>89</v>
      </c>
      <c r="C18" s="4" t="s">
        <v>90</v>
      </c>
      <c r="D18" s="4" t="s">
        <v>18</v>
      </c>
      <c r="E18" s="4"/>
      <c r="F18" s="20"/>
      <c r="G18" s="20">
        <v>1716000</v>
      </c>
      <c r="H18" s="4"/>
      <c r="I18" s="4"/>
      <c r="J18" s="20"/>
      <c r="K18" s="119">
        <f t="shared" si="0"/>
        <v>1716000</v>
      </c>
    </row>
    <row r="19" spans="1:11" ht="31.5">
      <c r="A19" s="8">
        <v>17</v>
      </c>
      <c r="B19" s="1" t="s">
        <v>91</v>
      </c>
      <c r="C19" s="4" t="s">
        <v>92</v>
      </c>
      <c r="D19" s="4" t="s">
        <v>18</v>
      </c>
      <c r="E19" s="4">
        <v>1210000</v>
      </c>
      <c r="F19" s="20"/>
      <c r="G19" s="20"/>
      <c r="H19" s="11"/>
      <c r="I19" s="4"/>
      <c r="J19" s="20"/>
      <c r="K19" s="119">
        <f t="shared" si="0"/>
        <v>1210000</v>
      </c>
    </row>
    <row r="20" spans="1:11">
      <c r="A20" s="8">
        <v>18</v>
      </c>
      <c r="B20" s="1" t="s">
        <v>9</v>
      </c>
      <c r="C20" s="4" t="s">
        <v>42</v>
      </c>
      <c r="D20" s="4" t="s">
        <v>18</v>
      </c>
      <c r="E20" s="4"/>
      <c r="F20" s="20">
        <v>1600500</v>
      </c>
      <c r="G20" s="20"/>
      <c r="H20" s="11"/>
      <c r="I20" s="4"/>
      <c r="J20" s="20"/>
      <c r="K20" s="119">
        <f t="shared" si="0"/>
        <v>1600500</v>
      </c>
    </row>
    <row r="21" spans="1:11" ht="31.5">
      <c r="A21" s="8">
        <v>19</v>
      </c>
      <c r="B21" s="1" t="s">
        <v>93</v>
      </c>
      <c r="C21" s="4" t="s">
        <v>94</v>
      </c>
      <c r="D21" s="4" t="s">
        <v>18</v>
      </c>
      <c r="E21" s="4"/>
      <c r="F21" s="20"/>
      <c r="G21" s="20">
        <v>1716000</v>
      </c>
      <c r="H21" s="4"/>
      <c r="I21" s="4"/>
      <c r="J21" s="20"/>
      <c r="K21" s="119">
        <f t="shared" si="0"/>
        <v>1716000</v>
      </c>
    </row>
    <row r="22" spans="1:11">
      <c r="A22" s="8">
        <v>20</v>
      </c>
      <c r="B22" s="1" t="s">
        <v>512</v>
      </c>
      <c r="C22" s="4" t="s">
        <v>96</v>
      </c>
      <c r="D22" s="4" t="s">
        <v>98</v>
      </c>
      <c r="E22" s="4">
        <v>346500</v>
      </c>
      <c r="F22" s="20"/>
      <c r="G22" s="20"/>
      <c r="H22" s="4"/>
      <c r="I22" s="4"/>
      <c r="J22" s="20"/>
      <c r="K22" s="119">
        <f t="shared" si="0"/>
        <v>346500</v>
      </c>
    </row>
    <row r="23" spans="1:11">
      <c r="A23" s="8">
        <v>21</v>
      </c>
      <c r="B23" s="1" t="s">
        <v>103</v>
      </c>
      <c r="C23" s="4" t="s">
        <v>104</v>
      </c>
      <c r="D23" s="4" t="s">
        <v>31</v>
      </c>
      <c r="E23" s="4"/>
      <c r="F23" s="20"/>
      <c r="G23" s="20"/>
      <c r="H23" s="22"/>
      <c r="I23" s="4"/>
      <c r="J23" s="20">
        <f>612000+408000+204000+816000+408000+204000</f>
        <v>2652000</v>
      </c>
      <c r="K23" s="119">
        <f t="shared" si="0"/>
        <v>2652000</v>
      </c>
    </row>
    <row r="24" spans="1:11">
      <c r="A24" s="8">
        <v>22</v>
      </c>
      <c r="B24" s="1" t="s">
        <v>12</v>
      </c>
      <c r="C24" s="4" t="s">
        <v>45</v>
      </c>
      <c r="D24" s="4" t="s">
        <v>31</v>
      </c>
      <c r="E24" s="4"/>
      <c r="F24" s="20"/>
      <c r="G24" s="20"/>
      <c r="H24" s="23"/>
      <c r="I24" s="4"/>
      <c r="J24" s="20">
        <f>714000+493000+510000+510000+510000+255000</f>
        <v>2992000</v>
      </c>
      <c r="K24" s="119">
        <f t="shared" si="0"/>
        <v>2992000</v>
      </c>
    </row>
    <row r="25" spans="1:11" ht="31.5">
      <c r="A25" s="8">
        <v>23</v>
      </c>
      <c r="B25" s="1" t="s">
        <v>513</v>
      </c>
      <c r="C25" s="4" t="s">
        <v>108</v>
      </c>
      <c r="D25" s="4" t="s">
        <v>108</v>
      </c>
      <c r="E25" s="4"/>
      <c r="F25" s="20">
        <v>130950</v>
      </c>
      <c r="G25" s="20"/>
      <c r="H25" s="20"/>
      <c r="I25" s="4"/>
      <c r="J25" s="20"/>
      <c r="K25" s="119">
        <f t="shared" si="0"/>
        <v>130950</v>
      </c>
    </row>
    <row r="26" spans="1:11">
      <c r="A26" s="8">
        <v>24</v>
      </c>
      <c r="B26" s="40" t="s">
        <v>112</v>
      </c>
      <c r="C26" s="4" t="s">
        <v>108</v>
      </c>
      <c r="D26" s="4" t="s">
        <v>108</v>
      </c>
      <c r="E26" s="4"/>
      <c r="F26" s="20"/>
      <c r="G26" s="20"/>
      <c r="H26" s="20"/>
      <c r="I26" s="4">
        <f>200000+400000+100000+100000+300000+400000</f>
        <v>1500000</v>
      </c>
      <c r="J26" s="20"/>
      <c r="K26" s="119">
        <f t="shared" si="0"/>
        <v>1500000</v>
      </c>
    </row>
    <row r="27" spans="1:11">
      <c r="A27" s="8">
        <v>25</v>
      </c>
      <c r="B27" s="1" t="s">
        <v>115</v>
      </c>
      <c r="C27" s="4" t="s">
        <v>116</v>
      </c>
      <c r="D27" s="4" t="s">
        <v>108</v>
      </c>
      <c r="E27" s="4"/>
      <c r="F27" s="20"/>
      <c r="G27" s="20">
        <v>1582400</v>
      </c>
      <c r="H27" s="22"/>
      <c r="I27" s="4"/>
      <c r="J27" s="20"/>
      <c r="K27" s="119">
        <f t="shared" si="0"/>
        <v>1582400</v>
      </c>
    </row>
    <row r="28" spans="1:11">
      <c r="A28" s="8">
        <v>26</v>
      </c>
      <c r="B28" s="1" t="s">
        <v>118</v>
      </c>
      <c r="C28" s="4" t="s">
        <v>108</v>
      </c>
      <c r="D28" s="4" t="s">
        <v>108</v>
      </c>
      <c r="E28" s="4">
        <v>238500</v>
      </c>
      <c r="F28" s="20"/>
      <c r="G28" s="20"/>
      <c r="H28" s="20"/>
      <c r="I28" s="4"/>
      <c r="J28" s="20"/>
      <c r="K28" s="119">
        <f t="shared" si="0"/>
        <v>238500</v>
      </c>
    </row>
    <row r="29" spans="1:11" ht="31.5">
      <c r="A29" s="8">
        <v>27</v>
      </c>
      <c r="B29" s="1" t="s">
        <v>123</v>
      </c>
      <c r="C29" s="4" t="s">
        <v>124</v>
      </c>
      <c r="D29" s="4" t="s">
        <v>20</v>
      </c>
      <c r="E29" s="4"/>
      <c r="F29" s="20">
        <v>819650</v>
      </c>
      <c r="G29" s="20"/>
      <c r="H29" s="20"/>
      <c r="I29" s="4"/>
      <c r="J29" s="20"/>
      <c r="K29" s="119">
        <f t="shared" si="0"/>
        <v>819650</v>
      </c>
    </row>
    <row r="30" spans="1:11" ht="31.5">
      <c r="A30" s="8">
        <v>28</v>
      </c>
      <c r="B30" s="1" t="s">
        <v>125</v>
      </c>
      <c r="C30" s="4" t="s">
        <v>126</v>
      </c>
      <c r="D30" s="4" t="s">
        <v>20</v>
      </c>
      <c r="E30" s="4"/>
      <c r="F30" s="20"/>
      <c r="G30" s="20">
        <v>1601600</v>
      </c>
      <c r="H30" s="20"/>
      <c r="I30" s="4"/>
      <c r="J30" s="20"/>
      <c r="K30" s="119">
        <f t="shared" si="0"/>
        <v>1601600</v>
      </c>
    </row>
    <row r="31" spans="1:11" ht="31.5">
      <c r="A31" s="8">
        <v>29</v>
      </c>
      <c r="B31" s="1" t="s">
        <v>131</v>
      </c>
      <c r="C31" s="4" t="s">
        <v>132</v>
      </c>
      <c r="D31" s="4" t="s">
        <v>20</v>
      </c>
      <c r="E31" s="4"/>
      <c r="F31" s="20"/>
      <c r="G31" s="20">
        <v>1440400</v>
      </c>
      <c r="H31" s="20"/>
      <c r="I31" s="4"/>
      <c r="J31" s="20"/>
      <c r="K31" s="119">
        <f t="shared" si="0"/>
        <v>1440400</v>
      </c>
    </row>
    <row r="32" spans="1:11" ht="31.5">
      <c r="A32" s="8">
        <v>30</v>
      </c>
      <c r="B32" s="1" t="s">
        <v>133</v>
      </c>
      <c r="C32" s="4" t="s">
        <v>134</v>
      </c>
      <c r="D32" s="4" t="s">
        <v>20</v>
      </c>
      <c r="E32" s="4"/>
      <c r="F32" s="20"/>
      <c r="G32" s="20"/>
      <c r="H32" s="4">
        <f>630000+210000+210000+210000+210000+420000+420000+210000</f>
        <v>2520000</v>
      </c>
      <c r="I32" s="4"/>
      <c r="J32" s="20"/>
      <c r="K32" s="119">
        <f t="shared" si="0"/>
        <v>2520000</v>
      </c>
    </row>
    <row r="33" spans="1:11" ht="47.25">
      <c r="A33" s="8">
        <v>31</v>
      </c>
      <c r="B33" s="1" t="s">
        <v>135</v>
      </c>
      <c r="C33" s="4" t="s">
        <v>124</v>
      </c>
      <c r="D33" s="4" t="s">
        <v>20</v>
      </c>
      <c r="E33" s="4"/>
      <c r="F33" s="20"/>
      <c r="G33" s="20">
        <v>1716000</v>
      </c>
      <c r="H33" s="20"/>
      <c r="I33" s="4"/>
      <c r="J33" s="20"/>
      <c r="K33" s="119">
        <f t="shared" si="0"/>
        <v>1716000</v>
      </c>
    </row>
    <row r="34" spans="1:11">
      <c r="A34" s="8">
        <v>32</v>
      </c>
      <c r="B34" s="1" t="s">
        <v>137</v>
      </c>
      <c r="C34" s="5" t="s">
        <v>409</v>
      </c>
      <c r="D34" s="4" t="s">
        <v>19</v>
      </c>
      <c r="E34" s="4"/>
      <c r="F34" s="20">
        <v>1353150</v>
      </c>
      <c r="G34" s="20"/>
      <c r="H34" s="20"/>
      <c r="I34" s="4"/>
      <c r="J34" s="20"/>
      <c r="K34" s="119">
        <f t="shared" si="0"/>
        <v>1353150</v>
      </c>
    </row>
    <row r="35" spans="1:11">
      <c r="A35" s="8">
        <v>33</v>
      </c>
      <c r="B35" s="1" t="s">
        <v>142</v>
      </c>
      <c r="C35" s="5" t="s">
        <v>410</v>
      </c>
      <c r="D35" s="4" t="s">
        <v>19</v>
      </c>
      <c r="E35" s="4"/>
      <c r="F35" s="20">
        <v>1387100</v>
      </c>
      <c r="G35" s="20"/>
      <c r="H35" s="20"/>
      <c r="I35" s="4"/>
      <c r="J35" s="20"/>
      <c r="K35" s="119">
        <f t="shared" si="0"/>
        <v>1387100</v>
      </c>
    </row>
    <row r="36" spans="1:11">
      <c r="A36" s="8">
        <v>34</v>
      </c>
      <c r="B36" s="1" t="s">
        <v>143</v>
      </c>
      <c r="C36" s="4" t="s">
        <v>144</v>
      </c>
      <c r="D36" s="4" t="s">
        <v>19</v>
      </c>
      <c r="E36" s="4">
        <v>550000</v>
      </c>
      <c r="F36" s="20"/>
      <c r="G36" s="20"/>
      <c r="H36" s="20"/>
      <c r="I36" s="4"/>
      <c r="J36" s="20"/>
      <c r="K36" s="119">
        <f t="shared" si="0"/>
        <v>550000</v>
      </c>
    </row>
    <row r="37" spans="1:11">
      <c r="A37" s="8">
        <v>35</v>
      </c>
      <c r="B37" s="1" t="s">
        <v>151</v>
      </c>
      <c r="C37" s="4" t="s">
        <v>152</v>
      </c>
      <c r="D37" s="4" t="s">
        <v>148</v>
      </c>
      <c r="E37" s="4"/>
      <c r="F37" s="20"/>
      <c r="G37" s="20">
        <v>650100</v>
      </c>
      <c r="H37" s="20"/>
      <c r="I37" s="4"/>
      <c r="J37" s="20"/>
      <c r="K37" s="119">
        <f t="shared" si="0"/>
        <v>650100</v>
      </c>
    </row>
    <row r="38" spans="1:11">
      <c r="A38" s="8">
        <v>36</v>
      </c>
      <c r="B38" s="1" t="s">
        <v>154</v>
      </c>
      <c r="C38" s="4" t="s">
        <v>155</v>
      </c>
      <c r="D38" s="4" t="s">
        <v>148</v>
      </c>
      <c r="E38" s="4"/>
      <c r="F38" s="20"/>
      <c r="G38" s="20">
        <v>1086800</v>
      </c>
      <c r="H38" s="20"/>
      <c r="I38" s="4"/>
      <c r="J38" s="20"/>
      <c r="K38" s="119">
        <f t="shared" si="0"/>
        <v>1086800</v>
      </c>
    </row>
    <row r="39" spans="1:11">
      <c r="A39" s="8">
        <v>37</v>
      </c>
      <c r="B39" s="1" t="s">
        <v>494</v>
      </c>
      <c r="C39" s="5" t="s">
        <v>510</v>
      </c>
      <c r="D39" s="4" t="s">
        <v>493</v>
      </c>
      <c r="E39" s="4"/>
      <c r="F39" s="20">
        <v>1600500</v>
      </c>
      <c r="G39" s="20"/>
      <c r="H39" s="20"/>
      <c r="I39" s="4"/>
      <c r="J39" s="20"/>
      <c r="K39" s="119">
        <f t="shared" si="0"/>
        <v>1600500</v>
      </c>
    </row>
    <row r="40" spans="1:11">
      <c r="A40" s="8">
        <v>38</v>
      </c>
      <c r="B40" s="1" t="s">
        <v>509</v>
      </c>
      <c r="C40" s="5" t="s">
        <v>511</v>
      </c>
      <c r="D40" s="4" t="s">
        <v>493</v>
      </c>
      <c r="E40" s="4"/>
      <c r="F40" s="20">
        <f>195000+432300</f>
        <v>627300</v>
      </c>
      <c r="G40" s="20"/>
      <c r="H40" s="20"/>
      <c r="I40" s="4"/>
      <c r="J40" s="20"/>
      <c r="K40" s="119">
        <f t="shared" si="0"/>
        <v>627300</v>
      </c>
    </row>
    <row r="41" spans="1:11">
      <c r="A41" s="8">
        <v>39</v>
      </c>
      <c r="B41" s="1" t="s">
        <v>3</v>
      </c>
      <c r="C41" s="5" t="s">
        <v>412</v>
      </c>
      <c r="D41" s="4" t="s">
        <v>28</v>
      </c>
      <c r="E41" s="4"/>
      <c r="F41" s="20"/>
      <c r="G41" s="20"/>
      <c r="H41" s="4">
        <v>630000</v>
      </c>
      <c r="I41" s="4"/>
      <c r="J41" s="20"/>
      <c r="K41" s="119">
        <f t="shared" si="0"/>
        <v>630000</v>
      </c>
    </row>
    <row r="42" spans="1:11" ht="31.5">
      <c r="A42" s="8">
        <v>40</v>
      </c>
      <c r="B42" s="1" t="s">
        <v>160</v>
      </c>
      <c r="C42" s="4" t="s">
        <v>161</v>
      </c>
      <c r="D42" s="4" t="s">
        <v>159</v>
      </c>
      <c r="E42" s="4">
        <v>660000</v>
      </c>
      <c r="F42" s="20"/>
      <c r="G42" s="20"/>
      <c r="H42" s="20"/>
      <c r="I42" s="4"/>
      <c r="J42" s="20"/>
      <c r="K42" s="119">
        <f t="shared" si="0"/>
        <v>660000</v>
      </c>
    </row>
    <row r="43" spans="1:11" ht="47.25">
      <c r="A43" s="8">
        <v>41</v>
      </c>
      <c r="B43" s="156" t="s">
        <v>506</v>
      </c>
      <c r="C43" s="156" t="s">
        <v>507</v>
      </c>
      <c r="D43" s="156" t="s">
        <v>159</v>
      </c>
      <c r="E43" s="4"/>
      <c r="F43" s="20"/>
      <c r="G43" s="20"/>
      <c r="H43" s="20"/>
      <c r="I43" s="4">
        <f>180000+240000+120000+180000</f>
        <v>720000</v>
      </c>
      <c r="J43" s="20"/>
      <c r="K43" s="119">
        <f t="shared" si="0"/>
        <v>720000</v>
      </c>
    </row>
    <row r="44" spans="1:11">
      <c r="A44" s="8">
        <v>42</v>
      </c>
      <c r="B44" s="1" t="s">
        <v>166</v>
      </c>
      <c r="C44" s="4" t="s">
        <v>167</v>
      </c>
      <c r="D44" s="4" t="s">
        <v>159</v>
      </c>
      <c r="E44" s="4">
        <v>1210000</v>
      </c>
      <c r="F44" s="20"/>
      <c r="G44" s="20"/>
      <c r="H44" s="20"/>
      <c r="I44" s="4"/>
      <c r="J44" s="20"/>
      <c r="K44" s="119">
        <f t="shared" si="0"/>
        <v>1210000</v>
      </c>
    </row>
    <row r="45" spans="1:11">
      <c r="A45" s="8">
        <v>43</v>
      </c>
      <c r="B45" s="1" t="s">
        <v>168</v>
      </c>
      <c r="C45" s="4" t="s">
        <v>169</v>
      </c>
      <c r="D45" s="4" t="s">
        <v>159</v>
      </c>
      <c r="E45" s="4">
        <v>1043000</v>
      </c>
      <c r="F45" s="20"/>
      <c r="G45" s="20"/>
      <c r="H45" s="20"/>
      <c r="I45" s="4"/>
      <c r="J45" s="20"/>
      <c r="K45" s="119">
        <f t="shared" si="0"/>
        <v>1043000</v>
      </c>
    </row>
    <row r="46" spans="1:11">
      <c r="A46" s="8">
        <v>44</v>
      </c>
      <c r="B46" s="1" t="s">
        <v>170</v>
      </c>
      <c r="C46" s="4" t="s">
        <v>171</v>
      </c>
      <c r="D46" s="4" t="s">
        <v>159</v>
      </c>
      <c r="E46" s="4"/>
      <c r="F46" s="20">
        <v>531200</v>
      </c>
      <c r="G46" s="20"/>
      <c r="H46" s="20"/>
      <c r="I46" s="4"/>
      <c r="J46" s="20"/>
      <c r="K46" s="119">
        <f t="shared" si="0"/>
        <v>531200</v>
      </c>
    </row>
    <row r="47" spans="1:11" ht="31.5">
      <c r="A47" s="8">
        <v>45</v>
      </c>
      <c r="B47" s="1" t="s">
        <v>60</v>
      </c>
      <c r="C47" s="4" t="s">
        <v>33</v>
      </c>
      <c r="D47" s="4" t="s">
        <v>34</v>
      </c>
      <c r="E47" s="4">
        <v>840100</v>
      </c>
      <c r="F47" s="20"/>
      <c r="G47" s="20"/>
      <c r="H47" s="20"/>
      <c r="I47" s="4"/>
      <c r="J47" s="20"/>
      <c r="K47" s="119">
        <f t="shared" si="0"/>
        <v>840100</v>
      </c>
    </row>
    <row r="48" spans="1:11">
      <c r="A48" s="8">
        <v>46</v>
      </c>
      <c r="B48" s="1" t="s">
        <v>178</v>
      </c>
      <c r="C48" s="4" t="s">
        <v>179</v>
      </c>
      <c r="D48" s="4" t="s">
        <v>17</v>
      </c>
      <c r="E48" s="4"/>
      <c r="F48" s="20"/>
      <c r="G48" s="20"/>
      <c r="H48" s="23"/>
      <c r="I48" s="4"/>
      <c r="J48" s="20">
        <f>765000+255000+255000+255000+255000+510000+510000+255000</f>
        <v>3060000</v>
      </c>
      <c r="K48" s="119">
        <f t="shared" si="0"/>
        <v>3060000</v>
      </c>
    </row>
    <row r="49" spans="1:11">
      <c r="A49" s="8">
        <v>47</v>
      </c>
      <c r="B49" s="1" t="s">
        <v>182</v>
      </c>
      <c r="C49" s="4" t="s">
        <v>183</v>
      </c>
      <c r="D49" s="4" t="s">
        <v>17</v>
      </c>
      <c r="E49" s="4"/>
      <c r="F49" s="20">
        <v>1600500</v>
      </c>
      <c r="G49" s="20"/>
      <c r="H49" s="20"/>
      <c r="I49" s="4"/>
      <c r="J49" s="20"/>
      <c r="K49" s="119">
        <f t="shared" si="0"/>
        <v>1600500</v>
      </c>
    </row>
    <row r="50" spans="1:11">
      <c r="A50" s="8">
        <v>48</v>
      </c>
      <c r="B50" s="1" t="s">
        <v>184</v>
      </c>
      <c r="C50" s="4" t="s">
        <v>185</v>
      </c>
      <c r="D50" s="4" t="s">
        <v>17</v>
      </c>
      <c r="E50" s="4">
        <v>684500</v>
      </c>
      <c r="F50" s="20"/>
      <c r="G50" s="20"/>
      <c r="H50" s="20"/>
      <c r="I50" s="4"/>
      <c r="J50" s="20"/>
      <c r="K50" s="119">
        <f t="shared" si="0"/>
        <v>684500</v>
      </c>
    </row>
    <row r="51" spans="1:11">
      <c r="A51" s="8">
        <v>49</v>
      </c>
      <c r="B51" s="1" t="s">
        <v>188</v>
      </c>
      <c r="C51" s="4" t="s">
        <v>413</v>
      </c>
      <c r="D51" s="4" t="s">
        <v>17</v>
      </c>
      <c r="E51" s="4"/>
      <c r="F51" s="20">
        <v>1595650</v>
      </c>
      <c r="G51" s="20"/>
      <c r="H51" s="20"/>
      <c r="I51" s="4">
        <v>150000</v>
      </c>
      <c r="J51" s="20"/>
      <c r="K51" s="119">
        <f t="shared" si="0"/>
        <v>1745650</v>
      </c>
    </row>
    <row r="52" spans="1:11" ht="47.25">
      <c r="A52" s="8">
        <v>50</v>
      </c>
      <c r="B52" s="1" t="s">
        <v>189</v>
      </c>
      <c r="C52" s="4" t="s">
        <v>190</v>
      </c>
      <c r="D52" s="4" t="s">
        <v>17</v>
      </c>
      <c r="E52" s="4"/>
      <c r="F52" s="20">
        <v>1067000</v>
      </c>
      <c r="G52" s="20"/>
      <c r="H52" s="20"/>
      <c r="I52" s="4"/>
      <c r="J52" s="20"/>
      <c r="K52" s="119">
        <f t="shared" si="0"/>
        <v>1067000</v>
      </c>
    </row>
    <row r="53" spans="1:11" ht="31.5">
      <c r="A53" s="8">
        <v>51</v>
      </c>
      <c r="B53" s="1" t="s">
        <v>191</v>
      </c>
      <c r="C53" s="4" t="s">
        <v>185</v>
      </c>
      <c r="D53" s="4" t="s">
        <v>17</v>
      </c>
      <c r="E53" s="4"/>
      <c r="F53" s="20"/>
      <c r="G53" s="20">
        <v>1312800</v>
      </c>
      <c r="H53" s="20"/>
      <c r="I53" s="4"/>
      <c r="J53" s="20"/>
      <c r="K53" s="119">
        <f t="shared" si="0"/>
        <v>1312800</v>
      </c>
    </row>
    <row r="54" spans="1:11">
      <c r="A54" s="8">
        <v>52</v>
      </c>
      <c r="B54" s="1" t="s">
        <v>192</v>
      </c>
      <c r="C54" s="4" t="s">
        <v>193</v>
      </c>
      <c r="D54" s="4" t="s">
        <v>17</v>
      </c>
      <c r="E54" s="4"/>
      <c r="F54" s="20"/>
      <c r="G54" s="20"/>
      <c r="H54" s="20"/>
      <c r="I54" s="4">
        <f>300000+150000+150000+150000+160000+330000+510000</f>
        <v>1750000</v>
      </c>
      <c r="J54" s="20"/>
      <c r="K54" s="119">
        <f t="shared" si="0"/>
        <v>1750000</v>
      </c>
    </row>
    <row r="55" spans="1:11">
      <c r="A55" s="8">
        <v>53</v>
      </c>
      <c r="B55" s="1" t="s">
        <v>195</v>
      </c>
      <c r="C55" s="4" t="s">
        <v>196</v>
      </c>
      <c r="D55" s="4" t="s">
        <v>17</v>
      </c>
      <c r="E55" s="4"/>
      <c r="F55" s="20"/>
      <c r="G55" s="20"/>
      <c r="H55" s="20"/>
      <c r="I55" s="4">
        <f>400000+200000+200000+200000+200000+400000+600000</f>
        <v>2200000</v>
      </c>
      <c r="J55" s="20"/>
      <c r="K55" s="119">
        <f t="shared" si="0"/>
        <v>2200000</v>
      </c>
    </row>
    <row r="56" spans="1:11">
      <c r="A56" s="8">
        <v>54</v>
      </c>
      <c r="B56" s="1" t="s">
        <v>197</v>
      </c>
      <c r="C56" s="4" t="s">
        <v>187</v>
      </c>
      <c r="D56" s="4" t="s">
        <v>17</v>
      </c>
      <c r="E56" s="4"/>
      <c r="F56" s="20"/>
      <c r="G56" s="20"/>
      <c r="H56" s="22"/>
      <c r="I56" s="4"/>
      <c r="J56" s="20">
        <f>765000+255000+246500+246500+255000+510000+510000+255000</f>
        <v>3043000</v>
      </c>
      <c r="K56" s="119">
        <f t="shared" si="0"/>
        <v>3043000</v>
      </c>
    </row>
    <row r="57" spans="1:11">
      <c r="A57" s="8">
        <v>55</v>
      </c>
      <c r="B57" s="1" t="s">
        <v>198</v>
      </c>
      <c r="C57" s="4" t="s">
        <v>193</v>
      </c>
      <c r="D57" s="4" t="s">
        <v>17</v>
      </c>
      <c r="E57" s="4"/>
      <c r="F57" s="20"/>
      <c r="G57" s="20"/>
      <c r="H57" s="20"/>
      <c r="I57" s="4">
        <f>400000+200000+200000+200000+200000+400000+600000</f>
        <v>2200000</v>
      </c>
      <c r="J57" s="20"/>
      <c r="K57" s="119">
        <f t="shared" si="0"/>
        <v>2200000</v>
      </c>
    </row>
    <row r="58" spans="1:11" ht="31.5">
      <c r="A58" s="8">
        <v>56</v>
      </c>
      <c r="B58" s="1" t="s">
        <v>199</v>
      </c>
      <c r="C58" s="4" t="s">
        <v>185</v>
      </c>
      <c r="D58" s="4" t="s">
        <v>17</v>
      </c>
      <c r="E58" s="4"/>
      <c r="F58" s="20">
        <v>1367700</v>
      </c>
      <c r="G58" s="20"/>
      <c r="H58" s="20"/>
      <c r="I58" s="4"/>
      <c r="J58" s="20"/>
      <c r="K58" s="119">
        <f t="shared" si="0"/>
        <v>1367700</v>
      </c>
    </row>
    <row r="59" spans="1:11">
      <c r="A59" s="8">
        <v>57</v>
      </c>
      <c r="B59" s="1" t="s">
        <v>200</v>
      </c>
      <c r="C59" s="4" t="s">
        <v>201</v>
      </c>
      <c r="D59" s="4" t="s">
        <v>17</v>
      </c>
      <c r="E59" s="4"/>
      <c r="F59" s="20"/>
      <c r="G59" s="20">
        <v>1386000</v>
      </c>
      <c r="H59" s="20"/>
      <c r="I59" s="4"/>
      <c r="J59" s="20"/>
      <c r="K59" s="119">
        <f t="shared" si="0"/>
        <v>1386000</v>
      </c>
    </row>
    <row r="60" spans="1:11">
      <c r="A60" s="8">
        <v>58</v>
      </c>
      <c r="B60" s="1" t="s">
        <v>202</v>
      </c>
      <c r="C60" s="4" t="s">
        <v>203</v>
      </c>
      <c r="D60" s="4" t="s">
        <v>17</v>
      </c>
      <c r="E60" s="4"/>
      <c r="F60" s="20"/>
      <c r="G60" s="20">
        <v>1716000</v>
      </c>
      <c r="H60" s="20"/>
      <c r="I60" s="4"/>
      <c r="J60" s="20"/>
      <c r="K60" s="119">
        <f t="shared" si="0"/>
        <v>1716000</v>
      </c>
    </row>
    <row r="61" spans="1:11">
      <c r="A61" s="8">
        <v>59</v>
      </c>
      <c r="B61" s="1" t="s">
        <v>204</v>
      </c>
      <c r="C61" s="4" t="s">
        <v>205</v>
      </c>
      <c r="D61" s="4" t="s">
        <v>17</v>
      </c>
      <c r="E61" s="4"/>
      <c r="F61" s="20"/>
      <c r="G61" s="20">
        <v>454000</v>
      </c>
      <c r="H61" s="20"/>
      <c r="I61" s="4"/>
      <c r="J61" s="20"/>
      <c r="K61" s="119">
        <f t="shared" si="0"/>
        <v>454000</v>
      </c>
    </row>
    <row r="62" spans="1:11">
      <c r="A62" s="8">
        <v>60</v>
      </c>
      <c r="B62" s="1" t="s">
        <v>5</v>
      </c>
      <c r="C62" s="4" t="s">
        <v>36</v>
      </c>
      <c r="D62" s="4" t="s">
        <v>17</v>
      </c>
      <c r="E62" s="4"/>
      <c r="F62" s="20"/>
      <c r="G62" s="20">
        <v>1716000</v>
      </c>
      <c r="H62" s="20"/>
      <c r="I62" s="4"/>
      <c r="J62" s="20"/>
      <c r="K62" s="119">
        <f t="shared" si="0"/>
        <v>1716000</v>
      </c>
    </row>
    <row r="63" spans="1:11" ht="31.5">
      <c r="A63" s="8">
        <v>61</v>
      </c>
      <c r="B63" s="1" t="s">
        <v>206</v>
      </c>
      <c r="C63" s="4" t="s">
        <v>193</v>
      </c>
      <c r="D63" s="4" t="s">
        <v>17</v>
      </c>
      <c r="E63" s="4"/>
      <c r="F63" s="20"/>
      <c r="G63" s="20"/>
      <c r="H63" s="22"/>
      <c r="I63" s="4"/>
      <c r="J63" s="20">
        <f>739500+178500+246500+246500+246500+493000+493000+246500</f>
        <v>2890000</v>
      </c>
      <c r="K63" s="119">
        <f t="shared" si="0"/>
        <v>2890000</v>
      </c>
    </row>
    <row r="64" spans="1:11">
      <c r="A64" s="8">
        <v>62</v>
      </c>
      <c r="B64" s="44" t="s">
        <v>208</v>
      </c>
      <c r="C64" s="45" t="s">
        <v>209</v>
      </c>
      <c r="D64" s="4" t="s">
        <v>17</v>
      </c>
      <c r="E64" s="4"/>
      <c r="F64" s="20"/>
      <c r="G64" s="20"/>
      <c r="H64" s="20"/>
      <c r="I64" s="4">
        <f>400000+200000+200000+200000+200000+400000+590000</f>
        <v>2190000</v>
      </c>
      <c r="J64" s="20"/>
      <c r="K64" s="119">
        <f t="shared" si="0"/>
        <v>2190000</v>
      </c>
    </row>
    <row r="65" spans="1:11" ht="31.5">
      <c r="A65" s="8">
        <v>63</v>
      </c>
      <c r="B65" s="1" t="s">
        <v>210</v>
      </c>
      <c r="C65" s="4" t="s">
        <v>211</v>
      </c>
      <c r="D65" s="4" t="s">
        <v>17</v>
      </c>
      <c r="E65" s="4"/>
      <c r="F65" s="20"/>
      <c r="G65" s="20">
        <v>1716000</v>
      </c>
      <c r="H65" s="20"/>
      <c r="I65" s="4"/>
      <c r="J65" s="20"/>
      <c r="K65" s="119">
        <f t="shared" si="0"/>
        <v>1716000</v>
      </c>
    </row>
    <row r="66" spans="1:11" ht="31.5">
      <c r="A66" s="8">
        <v>64</v>
      </c>
      <c r="B66" s="1" t="s">
        <v>212</v>
      </c>
      <c r="C66" s="4" t="s">
        <v>213</v>
      </c>
      <c r="D66" s="4" t="s">
        <v>17</v>
      </c>
      <c r="E66" s="4"/>
      <c r="F66" s="20"/>
      <c r="G66" s="20">
        <v>499200</v>
      </c>
      <c r="H66" s="20"/>
      <c r="I66" s="4"/>
      <c r="J66" s="20"/>
      <c r="K66" s="119">
        <f t="shared" si="0"/>
        <v>499200</v>
      </c>
    </row>
    <row r="67" spans="1:11" ht="31.5">
      <c r="A67" s="8">
        <v>65</v>
      </c>
      <c r="B67" s="1" t="s">
        <v>214</v>
      </c>
      <c r="C67" s="4" t="s">
        <v>187</v>
      </c>
      <c r="D67" s="4" t="s">
        <v>17</v>
      </c>
      <c r="E67" s="4"/>
      <c r="F67" s="20">
        <v>1348300</v>
      </c>
      <c r="G67" s="20"/>
      <c r="H67" s="23"/>
      <c r="I67" s="4"/>
      <c r="J67" s="20"/>
      <c r="K67" s="119">
        <f t="shared" si="0"/>
        <v>1348300</v>
      </c>
    </row>
    <row r="68" spans="1:11">
      <c r="A68" s="8">
        <v>66</v>
      </c>
      <c r="B68" s="1" t="s">
        <v>215</v>
      </c>
      <c r="C68" s="4" t="s">
        <v>209</v>
      </c>
      <c r="D68" s="4" t="s">
        <v>17</v>
      </c>
      <c r="E68" s="4"/>
      <c r="F68" s="20"/>
      <c r="G68" s="20"/>
      <c r="H68" s="4">
        <f>525000+105000+210000+315000+294000</f>
        <v>1449000</v>
      </c>
      <c r="I68" s="4"/>
      <c r="J68" s="20"/>
      <c r="K68" s="119">
        <f t="shared" ref="K68:K131" si="1">SUM(E68:J68)</f>
        <v>1449000</v>
      </c>
    </row>
    <row r="69" spans="1:11" ht="47.25">
      <c r="A69" s="8">
        <v>67</v>
      </c>
      <c r="B69" s="1" t="s">
        <v>217</v>
      </c>
      <c r="C69" s="4" t="s">
        <v>211</v>
      </c>
      <c r="D69" s="4" t="s">
        <v>17</v>
      </c>
      <c r="E69" s="4">
        <v>737000</v>
      </c>
      <c r="F69" s="20"/>
      <c r="G69" s="20"/>
      <c r="H69" s="20"/>
      <c r="I69" s="4"/>
      <c r="J69" s="20"/>
      <c r="K69" s="119">
        <f t="shared" si="1"/>
        <v>737000</v>
      </c>
    </row>
    <row r="70" spans="1:11">
      <c r="A70" s="8">
        <v>68</v>
      </c>
      <c r="B70" s="1" t="s">
        <v>221</v>
      </c>
      <c r="C70" s="4" t="s">
        <v>222</v>
      </c>
      <c r="D70" s="4" t="s">
        <v>17</v>
      </c>
      <c r="E70" s="4"/>
      <c r="F70" s="20"/>
      <c r="G70" s="20">
        <v>1560000</v>
      </c>
      <c r="H70" s="20"/>
      <c r="I70" s="4"/>
      <c r="J70" s="20"/>
      <c r="K70" s="119">
        <f t="shared" si="1"/>
        <v>1560000</v>
      </c>
    </row>
    <row r="71" spans="1:11" ht="47.25">
      <c r="A71" s="8">
        <v>69</v>
      </c>
      <c r="B71" s="1" t="s">
        <v>229</v>
      </c>
      <c r="C71" s="4" t="s">
        <v>230</v>
      </c>
      <c r="D71" s="4" t="s">
        <v>226</v>
      </c>
      <c r="E71" s="4"/>
      <c r="F71" s="20"/>
      <c r="G71" s="20"/>
      <c r="H71" s="20"/>
      <c r="I71" s="4">
        <f>180000+90000+90000+270000</f>
        <v>630000</v>
      </c>
      <c r="J71" s="20"/>
      <c r="K71" s="119">
        <f t="shared" si="1"/>
        <v>630000</v>
      </c>
    </row>
    <row r="72" spans="1:11" ht="31.5">
      <c r="A72" s="8">
        <v>70</v>
      </c>
      <c r="B72" s="1" t="s">
        <v>231</v>
      </c>
      <c r="C72" s="5" t="s">
        <v>414</v>
      </c>
      <c r="D72" s="4" t="s">
        <v>226</v>
      </c>
      <c r="E72" s="4"/>
      <c r="F72" s="20">
        <v>727500</v>
      </c>
      <c r="G72" s="20"/>
      <c r="H72" s="20"/>
      <c r="I72" s="4"/>
      <c r="J72" s="20"/>
      <c r="K72" s="119">
        <f t="shared" si="1"/>
        <v>727500</v>
      </c>
    </row>
    <row r="73" spans="1:11">
      <c r="A73" s="8">
        <v>71</v>
      </c>
      <c r="B73" s="1" t="s">
        <v>470</v>
      </c>
      <c r="C73" s="4" t="s">
        <v>239</v>
      </c>
      <c r="D73" s="4" t="s">
        <v>235</v>
      </c>
      <c r="E73" s="4">
        <v>915500</v>
      </c>
      <c r="F73" s="20"/>
      <c r="G73" s="20"/>
      <c r="H73" s="20"/>
      <c r="I73" s="4"/>
      <c r="J73" s="20"/>
      <c r="K73" s="119">
        <f t="shared" si="1"/>
        <v>915500</v>
      </c>
    </row>
    <row r="74" spans="1:11" ht="31.5">
      <c r="A74" s="8">
        <v>72</v>
      </c>
      <c r="B74" s="40" t="s">
        <v>459</v>
      </c>
      <c r="C74" s="40" t="s">
        <v>460</v>
      </c>
      <c r="D74" s="40" t="s">
        <v>235</v>
      </c>
      <c r="E74" s="4">
        <v>1193500</v>
      </c>
      <c r="F74" s="20"/>
      <c r="G74" s="20"/>
      <c r="H74" s="20"/>
      <c r="I74" s="4"/>
      <c r="J74" s="20"/>
      <c r="K74" s="119">
        <f t="shared" si="1"/>
        <v>1193500</v>
      </c>
    </row>
    <row r="75" spans="1:11">
      <c r="A75" s="8">
        <v>73</v>
      </c>
      <c r="B75" s="101" t="s">
        <v>444</v>
      </c>
      <c r="C75" s="101" t="s">
        <v>445</v>
      </c>
      <c r="D75" s="101" t="s">
        <v>442</v>
      </c>
      <c r="E75" s="4">
        <v>1574000</v>
      </c>
      <c r="F75" s="20"/>
      <c r="G75" s="20"/>
      <c r="H75" s="20"/>
      <c r="I75" s="4"/>
      <c r="J75" s="21"/>
      <c r="K75" s="119">
        <f t="shared" si="1"/>
        <v>1574000</v>
      </c>
    </row>
    <row r="76" spans="1:11">
      <c r="A76" s="8">
        <v>74</v>
      </c>
      <c r="B76" s="1" t="s">
        <v>245</v>
      </c>
      <c r="C76" s="4" t="s">
        <v>246</v>
      </c>
      <c r="D76" s="4" t="s">
        <v>61</v>
      </c>
      <c r="E76" s="4"/>
      <c r="F76" s="20"/>
      <c r="G76" s="20"/>
      <c r="H76" s="22"/>
      <c r="I76" s="4"/>
      <c r="J76" s="20">
        <f>765000+510000+255000+255000+510000+510000+255000</f>
        <v>3060000</v>
      </c>
      <c r="K76" s="119">
        <f t="shared" si="1"/>
        <v>3060000</v>
      </c>
    </row>
    <row r="77" spans="1:11">
      <c r="A77" s="8">
        <v>75</v>
      </c>
      <c r="B77" s="1" t="s">
        <v>247</v>
      </c>
      <c r="C77" s="5" t="s">
        <v>262</v>
      </c>
      <c r="D77" s="4" t="s">
        <v>61</v>
      </c>
      <c r="E77" s="4"/>
      <c r="F77" s="20">
        <v>1746000</v>
      </c>
      <c r="G77" s="20"/>
      <c r="H77" s="20"/>
      <c r="I77" s="4"/>
      <c r="J77" s="20"/>
      <c r="K77" s="119">
        <f t="shared" si="1"/>
        <v>1746000</v>
      </c>
    </row>
    <row r="78" spans="1:11" ht="31.5">
      <c r="A78" s="8">
        <v>76</v>
      </c>
      <c r="B78" s="1" t="s">
        <v>248</v>
      </c>
      <c r="C78" s="46" t="s">
        <v>249</v>
      </c>
      <c r="D78" s="4" t="s">
        <v>61</v>
      </c>
      <c r="E78" s="4"/>
      <c r="F78" s="20"/>
      <c r="G78" s="20"/>
      <c r="H78" s="22"/>
      <c r="I78" s="4"/>
      <c r="J78" s="20">
        <f>765000+255000+255000+510000+510000+510000+255000</f>
        <v>3060000</v>
      </c>
      <c r="K78" s="119">
        <f t="shared" si="1"/>
        <v>3060000</v>
      </c>
    </row>
    <row r="79" spans="1:11" ht="31.5">
      <c r="A79" s="8">
        <v>77</v>
      </c>
      <c r="B79" s="1" t="s">
        <v>250</v>
      </c>
      <c r="C79" s="4" t="s">
        <v>251</v>
      </c>
      <c r="D79" s="4" t="s">
        <v>61</v>
      </c>
      <c r="E79" s="4"/>
      <c r="F79" s="20"/>
      <c r="G79" s="20"/>
      <c r="H79" s="20"/>
      <c r="I79" s="4">
        <f>360000+110000+110000+130000+130000+310000+380000</f>
        <v>1530000</v>
      </c>
      <c r="J79" s="20"/>
      <c r="K79" s="119">
        <f t="shared" si="1"/>
        <v>1530000</v>
      </c>
    </row>
    <row r="80" spans="1:11">
      <c r="A80" s="8">
        <v>78</v>
      </c>
      <c r="B80" s="1" t="s">
        <v>254</v>
      </c>
      <c r="C80" s="41" t="s">
        <v>255</v>
      </c>
      <c r="D80" s="4" t="s">
        <v>61</v>
      </c>
      <c r="E80" s="4"/>
      <c r="F80" s="20"/>
      <c r="G80" s="20"/>
      <c r="H80" s="22"/>
      <c r="I80" s="4"/>
      <c r="J80" s="20">
        <f>765000+510000+255000+255000+510000+255000+510000</f>
        <v>3060000</v>
      </c>
      <c r="K80" s="119">
        <f t="shared" si="1"/>
        <v>3060000</v>
      </c>
    </row>
    <row r="81" spans="1:11" ht="31.5">
      <c r="A81" s="8">
        <v>79</v>
      </c>
      <c r="B81" s="1" t="s">
        <v>259</v>
      </c>
      <c r="C81" s="4" t="s">
        <v>260</v>
      </c>
      <c r="D81" s="4" t="s">
        <v>61</v>
      </c>
      <c r="E81" s="4"/>
      <c r="F81" s="20"/>
      <c r="G81" s="20">
        <v>1716000</v>
      </c>
      <c r="H81" s="20"/>
      <c r="I81" s="4"/>
      <c r="J81" s="20"/>
      <c r="K81" s="119">
        <f t="shared" si="1"/>
        <v>1716000</v>
      </c>
    </row>
    <row r="82" spans="1:11">
      <c r="A82" s="8">
        <v>80</v>
      </c>
      <c r="B82" s="42" t="s">
        <v>261</v>
      </c>
      <c r="C82" s="43" t="s">
        <v>262</v>
      </c>
      <c r="D82" s="4" t="s">
        <v>61</v>
      </c>
      <c r="E82" s="4"/>
      <c r="F82" s="20"/>
      <c r="G82" s="20"/>
      <c r="H82" s="4">
        <f>630000+210000+210000+210000+210000+420000+630000</f>
        <v>2520000</v>
      </c>
      <c r="I82" s="4"/>
      <c r="J82" s="20"/>
      <c r="K82" s="119">
        <f t="shared" si="1"/>
        <v>2520000</v>
      </c>
    </row>
    <row r="83" spans="1:11">
      <c r="A83" s="8">
        <v>81</v>
      </c>
      <c r="B83" s="44" t="s">
        <v>263</v>
      </c>
      <c r="C83" s="45" t="s">
        <v>264</v>
      </c>
      <c r="D83" s="4" t="s">
        <v>61</v>
      </c>
      <c r="E83" s="4"/>
      <c r="F83" s="20"/>
      <c r="G83" s="20"/>
      <c r="H83" s="20"/>
      <c r="I83" s="4">
        <f>400000+200000+200000+200000+200000+390000+580000</f>
        <v>2170000</v>
      </c>
      <c r="J83" s="20"/>
      <c r="K83" s="119">
        <f t="shared" si="1"/>
        <v>2170000</v>
      </c>
    </row>
    <row r="84" spans="1:11">
      <c r="A84" s="8">
        <v>82</v>
      </c>
      <c r="B84" s="40" t="s">
        <v>265</v>
      </c>
      <c r="C84" s="47" t="s">
        <v>266</v>
      </c>
      <c r="D84" s="4" t="s">
        <v>61</v>
      </c>
      <c r="E84" s="4"/>
      <c r="F84" s="20"/>
      <c r="G84" s="20"/>
      <c r="H84" s="20"/>
      <c r="I84" s="4">
        <f>400000+200000+200000+200000+200000+400000+600000</f>
        <v>2200000</v>
      </c>
      <c r="J84" s="20"/>
      <c r="K84" s="119">
        <f t="shared" si="1"/>
        <v>2200000</v>
      </c>
    </row>
    <row r="85" spans="1:11">
      <c r="A85" s="8">
        <v>83</v>
      </c>
      <c r="B85" s="1" t="s">
        <v>1</v>
      </c>
      <c r="C85" s="5" t="s">
        <v>415</v>
      </c>
      <c r="D85" s="4" t="s">
        <v>38</v>
      </c>
      <c r="E85" s="4"/>
      <c r="F85" s="20">
        <v>543200</v>
      </c>
      <c r="G85" s="20"/>
      <c r="H85" s="20"/>
      <c r="I85" s="4"/>
      <c r="J85" s="20"/>
      <c r="K85" s="119">
        <f t="shared" si="1"/>
        <v>543200</v>
      </c>
    </row>
    <row r="86" spans="1:11">
      <c r="A86" s="8">
        <v>84</v>
      </c>
      <c r="B86" s="1" t="s">
        <v>6</v>
      </c>
      <c r="C86" s="4" t="s">
        <v>37</v>
      </c>
      <c r="D86" s="4" t="s">
        <v>38</v>
      </c>
      <c r="E86" s="4"/>
      <c r="F86" s="20"/>
      <c r="G86" s="20">
        <v>1248000</v>
      </c>
      <c r="H86" s="20"/>
      <c r="I86" s="4"/>
      <c r="J86" s="20"/>
      <c r="K86" s="119">
        <f t="shared" si="1"/>
        <v>1248000</v>
      </c>
    </row>
    <row r="87" spans="1:11" ht="31.5">
      <c r="A87" s="8">
        <v>85</v>
      </c>
      <c r="B87" s="44" t="s">
        <v>272</v>
      </c>
      <c r="C87" s="45" t="s">
        <v>271</v>
      </c>
      <c r="D87" s="45" t="s">
        <v>273</v>
      </c>
      <c r="E87" s="4"/>
      <c r="F87" s="20"/>
      <c r="G87" s="20"/>
      <c r="H87" s="20"/>
      <c r="I87" s="4">
        <f>380000+190000+190000+190000+190000+380000+570000</f>
        <v>2090000</v>
      </c>
      <c r="J87" s="20"/>
      <c r="K87" s="119">
        <f t="shared" si="1"/>
        <v>2090000</v>
      </c>
    </row>
    <row r="88" spans="1:11">
      <c r="A88" s="8">
        <v>86</v>
      </c>
      <c r="B88" s="1" t="s">
        <v>276</v>
      </c>
      <c r="C88" s="4" t="s">
        <v>277</v>
      </c>
      <c r="D88" s="4" t="s">
        <v>275</v>
      </c>
      <c r="E88" s="4"/>
      <c r="F88" s="20">
        <v>270000</v>
      </c>
      <c r="G88" s="20"/>
      <c r="H88" s="32">
        <v>660000</v>
      </c>
      <c r="I88" s="4"/>
      <c r="J88" s="20"/>
      <c r="K88" s="119">
        <f t="shared" si="1"/>
        <v>930000</v>
      </c>
    </row>
    <row r="89" spans="1:11" ht="31.5">
      <c r="A89" s="8">
        <v>87</v>
      </c>
      <c r="B89" s="40" t="s">
        <v>278</v>
      </c>
      <c r="C89" s="41" t="s">
        <v>279</v>
      </c>
      <c r="D89" s="4" t="s">
        <v>275</v>
      </c>
      <c r="E89" s="4"/>
      <c r="F89" s="20"/>
      <c r="G89" s="20"/>
      <c r="H89" s="20"/>
      <c r="I89" s="4">
        <f>110000+110000+220000+110000+110000+550000</f>
        <v>1210000</v>
      </c>
      <c r="J89" s="20"/>
      <c r="K89" s="119">
        <f t="shared" si="1"/>
        <v>1210000</v>
      </c>
    </row>
    <row r="90" spans="1:11" ht="31.5">
      <c r="A90" s="8">
        <v>88</v>
      </c>
      <c r="B90" s="1" t="s">
        <v>283</v>
      </c>
      <c r="C90" s="4" t="s">
        <v>284</v>
      </c>
      <c r="D90" s="4" t="s">
        <v>275</v>
      </c>
      <c r="E90" s="4">
        <v>556000</v>
      </c>
      <c r="F90" s="20"/>
      <c r="G90" s="20"/>
      <c r="H90" s="20"/>
      <c r="I90" s="4"/>
      <c r="J90" s="20"/>
      <c r="K90" s="119">
        <f t="shared" si="1"/>
        <v>556000</v>
      </c>
    </row>
    <row r="91" spans="1:11" ht="31.5">
      <c r="A91" s="8">
        <v>89</v>
      </c>
      <c r="B91" s="1" t="s">
        <v>288</v>
      </c>
      <c r="C91" s="4" t="s">
        <v>289</v>
      </c>
      <c r="D91" s="4" t="s">
        <v>21</v>
      </c>
      <c r="E91" s="4">
        <v>979000</v>
      </c>
      <c r="F91" s="20"/>
      <c r="G91" s="20"/>
      <c r="H91" s="20"/>
      <c r="I91" s="4"/>
      <c r="J91" s="20"/>
      <c r="K91" s="119">
        <f t="shared" si="1"/>
        <v>979000</v>
      </c>
    </row>
    <row r="92" spans="1:11" ht="31.5">
      <c r="A92" s="8">
        <v>90</v>
      </c>
      <c r="B92" s="1" t="s">
        <v>290</v>
      </c>
      <c r="C92" s="91" t="s">
        <v>417</v>
      </c>
      <c r="D92" s="4" t="s">
        <v>21</v>
      </c>
      <c r="E92" s="4"/>
      <c r="F92" s="20">
        <v>1399050</v>
      </c>
      <c r="G92" s="20"/>
      <c r="H92" s="20"/>
      <c r="I92" s="4"/>
      <c r="J92" s="20"/>
      <c r="K92" s="119">
        <f t="shared" si="1"/>
        <v>1399050</v>
      </c>
    </row>
    <row r="93" spans="1:11" ht="47.25">
      <c r="A93" s="8">
        <v>91</v>
      </c>
      <c r="B93" s="42" t="s">
        <v>291</v>
      </c>
      <c r="C93" s="43" t="s">
        <v>292</v>
      </c>
      <c r="D93" s="4" t="s">
        <v>21</v>
      </c>
      <c r="E93" s="4"/>
      <c r="F93" s="20"/>
      <c r="G93" s="20"/>
      <c r="H93" s="4">
        <f>819000+406000+203000+203000+203000+609000</f>
        <v>2443000</v>
      </c>
      <c r="I93" s="4"/>
      <c r="J93" s="20"/>
      <c r="K93" s="119">
        <f t="shared" si="1"/>
        <v>2443000</v>
      </c>
    </row>
    <row r="94" spans="1:11" ht="31.5">
      <c r="A94" s="8">
        <v>92</v>
      </c>
      <c r="B94" s="1" t="s">
        <v>294</v>
      </c>
      <c r="C94" s="91" t="s">
        <v>419</v>
      </c>
      <c r="D94" s="4" t="s">
        <v>21</v>
      </c>
      <c r="E94" s="4"/>
      <c r="F94" s="20">
        <v>1600500</v>
      </c>
      <c r="G94" s="20"/>
      <c r="H94" s="20"/>
      <c r="I94" s="4"/>
      <c r="J94" s="20"/>
      <c r="K94" s="119">
        <f t="shared" si="1"/>
        <v>1600500</v>
      </c>
    </row>
    <row r="95" spans="1:11" ht="31.5">
      <c r="A95" s="8">
        <v>93</v>
      </c>
      <c r="B95" s="40" t="s">
        <v>295</v>
      </c>
      <c r="C95" s="41" t="s">
        <v>296</v>
      </c>
      <c r="D95" s="4" t="s">
        <v>21</v>
      </c>
      <c r="E95" s="4"/>
      <c r="F95" s="20"/>
      <c r="G95" s="20"/>
      <c r="H95" s="32"/>
      <c r="I95" s="4"/>
      <c r="J95" s="20">
        <f>765000+510000+255000+1003000+493000+246500</f>
        <v>3272500</v>
      </c>
      <c r="K95" s="119">
        <f t="shared" si="1"/>
        <v>3272500</v>
      </c>
    </row>
    <row r="96" spans="1:11" ht="31.5">
      <c r="A96" s="8">
        <v>94</v>
      </c>
      <c r="B96" s="42" t="s">
        <v>298</v>
      </c>
      <c r="C96" s="43" t="s">
        <v>299</v>
      </c>
      <c r="D96" s="4" t="s">
        <v>21</v>
      </c>
      <c r="E96" s="4"/>
      <c r="F96" s="20"/>
      <c r="G96" s="20"/>
      <c r="H96" s="4">
        <f>462000+161000+161000+161000+175000+350000+546000</f>
        <v>2016000</v>
      </c>
      <c r="I96" s="4"/>
      <c r="J96" s="20"/>
      <c r="K96" s="119">
        <f t="shared" si="1"/>
        <v>2016000</v>
      </c>
    </row>
    <row r="97" spans="1:11" ht="47.25">
      <c r="A97" s="8">
        <v>95</v>
      </c>
      <c r="B97" s="40" t="s">
        <v>490</v>
      </c>
      <c r="C97" s="41" t="s">
        <v>491</v>
      </c>
      <c r="D97" s="4" t="s">
        <v>32</v>
      </c>
      <c r="E97" s="4"/>
      <c r="F97" s="20">
        <v>1240150</v>
      </c>
      <c r="G97" s="20"/>
      <c r="H97" s="20"/>
      <c r="I97" s="4"/>
      <c r="J97" s="20"/>
      <c r="K97" s="119">
        <f t="shared" si="1"/>
        <v>1240150</v>
      </c>
    </row>
    <row r="98" spans="1:11" ht="31.5">
      <c r="A98" s="8">
        <v>96</v>
      </c>
      <c r="B98" s="40" t="s">
        <v>303</v>
      </c>
      <c r="C98" s="41" t="s">
        <v>304</v>
      </c>
      <c r="D98" s="4" t="s">
        <v>32</v>
      </c>
      <c r="E98" s="4"/>
      <c r="F98" s="20">
        <v>1142050</v>
      </c>
      <c r="G98" s="20"/>
      <c r="H98" s="20"/>
      <c r="I98" s="4"/>
      <c r="J98" s="20"/>
      <c r="K98" s="119">
        <f t="shared" si="1"/>
        <v>1142050</v>
      </c>
    </row>
    <row r="99" spans="1:11">
      <c r="A99" s="8">
        <v>97</v>
      </c>
      <c r="B99" s="40" t="s">
        <v>306</v>
      </c>
      <c r="C99" s="41" t="s">
        <v>304</v>
      </c>
      <c r="D99" s="4" t="s">
        <v>32</v>
      </c>
      <c r="E99" s="4"/>
      <c r="F99" s="20"/>
      <c r="G99" s="20"/>
      <c r="H99" s="20"/>
      <c r="I99" s="4">
        <f>400000+200000+200000+200000+200000+400000+600000</f>
        <v>2200000</v>
      </c>
      <c r="J99" s="20"/>
      <c r="K99" s="119">
        <f t="shared" si="1"/>
        <v>2200000</v>
      </c>
    </row>
    <row r="100" spans="1:11">
      <c r="A100" s="8">
        <v>98</v>
      </c>
      <c r="B100" s="1" t="s">
        <v>308</v>
      </c>
      <c r="C100" s="46" t="s">
        <v>309</v>
      </c>
      <c r="D100" s="4" t="s">
        <v>24</v>
      </c>
      <c r="E100" s="4"/>
      <c r="F100" s="20">
        <v>805100</v>
      </c>
      <c r="G100" s="20"/>
      <c r="H100" s="20"/>
      <c r="I100" s="4"/>
      <c r="J100" s="20"/>
      <c r="K100" s="119">
        <f t="shared" si="1"/>
        <v>805100</v>
      </c>
    </row>
    <row r="101" spans="1:11">
      <c r="A101" s="8">
        <v>99</v>
      </c>
      <c r="B101" s="1" t="s">
        <v>310</v>
      </c>
      <c r="C101" s="4" t="s">
        <v>448</v>
      </c>
      <c r="D101" s="4" t="s">
        <v>24</v>
      </c>
      <c r="E101" s="4"/>
      <c r="F101" s="20"/>
      <c r="G101" s="20">
        <v>2028000</v>
      </c>
      <c r="H101" s="20"/>
      <c r="I101" s="4"/>
      <c r="J101" s="20"/>
      <c r="K101" s="119">
        <f t="shared" si="1"/>
        <v>2028000</v>
      </c>
    </row>
    <row r="102" spans="1:11">
      <c r="A102" s="8">
        <v>100</v>
      </c>
      <c r="B102" s="1" t="s">
        <v>314</v>
      </c>
      <c r="C102" s="4" t="s">
        <v>26</v>
      </c>
      <c r="D102" s="4" t="s">
        <v>24</v>
      </c>
      <c r="E102" s="4"/>
      <c r="F102" s="20"/>
      <c r="G102" s="20">
        <v>1713000</v>
      </c>
      <c r="H102" s="20"/>
      <c r="I102" s="4"/>
      <c r="J102" s="20"/>
      <c r="K102" s="119">
        <f t="shared" si="1"/>
        <v>1713000</v>
      </c>
    </row>
    <row r="103" spans="1:11">
      <c r="A103" s="8">
        <v>101</v>
      </c>
      <c r="B103" s="1" t="s">
        <v>315</v>
      </c>
      <c r="C103" s="4" t="s">
        <v>316</v>
      </c>
      <c r="D103" s="4" t="s">
        <v>24</v>
      </c>
      <c r="E103" s="4"/>
      <c r="F103" s="20"/>
      <c r="G103" s="20">
        <v>1055600</v>
      </c>
      <c r="H103" s="20"/>
      <c r="I103" s="4"/>
      <c r="J103" s="20"/>
      <c r="K103" s="119">
        <f t="shared" si="1"/>
        <v>1055600</v>
      </c>
    </row>
    <row r="104" spans="1:11" ht="47.25">
      <c r="A104" s="8">
        <v>102</v>
      </c>
      <c r="B104" s="44" t="s">
        <v>317</v>
      </c>
      <c r="C104" s="45" t="s">
        <v>318</v>
      </c>
      <c r="D104" s="4" t="s">
        <v>24</v>
      </c>
      <c r="E104" s="4"/>
      <c r="F104" s="20"/>
      <c r="G104" s="20"/>
      <c r="H104" s="20"/>
      <c r="I104" s="4">
        <f>570000+190000+200000+200000+200000+400000+600000</f>
        <v>2360000</v>
      </c>
      <c r="J104" s="20"/>
      <c r="K104" s="119">
        <f t="shared" si="1"/>
        <v>2360000</v>
      </c>
    </row>
    <row r="105" spans="1:11">
      <c r="A105" s="8">
        <v>103</v>
      </c>
      <c r="B105" s="1" t="s">
        <v>319</v>
      </c>
      <c r="C105" s="4" t="s">
        <v>320</v>
      </c>
      <c r="D105" s="4" t="s">
        <v>24</v>
      </c>
      <c r="E105" s="4"/>
      <c r="F105" s="20"/>
      <c r="G105" s="20">
        <v>1716000</v>
      </c>
      <c r="H105" s="20"/>
      <c r="I105" s="4"/>
      <c r="J105" s="20"/>
      <c r="K105" s="119">
        <f t="shared" si="1"/>
        <v>1716000</v>
      </c>
    </row>
    <row r="106" spans="1:11">
      <c r="A106" s="8">
        <v>104</v>
      </c>
      <c r="B106" s="1" t="s">
        <v>321</v>
      </c>
      <c r="C106" s="4" t="s">
        <v>313</v>
      </c>
      <c r="D106" s="4" t="s">
        <v>24</v>
      </c>
      <c r="E106" s="4"/>
      <c r="F106" s="20"/>
      <c r="G106" s="20">
        <v>1716000</v>
      </c>
      <c r="H106" s="20"/>
      <c r="I106" s="4"/>
      <c r="J106" s="20"/>
      <c r="K106" s="119">
        <f t="shared" si="1"/>
        <v>1716000</v>
      </c>
    </row>
    <row r="107" spans="1:11" ht="47.25">
      <c r="A107" s="8">
        <v>105</v>
      </c>
      <c r="B107" s="1" t="s">
        <v>322</v>
      </c>
      <c r="C107" s="4" t="s">
        <v>323</v>
      </c>
      <c r="D107" s="4" t="s">
        <v>24</v>
      </c>
      <c r="E107" s="4"/>
      <c r="F107" s="20"/>
      <c r="G107" s="20"/>
      <c r="H107" s="4">
        <f>630000+210000+210000+210000+210000+420000+630000</f>
        <v>2520000</v>
      </c>
      <c r="I107" s="4"/>
      <c r="J107" s="20"/>
      <c r="K107" s="119">
        <f t="shared" si="1"/>
        <v>2520000</v>
      </c>
    </row>
    <row r="108" spans="1:11">
      <c r="A108" s="8">
        <v>106</v>
      </c>
      <c r="B108" s="1" t="s">
        <v>325</v>
      </c>
      <c r="C108" s="46" t="s">
        <v>326</v>
      </c>
      <c r="D108" s="4" t="s">
        <v>24</v>
      </c>
      <c r="E108" s="4"/>
      <c r="F108" s="20"/>
      <c r="G108" s="20"/>
      <c r="H108" s="4">
        <f>420000+280000+140000+140000+280000+406000</f>
        <v>1666000</v>
      </c>
      <c r="I108" s="4"/>
      <c r="J108" s="20"/>
      <c r="K108" s="119">
        <f t="shared" si="1"/>
        <v>1666000</v>
      </c>
    </row>
    <row r="109" spans="1:11">
      <c r="A109" s="8">
        <v>107</v>
      </c>
      <c r="B109" s="1" t="s">
        <v>327</v>
      </c>
      <c r="C109" s="4" t="s">
        <v>313</v>
      </c>
      <c r="D109" s="4" t="s">
        <v>24</v>
      </c>
      <c r="E109" s="4"/>
      <c r="F109" s="20"/>
      <c r="G109" s="20">
        <v>1716000</v>
      </c>
      <c r="H109" s="20"/>
      <c r="I109" s="4"/>
      <c r="J109" s="20"/>
      <c r="K109" s="119">
        <f t="shared" si="1"/>
        <v>1716000</v>
      </c>
    </row>
    <row r="110" spans="1:11">
      <c r="A110" s="8">
        <v>108</v>
      </c>
      <c r="B110" s="1" t="s">
        <v>329</v>
      </c>
      <c r="C110" s="4" t="s">
        <v>330</v>
      </c>
      <c r="D110" s="4" t="s">
        <v>24</v>
      </c>
      <c r="E110" s="4"/>
      <c r="F110" s="20"/>
      <c r="G110" s="20"/>
      <c r="H110" s="32"/>
      <c r="I110" s="4"/>
      <c r="J110" s="20">
        <f>765000+255000+255000+255000+255000+510000+510000+255000</f>
        <v>3060000</v>
      </c>
      <c r="K110" s="119">
        <f t="shared" si="1"/>
        <v>3060000</v>
      </c>
    </row>
    <row r="111" spans="1:11" ht="31.5">
      <c r="A111" s="8">
        <v>109</v>
      </c>
      <c r="B111" s="1" t="s">
        <v>331</v>
      </c>
      <c r="C111" s="5" t="s">
        <v>421</v>
      </c>
      <c r="D111" s="4" t="s">
        <v>24</v>
      </c>
      <c r="E111" s="4"/>
      <c r="F111" s="20">
        <v>1585950</v>
      </c>
      <c r="G111" s="20"/>
      <c r="H111" s="20"/>
      <c r="I111" s="4"/>
      <c r="J111" s="20"/>
      <c r="K111" s="119">
        <f t="shared" si="1"/>
        <v>1585950</v>
      </c>
    </row>
    <row r="112" spans="1:11">
      <c r="A112" s="8">
        <v>110</v>
      </c>
      <c r="B112" s="1" t="s">
        <v>336</v>
      </c>
      <c r="C112" s="4" t="s">
        <v>26</v>
      </c>
      <c r="D112" s="4" t="s">
        <v>24</v>
      </c>
      <c r="E112" s="4"/>
      <c r="F112" s="20"/>
      <c r="G112" s="20">
        <v>1624000</v>
      </c>
      <c r="H112" s="20"/>
      <c r="I112" s="4"/>
      <c r="J112" s="20"/>
      <c r="K112" s="119">
        <f t="shared" si="1"/>
        <v>1624000</v>
      </c>
    </row>
    <row r="113" spans="1:11" ht="31.5">
      <c r="A113" s="8">
        <v>111</v>
      </c>
      <c r="B113" s="1" t="s">
        <v>471</v>
      </c>
      <c r="C113" s="4" t="s">
        <v>26</v>
      </c>
      <c r="D113" s="4" t="s">
        <v>24</v>
      </c>
      <c r="E113" s="4"/>
      <c r="F113" s="20"/>
      <c r="G113" s="20">
        <v>1775600</v>
      </c>
      <c r="H113" s="20"/>
      <c r="I113" s="4"/>
      <c r="J113" s="20"/>
      <c r="K113" s="119">
        <f t="shared" si="1"/>
        <v>1775600</v>
      </c>
    </row>
    <row r="114" spans="1:11">
      <c r="A114" s="8">
        <v>112</v>
      </c>
      <c r="B114" s="1" t="s">
        <v>339</v>
      </c>
      <c r="C114" s="4" t="s">
        <v>335</v>
      </c>
      <c r="D114" s="4" t="s">
        <v>24</v>
      </c>
      <c r="E114" s="4">
        <v>1210000</v>
      </c>
      <c r="F114" s="20"/>
      <c r="G114" s="20"/>
      <c r="H114" s="20"/>
      <c r="I114" s="4"/>
      <c r="J114" s="20"/>
      <c r="K114" s="119">
        <f t="shared" si="1"/>
        <v>1210000</v>
      </c>
    </row>
    <row r="115" spans="1:11">
      <c r="A115" s="8">
        <v>113</v>
      </c>
      <c r="B115" s="1" t="s">
        <v>340</v>
      </c>
      <c r="C115" s="4" t="s">
        <v>341</v>
      </c>
      <c r="D115" s="4" t="s">
        <v>24</v>
      </c>
      <c r="E115" s="4"/>
      <c r="F115" s="20"/>
      <c r="G115" s="20"/>
      <c r="H115" s="20"/>
      <c r="I115" s="4">
        <f>580000+200000+200000+200000+200000+400000+600000</f>
        <v>2380000</v>
      </c>
      <c r="J115" s="20"/>
      <c r="K115" s="119">
        <f t="shared" si="1"/>
        <v>2380000</v>
      </c>
    </row>
    <row r="116" spans="1:11" ht="31.5">
      <c r="A116" s="8">
        <v>114</v>
      </c>
      <c r="B116" s="1" t="s">
        <v>342</v>
      </c>
      <c r="C116" s="4" t="s">
        <v>343</v>
      </c>
      <c r="D116" s="4" t="s">
        <v>24</v>
      </c>
      <c r="E116" s="4"/>
      <c r="F116" s="20"/>
      <c r="G116" s="20"/>
      <c r="H116" s="20"/>
      <c r="I116" s="4">
        <f>400000+200000+200000+200000+200000+400000+600000</f>
        <v>2200000</v>
      </c>
      <c r="J116" s="20"/>
      <c r="K116" s="119">
        <f t="shared" si="1"/>
        <v>2200000</v>
      </c>
    </row>
    <row r="117" spans="1:11">
      <c r="A117" s="8">
        <v>115</v>
      </c>
      <c r="B117" s="1" t="s">
        <v>346</v>
      </c>
      <c r="C117" s="4" t="s">
        <v>347</v>
      </c>
      <c r="D117" s="4" t="s">
        <v>24</v>
      </c>
      <c r="E117" s="4"/>
      <c r="F117" s="20"/>
      <c r="G117" s="20"/>
      <c r="H117" s="32"/>
      <c r="I117" s="4"/>
      <c r="J117" s="20">
        <f>535500+212500+212500+212500+212500+425000+425000+212500</f>
        <v>2448000</v>
      </c>
      <c r="K117" s="119">
        <f t="shared" si="1"/>
        <v>2448000</v>
      </c>
    </row>
    <row r="118" spans="1:11">
      <c r="A118" s="8">
        <v>116</v>
      </c>
      <c r="B118" s="63" t="s">
        <v>349</v>
      </c>
      <c r="C118" s="5" t="s">
        <v>423</v>
      </c>
      <c r="D118" s="4" t="s">
        <v>24</v>
      </c>
      <c r="E118" s="4"/>
      <c r="F118" s="20">
        <v>1531000</v>
      </c>
      <c r="G118" s="20"/>
      <c r="H118" s="20"/>
      <c r="I118" s="4"/>
      <c r="J118" s="20"/>
      <c r="K118" s="119">
        <f t="shared" si="1"/>
        <v>1531000</v>
      </c>
    </row>
    <row r="119" spans="1:11" ht="31.5">
      <c r="A119" s="8">
        <v>117</v>
      </c>
      <c r="B119" s="1" t="s">
        <v>351</v>
      </c>
      <c r="C119" s="5" t="s">
        <v>424</v>
      </c>
      <c r="D119" s="4" t="s">
        <v>24</v>
      </c>
      <c r="E119" s="4"/>
      <c r="F119" s="20">
        <v>1600500</v>
      </c>
      <c r="G119" s="20"/>
      <c r="H119" s="20"/>
      <c r="I119" s="4"/>
      <c r="J119" s="20"/>
      <c r="K119" s="119">
        <f t="shared" si="1"/>
        <v>1600500</v>
      </c>
    </row>
    <row r="120" spans="1:11" ht="31.5">
      <c r="A120" s="8">
        <v>118</v>
      </c>
      <c r="B120" s="1" t="s">
        <v>353</v>
      </c>
      <c r="C120" s="46" t="s">
        <v>354</v>
      </c>
      <c r="D120" s="4" t="s">
        <v>24</v>
      </c>
      <c r="E120" s="4"/>
      <c r="F120" s="20">
        <v>1600500</v>
      </c>
      <c r="G120" s="20"/>
      <c r="H120" s="32"/>
      <c r="I120" s="4"/>
      <c r="J120" s="20"/>
      <c r="K120" s="119">
        <f t="shared" si="1"/>
        <v>1600500</v>
      </c>
    </row>
    <row r="121" spans="1:11">
      <c r="A121" s="8">
        <v>119</v>
      </c>
      <c r="B121" s="1" t="s">
        <v>356</v>
      </c>
      <c r="C121" s="4" t="s">
        <v>313</v>
      </c>
      <c r="D121" s="4" t="s">
        <v>24</v>
      </c>
      <c r="E121" s="4">
        <v>-20489</v>
      </c>
      <c r="F121" s="20"/>
      <c r="G121" s="20"/>
      <c r="H121" s="20"/>
      <c r="I121" s="4"/>
      <c r="J121" s="20"/>
      <c r="K121" s="119">
        <f t="shared" si="1"/>
        <v>-20489</v>
      </c>
    </row>
    <row r="122" spans="1:11" ht="31.5">
      <c r="A122" s="8">
        <v>120</v>
      </c>
      <c r="B122" s="1" t="s">
        <v>357</v>
      </c>
      <c r="C122" s="4" t="s">
        <v>358</v>
      </c>
      <c r="D122" s="4" t="s">
        <v>24</v>
      </c>
      <c r="E122" s="4"/>
      <c r="F122" s="20"/>
      <c r="G122" s="20"/>
      <c r="H122" s="20"/>
      <c r="I122" s="4">
        <f>390000+200000+200000+200000+200000+400000+600000</f>
        <v>2190000</v>
      </c>
      <c r="J122" s="20"/>
      <c r="K122" s="119">
        <f t="shared" si="1"/>
        <v>2190000</v>
      </c>
    </row>
    <row r="123" spans="1:11" ht="31.5">
      <c r="A123" s="8">
        <v>121</v>
      </c>
      <c r="B123" s="42" t="s">
        <v>492</v>
      </c>
      <c r="C123" s="43" t="s">
        <v>360</v>
      </c>
      <c r="D123" s="4" t="s">
        <v>24</v>
      </c>
      <c r="E123" s="4"/>
      <c r="F123" s="20"/>
      <c r="G123" s="20"/>
      <c r="H123" s="4">
        <f>308000+217000+119000+119000+238000+119000+238000</f>
        <v>1358000</v>
      </c>
      <c r="I123" s="4"/>
      <c r="J123" s="20"/>
      <c r="K123" s="119">
        <f t="shared" si="1"/>
        <v>1358000</v>
      </c>
    </row>
    <row r="124" spans="1:11" ht="18.75">
      <c r="A124" s="8">
        <v>122</v>
      </c>
      <c r="B124" s="1" t="s">
        <v>361</v>
      </c>
      <c r="C124" s="91" t="s">
        <v>425</v>
      </c>
      <c r="D124" s="4" t="s">
        <v>24</v>
      </c>
      <c r="E124" s="4"/>
      <c r="F124" s="20">
        <v>1746000</v>
      </c>
      <c r="G124" s="20"/>
      <c r="H124" s="20"/>
      <c r="I124" s="4"/>
      <c r="J124" s="20"/>
      <c r="K124" s="119">
        <f t="shared" si="1"/>
        <v>1746000</v>
      </c>
    </row>
    <row r="125" spans="1:11" ht="31.5">
      <c r="A125" s="8">
        <v>123</v>
      </c>
      <c r="B125" s="1" t="s">
        <v>8</v>
      </c>
      <c r="C125" s="5" t="s">
        <v>426</v>
      </c>
      <c r="D125" s="4" t="s">
        <v>62</v>
      </c>
      <c r="E125" s="4"/>
      <c r="F125" s="20"/>
      <c r="G125" s="20"/>
      <c r="H125" s="20"/>
      <c r="I125" s="4">
        <f>300000+600000+150000+140000+270000+260000</f>
        <v>1720000</v>
      </c>
      <c r="J125" s="20"/>
      <c r="K125" s="119">
        <f t="shared" si="1"/>
        <v>1720000</v>
      </c>
    </row>
    <row r="126" spans="1:11">
      <c r="A126" s="8">
        <v>124</v>
      </c>
      <c r="B126" s="1" t="s">
        <v>0</v>
      </c>
      <c r="C126" s="4" t="s">
        <v>22</v>
      </c>
      <c r="D126" s="4" t="s">
        <v>23</v>
      </c>
      <c r="E126" s="4">
        <v>1113500</v>
      </c>
      <c r="F126" s="20"/>
      <c r="G126" s="20"/>
      <c r="H126" s="20"/>
      <c r="I126" s="4"/>
      <c r="J126" s="20"/>
      <c r="K126" s="119">
        <f t="shared" si="1"/>
        <v>1113500</v>
      </c>
    </row>
    <row r="127" spans="1:11" ht="31.5">
      <c r="A127" s="8">
        <v>125</v>
      </c>
      <c r="B127" s="1" t="s">
        <v>364</v>
      </c>
      <c r="C127" s="4" t="s">
        <v>365</v>
      </c>
      <c r="D127" s="4" t="s">
        <v>23</v>
      </c>
      <c r="E127" s="4"/>
      <c r="F127" s="20"/>
      <c r="G127" s="20">
        <v>1716000</v>
      </c>
      <c r="H127" s="20"/>
      <c r="I127" s="4"/>
      <c r="J127" s="20"/>
      <c r="K127" s="119">
        <f t="shared" si="1"/>
        <v>1716000</v>
      </c>
    </row>
    <row r="128" spans="1:11">
      <c r="A128" s="8">
        <v>126</v>
      </c>
      <c r="B128" s="1" t="s">
        <v>368</v>
      </c>
      <c r="C128" s="4" t="s">
        <v>369</v>
      </c>
      <c r="D128" s="4" t="s">
        <v>23</v>
      </c>
      <c r="E128" s="4"/>
      <c r="F128" s="20"/>
      <c r="G128" s="20">
        <v>1716000</v>
      </c>
      <c r="H128" s="20"/>
      <c r="I128" s="4"/>
      <c r="J128" s="20"/>
      <c r="K128" s="119">
        <f t="shared" si="1"/>
        <v>1716000</v>
      </c>
    </row>
    <row r="129" spans="1:11">
      <c r="A129" s="8">
        <v>127</v>
      </c>
      <c r="B129" s="1" t="s">
        <v>370</v>
      </c>
      <c r="C129" s="4" t="s">
        <v>371</v>
      </c>
      <c r="D129" s="4" t="s">
        <v>23</v>
      </c>
      <c r="E129" s="4"/>
      <c r="F129" s="20"/>
      <c r="G129" s="20">
        <v>1695200</v>
      </c>
      <c r="H129" s="20"/>
      <c r="I129" s="4"/>
      <c r="J129" s="20"/>
      <c r="K129" s="119">
        <f t="shared" si="1"/>
        <v>1695200</v>
      </c>
    </row>
    <row r="130" spans="1:11">
      <c r="A130" s="8">
        <v>128</v>
      </c>
      <c r="B130" s="1" t="s">
        <v>373</v>
      </c>
      <c r="C130" s="4" t="s">
        <v>374</v>
      </c>
      <c r="D130" s="4" t="s">
        <v>23</v>
      </c>
      <c r="E130" s="4">
        <v>861500</v>
      </c>
      <c r="F130" s="20"/>
      <c r="G130" s="20"/>
      <c r="H130" s="20"/>
      <c r="I130" s="4"/>
      <c r="J130" s="20"/>
      <c r="K130" s="119">
        <f t="shared" si="1"/>
        <v>861500</v>
      </c>
    </row>
    <row r="131" spans="1:11">
      <c r="A131" s="8">
        <v>129</v>
      </c>
      <c r="B131" s="1" t="s">
        <v>375</v>
      </c>
      <c r="C131" s="4" t="s">
        <v>376</v>
      </c>
      <c r="D131" s="4" t="s">
        <v>23</v>
      </c>
      <c r="E131" s="4"/>
      <c r="F131" s="20"/>
      <c r="G131" s="20">
        <v>1716000</v>
      </c>
      <c r="H131" s="20"/>
      <c r="I131" s="4"/>
      <c r="J131" s="20"/>
      <c r="K131" s="119">
        <f t="shared" si="1"/>
        <v>1716000</v>
      </c>
    </row>
    <row r="132" spans="1:11" ht="31.5">
      <c r="A132" s="8">
        <v>130</v>
      </c>
      <c r="B132" s="1" t="s">
        <v>472</v>
      </c>
      <c r="C132" s="4" t="s">
        <v>378</v>
      </c>
      <c r="D132" s="4" t="s">
        <v>23</v>
      </c>
      <c r="E132" s="4"/>
      <c r="F132" s="20"/>
      <c r="G132" s="20">
        <v>2028000</v>
      </c>
      <c r="H132" s="23"/>
      <c r="I132" s="4"/>
      <c r="J132" s="20"/>
      <c r="K132" s="119">
        <f t="shared" ref="K132:K135" si="2">SUM(E132:J132)</f>
        <v>2028000</v>
      </c>
    </row>
    <row r="133" spans="1:11">
      <c r="A133" s="8">
        <v>131</v>
      </c>
      <c r="B133" s="40" t="s">
        <v>379</v>
      </c>
      <c r="C133" s="41" t="s">
        <v>380</v>
      </c>
      <c r="D133" s="4" t="s">
        <v>23</v>
      </c>
      <c r="E133" s="4"/>
      <c r="F133" s="20"/>
      <c r="G133" s="20"/>
      <c r="H133" s="20"/>
      <c r="I133" s="4">
        <f>280000+140000+140000+280000+420000</f>
        <v>1260000</v>
      </c>
      <c r="J133" s="20"/>
      <c r="K133" s="119">
        <f t="shared" si="2"/>
        <v>1260000</v>
      </c>
    </row>
    <row r="134" spans="1:11" ht="31.5">
      <c r="A134" s="8">
        <v>132</v>
      </c>
      <c r="B134" s="1" t="s">
        <v>383</v>
      </c>
      <c r="C134" s="4" t="s">
        <v>380</v>
      </c>
      <c r="D134" s="4" t="s">
        <v>23</v>
      </c>
      <c r="E134" s="4">
        <v>1210000</v>
      </c>
      <c r="F134" s="20"/>
      <c r="G134" s="20"/>
      <c r="H134" s="20"/>
      <c r="I134" s="4"/>
      <c r="J134" s="20"/>
      <c r="K134" s="119">
        <f t="shared" si="2"/>
        <v>1210000</v>
      </c>
    </row>
    <row r="135" spans="1:11">
      <c r="A135" s="8">
        <v>133</v>
      </c>
      <c r="B135" s="1" t="s">
        <v>384</v>
      </c>
      <c r="C135" s="4" t="s">
        <v>427</v>
      </c>
      <c r="D135" s="4" t="s">
        <v>23</v>
      </c>
      <c r="E135" s="4"/>
      <c r="F135" s="20">
        <v>1474800</v>
      </c>
      <c r="G135" s="20"/>
      <c r="H135" s="20"/>
      <c r="I135" s="4"/>
      <c r="J135" s="20"/>
      <c r="K135" s="119">
        <f t="shared" si="2"/>
        <v>1474800</v>
      </c>
    </row>
    <row r="136" spans="1:11" s="16" customFormat="1">
      <c r="A136" s="165"/>
      <c r="B136" s="166" t="s">
        <v>63</v>
      </c>
      <c r="C136" s="167"/>
      <c r="D136" s="167"/>
      <c r="E136" s="167">
        <f>SUM(E3:E135)</f>
        <v>18431611</v>
      </c>
      <c r="F136" s="167">
        <f t="shared" ref="F136:K136" si="3">SUM(F3:F135)</f>
        <v>36515250</v>
      </c>
      <c r="G136" s="167">
        <f t="shared" si="3"/>
        <v>58399100</v>
      </c>
      <c r="H136" s="167">
        <f t="shared" si="3"/>
        <v>18083000</v>
      </c>
      <c r="I136" s="167">
        <f t="shared" si="3"/>
        <v>38700000</v>
      </c>
      <c r="J136" s="167">
        <f t="shared" si="3"/>
        <v>34671500</v>
      </c>
      <c r="K136" s="167">
        <f t="shared" si="3"/>
        <v>204800461</v>
      </c>
    </row>
  </sheetData>
  <mergeCells count="1">
    <mergeCell ref="A1:K1"/>
  </mergeCells>
  <conditionalFormatting sqref="B47">
    <cfRule type="duplicateValues" dxfId="115" priority="8"/>
  </conditionalFormatting>
  <conditionalFormatting sqref="B97">
    <cfRule type="duplicateValues" dxfId="114" priority="7"/>
  </conditionalFormatting>
  <conditionalFormatting sqref="B43">
    <cfRule type="duplicateValues" dxfId="113" priority="6"/>
  </conditionalFormatting>
  <conditionalFormatting sqref="A2">
    <cfRule type="duplicateValues" dxfId="112" priority="5"/>
  </conditionalFormatting>
  <conditionalFormatting sqref="B137:D1048576 C136:D136 B77:B78 B3:B10 B48 B80 B2:D2 B12:B26 B50:B73 B75 B85:B136 B28:B46">
    <cfRule type="duplicateValues" dxfId="111" priority="4"/>
  </conditionalFormatting>
  <conditionalFormatting sqref="B136:D1048576">
    <cfRule type="duplicateValues" dxfId="110" priority="3"/>
  </conditionalFormatting>
  <conditionalFormatting sqref="C136:D136">
    <cfRule type="duplicateValues" dxfId="109" priority="2"/>
  </conditionalFormatting>
  <conditionalFormatting sqref="B136:D136">
    <cfRule type="duplicateValues" dxfId="10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0"/>
  <sheetViews>
    <sheetView workbookViewId="0">
      <pane xSplit="3" ySplit="2" topLeftCell="D48" activePane="bottomRight" state="frozen"/>
      <selection pane="topRight" activeCell="E1" sqref="E1"/>
      <selection pane="bottomLeft" activeCell="A3" sqref="A3"/>
      <selection pane="bottomRight" activeCell="G20" sqref="G20"/>
    </sheetView>
  </sheetViews>
  <sheetFormatPr defaultRowHeight="15.75"/>
  <cols>
    <col min="1" max="1" width="7.28515625" style="74" customWidth="1"/>
    <col min="2" max="2" width="42.28515625" style="17" customWidth="1"/>
    <col min="3" max="3" width="16.140625" style="17" customWidth="1"/>
    <col min="4" max="4" width="19.140625" style="17" customWidth="1"/>
    <col min="5" max="5" width="14.7109375" style="14" customWidth="1"/>
    <col min="6" max="6" width="11.140625" style="14" customWidth="1"/>
    <col min="7" max="7" width="14.85546875" style="14" customWidth="1"/>
    <col min="8" max="8" width="15.7109375" style="14" customWidth="1"/>
    <col min="9" max="9" width="16.28515625" style="14" customWidth="1"/>
    <col min="10" max="10" width="15" style="14" customWidth="1"/>
    <col min="11" max="11" width="15.85546875" style="96" customWidth="1"/>
    <col min="12" max="13" width="9.140625" style="3" customWidth="1"/>
    <col min="14" max="16384" width="9.140625" style="3"/>
  </cols>
  <sheetData>
    <row r="1" spans="1:11" s="6" customFormat="1" ht="23.25">
      <c r="A1" s="181" t="s">
        <v>521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74" customFormat="1" ht="63">
      <c r="A2" s="177" t="s">
        <v>47</v>
      </c>
      <c r="B2" s="177" t="s">
        <v>13</v>
      </c>
      <c r="C2" s="177" t="s">
        <v>46</v>
      </c>
      <c r="D2" s="177" t="s">
        <v>16</v>
      </c>
      <c r="E2" s="177" t="s">
        <v>388</v>
      </c>
      <c r="F2" s="177" t="s">
        <v>56</v>
      </c>
      <c r="G2" s="177" t="s">
        <v>429</v>
      </c>
      <c r="H2" s="177" t="s">
        <v>55</v>
      </c>
      <c r="I2" s="177" t="s">
        <v>54</v>
      </c>
      <c r="J2" s="177" t="s">
        <v>391</v>
      </c>
      <c r="K2" s="176" t="s">
        <v>57</v>
      </c>
    </row>
    <row r="3" spans="1:11">
      <c r="A3" s="8">
        <v>1</v>
      </c>
      <c r="B3" s="1" t="s">
        <v>66</v>
      </c>
      <c r="C3" s="4" t="s">
        <v>67</v>
      </c>
      <c r="D3" s="4" t="s">
        <v>29</v>
      </c>
      <c r="E3" s="4"/>
      <c r="F3" s="20"/>
      <c r="G3" s="175">
        <v>936000</v>
      </c>
      <c r="H3" s="4"/>
      <c r="I3" s="4"/>
      <c r="J3" s="4"/>
      <c r="K3" s="94">
        <f>SUM(E3:J3)</f>
        <v>936000</v>
      </c>
    </row>
    <row r="4" spans="1:11">
      <c r="A4" s="8">
        <v>2</v>
      </c>
      <c r="B4" s="1" t="s">
        <v>68</v>
      </c>
      <c r="C4" s="4" t="s">
        <v>39</v>
      </c>
      <c r="D4" s="4" t="s">
        <v>29</v>
      </c>
      <c r="E4" s="4"/>
      <c r="F4" s="20"/>
      <c r="G4" s="175">
        <v>936000</v>
      </c>
      <c r="H4" s="4"/>
      <c r="I4" s="4"/>
      <c r="J4" s="4"/>
      <c r="K4" s="94">
        <f t="shared" ref="K4:K58" si="0">SUM(E4:J4)</f>
        <v>936000</v>
      </c>
    </row>
    <row r="5" spans="1:11">
      <c r="A5" s="8">
        <v>3</v>
      </c>
      <c r="B5" s="1" t="s">
        <v>69</v>
      </c>
      <c r="C5" s="4" t="s">
        <v>67</v>
      </c>
      <c r="D5" s="4" t="s">
        <v>29</v>
      </c>
      <c r="E5" s="4"/>
      <c r="F5" s="20"/>
      <c r="G5" s="175">
        <v>915200</v>
      </c>
      <c r="H5" s="4"/>
      <c r="I5" s="4"/>
      <c r="J5" s="4"/>
      <c r="K5" s="94">
        <f t="shared" si="0"/>
        <v>915200</v>
      </c>
    </row>
    <row r="6" spans="1:11">
      <c r="A6" s="8">
        <v>4</v>
      </c>
      <c r="B6" s="1" t="s">
        <v>70</v>
      </c>
      <c r="C6" s="4" t="s">
        <v>71</v>
      </c>
      <c r="D6" s="4" t="s">
        <v>29</v>
      </c>
      <c r="E6" s="4"/>
      <c r="F6" s="20"/>
      <c r="G6" s="175">
        <v>624000</v>
      </c>
      <c r="H6" s="11"/>
      <c r="I6" s="4"/>
      <c r="J6" s="11"/>
      <c r="K6" s="94">
        <f t="shared" si="0"/>
        <v>624000</v>
      </c>
    </row>
    <row r="7" spans="1:11">
      <c r="A7" s="8">
        <v>5</v>
      </c>
      <c r="B7" s="1" t="s">
        <v>11</v>
      </c>
      <c r="C7" s="4" t="s">
        <v>39</v>
      </c>
      <c r="D7" s="4" t="s">
        <v>29</v>
      </c>
      <c r="E7" s="4"/>
      <c r="F7" s="20"/>
      <c r="G7" s="20"/>
      <c r="H7" s="22"/>
      <c r="I7" s="4"/>
      <c r="J7" s="22">
        <v>935000</v>
      </c>
      <c r="K7" s="94">
        <f t="shared" si="0"/>
        <v>935000</v>
      </c>
    </row>
    <row r="8" spans="1:11">
      <c r="A8" s="8">
        <v>6</v>
      </c>
      <c r="B8" s="1" t="s">
        <v>72</v>
      </c>
      <c r="C8" s="33" t="s">
        <v>73</v>
      </c>
      <c r="D8" s="4" t="s">
        <v>29</v>
      </c>
      <c r="E8" s="4"/>
      <c r="F8" s="174">
        <v>407400</v>
      </c>
      <c r="G8" s="20"/>
      <c r="H8" s="4"/>
      <c r="I8" s="4"/>
      <c r="J8" s="4"/>
      <c r="K8" s="94">
        <f t="shared" si="0"/>
        <v>407400</v>
      </c>
    </row>
    <row r="9" spans="1:11">
      <c r="A9" s="8">
        <v>7</v>
      </c>
      <c r="B9" s="1" t="s">
        <v>74</v>
      </c>
      <c r="C9" s="4" t="s">
        <v>75</v>
      </c>
      <c r="D9" s="4" t="s">
        <v>29</v>
      </c>
      <c r="E9" s="4"/>
      <c r="F9" s="20"/>
      <c r="G9" s="175">
        <v>811200</v>
      </c>
      <c r="H9" s="4"/>
      <c r="I9" s="4"/>
      <c r="J9" s="4"/>
      <c r="K9" s="94">
        <f t="shared" si="0"/>
        <v>811200</v>
      </c>
    </row>
    <row r="10" spans="1:11">
      <c r="A10" s="8">
        <v>8</v>
      </c>
      <c r="B10" s="1" t="s">
        <v>76</v>
      </c>
      <c r="C10" s="5" t="s">
        <v>67</v>
      </c>
      <c r="D10" s="4" t="s">
        <v>29</v>
      </c>
      <c r="E10" s="4"/>
      <c r="F10" s="174">
        <v>848750</v>
      </c>
      <c r="G10" s="20"/>
      <c r="H10" s="4"/>
      <c r="I10" s="4"/>
      <c r="J10" s="4"/>
      <c r="K10" s="94">
        <f t="shared" si="0"/>
        <v>848750</v>
      </c>
    </row>
    <row r="11" spans="1:11">
      <c r="A11" s="8">
        <v>9</v>
      </c>
      <c r="B11" s="1" t="s">
        <v>77</v>
      </c>
      <c r="C11" s="4" t="s">
        <v>78</v>
      </c>
      <c r="D11" s="4" t="s">
        <v>29</v>
      </c>
      <c r="E11" s="4"/>
      <c r="F11" s="20"/>
      <c r="G11" s="20"/>
      <c r="H11" s="4"/>
      <c r="I11" s="4">
        <f>480000+160000</f>
        <v>640000</v>
      </c>
      <c r="J11" s="4"/>
      <c r="K11" s="94">
        <f t="shared" si="0"/>
        <v>640000</v>
      </c>
    </row>
    <row r="12" spans="1:11" ht="31.5">
      <c r="A12" s="8">
        <v>10</v>
      </c>
      <c r="B12" s="1" t="s">
        <v>79</v>
      </c>
      <c r="C12" s="4" t="s">
        <v>80</v>
      </c>
      <c r="D12" s="4" t="s">
        <v>29</v>
      </c>
      <c r="E12" s="4"/>
      <c r="F12" s="20"/>
      <c r="G12" s="175"/>
      <c r="H12" s="4"/>
      <c r="I12" s="4"/>
      <c r="J12" s="4"/>
      <c r="K12" s="94">
        <f t="shared" si="0"/>
        <v>0</v>
      </c>
    </row>
    <row r="13" spans="1:11">
      <c r="A13" s="8">
        <v>11</v>
      </c>
      <c r="B13" s="1" t="s">
        <v>81</v>
      </c>
      <c r="C13" s="4" t="s">
        <v>82</v>
      </c>
      <c r="D13" s="4" t="s">
        <v>29</v>
      </c>
      <c r="E13" s="4"/>
      <c r="F13" s="20"/>
      <c r="G13" s="20"/>
      <c r="H13" s="4"/>
      <c r="I13" s="4">
        <v>1200000</v>
      </c>
      <c r="J13" s="4"/>
      <c r="K13" s="94">
        <f t="shared" si="0"/>
        <v>1200000</v>
      </c>
    </row>
    <row r="14" spans="1:11">
      <c r="A14" s="8">
        <v>12</v>
      </c>
      <c r="B14" s="1" t="s">
        <v>457</v>
      </c>
      <c r="C14" s="4" t="s">
        <v>458</v>
      </c>
      <c r="D14" s="4" t="s">
        <v>35</v>
      </c>
      <c r="E14" s="4">
        <v>5000</v>
      </c>
      <c r="F14" s="20"/>
      <c r="G14" s="20"/>
      <c r="H14" s="4">
        <v>560000</v>
      </c>
      <c r="I14" s="4"/>
      <c r="J14" s="4"/>
      <c r="K14" s="94">
        <f t="shared" si="0"/>
        <v>565000</v>
      </c>
    </row>
    <row r="15" spans="1:11">
      <c r="A15" s="8">
        <v>13</v>
      </c>
      <c r="B15" s="1" t="s">
        <v>84</v>
      </c>
      <c r="C15" s="4" t="s">
        <v>85</v>
      </c>
      <c r="D15" s="4" t="s">
        <v>35</v>
      </c>
      <c r="E15" s="94">
        <f>319000+55000</f>
        <v>374000</v>
      </c>
      <c r="F15" s="20"/>
      <c r="G15" s="20"/>
      <c r="H15" s="4"/>
      <c r="I15" s="4"/>
      <c r="J15" s="4"/>
      <c r="K15" s="94">
        <f t="shared" si="0"/>
        <v>374000</v>
      </c>
    </row>
    <row r="16" spans="1:11">
      <c r="A16" s="8">
        <v>14</v>
      </c>
      <c r="B16" s="100" t="s">
        <v>446</v>
      </c>
      <c r="C16" s="101" t="s">
        <v>447</v>
      </c>
      <c r="D16" s="101" t="s">
        <v>35</v>
      </c>
      <c r="E16" s="4"/>
      <c r="F16" s="20"/>
      <c r="G16" s="20"/>
      <c r="H16" s="4"/>
      <c r="I16" s="4"/>
      <c r="J16" s="4"/>
      <c r="K16" s="94">
        <f t="shared" si="0"/>
        <v>0</v>
      </c>
    </row>
    <row r="17" spans="1:11">
      <c r="A17" s="8">
        <v>15</v>
      </c>
      <c r="B17" s="1" t="s">
        <v>7</v>
      </c>
      <c r="C17" s="4" t="s">
        <v>40</v>
      </c>
      <c r="D17" s="4" t="s">
        <v>35</v>
      </c>
      <c r="E17" s="94">
        <v>427000</v>
      </c>
      <c r="F17" s="20"/>
      <c r="G17" s="20"/>
      <c r="H17" s="4"/>
      <c r="I17" s="4"/>
      <c r="J17" s="4"/>
      <c r="K17" s="94">
        <f t="shared" si="0"/>
        <v>427000</v>
      </c>
    </row>
    <row r="18" spans="1:11" ht="31.5">
      <c r="A18" s="8">
        <v>16</v>
      </c>
      <c r="B18" s="1" t="s">
        <v>87</v>
      </c>
      <c r="C18" s="4" t="s">
        <v>88</v>
      </c>
      <c r="D18" s="4" t="s">
        <v>18</v>
      </c>
      <c r="E18" s="4"/>
      <c r="F18" s="20"/>
      <c r="G18" s="175">
        <v>936000</v>
      </c>
      <c r="H18" s="4"/>
      <c r="I18" s="4"/>
      <c r="J18" s="4"/>
      <c r="K18" s="94">
        <f t="shared" si="0"/>
        <v>936000</v>
      </c>
    </row>
    <row r="19" spans="1:11">
      <c r="A19" s="8">
        <v>17</v>
      </c>
      <c r="B19" s="1" t="s">
        <v>89</v>
      </c>
      <c r="C19" s="4" t="s">
        <v>90</v>
      </c>
      <c r="D19" s="4" t="s">
        <v>18</v>
      </c>
      <c r="E19" s="4"/>
      <c r="F19" s="20"/>
      <c r="G19" s="175">
        <v>936000</v>
      </c>
      <c r="H19" s="4"/>
      <c r="I19" s="4"/>
      <c r="J19" s="4"/>
      <c r="K19" s="94">
        <f t="shared" si="0"/>
        <v>936000</v>
      </c>
    </row>
    <row r="20" spans="1:11" ht="31.5">
      <c r="A20" s="8">
        <v>18</v>
      </c>
      <c r="B20" s="1" t="s">
        <v>91</v>
      </c>
      <c r="C20" s="4" t="s">
        <v>92</v>
      </c>
      <c r="D20" s="4" t="s">
        <v>18</v>
      </c>
      <c r="E20" s="94">
        <v>637000</v>
      </c>
      <c r="F20" s="20"/>
      <c r="G20" s="20"/>
      <c r="H20" s="11"/>
      <c r="I20" s="4"/>
      <c r="J20" s="11"/>
      <c r="K20" s="94">
        <f t="shared" si="0"/>
        <v>637000</v>
      </c>
    </row>
    <row r="21" spans="1:11">
      <c r="A21" s="8">
        <v>19</v>
      </c>
      <c r="B21" s="1" t="s">
        <v>9</v>
      </c>
      <c r="C21" s="4" t="s">
        <v>42</v>
      </c>
      <c r="D21" s="4" t="s">
        <v>18</v>
      </c>
      <c r="E21" s="4"/>
      <c r="F21" s="174">
        <v>727500</v>
      </c>
      <c r="G21" s="20"/>
      <c r="H21" s="11"/>
      <c r="I21" s="4"/>
      <c r="J21" s="11"/>
      <c r="K21" s="94">
        <f t="shared" si="0"/>
        <v>727500</v>
      </c>
    </row>
    <row r="22" spans="1:11" ht="31.5">
      <c r="A22" s="8">
        <v>20</v>
      </c>
      <c r="B22" s="1" t="s">
        <v>93</v>
      </c>
      <c r="C22" s="4" t="s">
        <v>94</v>
      </c>
      <c r="D22" s="4" t="s">
        <v>18</v>
      </c>
      <c r="E22" s="4"/>
      <c r="F22" s="20"/>
      <c r="G22" s="175">
        <v>566800</v>
      </c>
      <c r="H22" s="4"/>
      <c r="I22" s="4"/>
      <c r="J22" s="4"/>
      <c r="K22" s="94">
        <f t="shared" si="0"/>
        <v>566800</v>
      </c>
    </row>
    <row r="23" spans="1:11">
      <c r="A23" s="8">
        <v>21</v>
      </c>
      <c r="B23" s="1" t="s">
        <v>512</v>
      </c>
      <c r="C23" s="4" t="s">
        <v>96</v>
      </c>
      <c r="D23" s="4" t="s">
        <v>98</v>
      </c>
      <c r="E23" s="94">
        <v>165000</v>
      </c>
      <c r="F23" s="20"/>
      <c r="G23" s="20"/>
      <c r="H23" s="4"/>
      <c r="I23" s="4"/>
      <c r="J23" s="4"/>
      <c r="K23" s="94">
        <f t="shared" si="0"/>
        <v>165000</v>
      </c>
    </row>
    <row r="24" spans="1:11" ht="30">
      <c r="A24" s="8">
        <v>22</v>
      </c>
      <c r="B24" s="2" t="s">
        <v>99</v>
      </c>
      <c r="C24" s="4" t="s">
        <v>96</v>
      </c>
      <c r="D24" s="4" t="s">
        <v>98</v>
      </c>
      <c r="E24" s="4"/>
      <c r="F24" s="20"/>
      <c r="G24" s="20"/>
      <c r="H24" s="4"/>
      <c r="I24" s="4"/>
      <c r="J24" s="4"/>
      <c r="K24" s="94">
        <f t="shared" si="0"/>
        <v>0</v>
      </c>
    </row>
    <row r="25" spans="1:11">
      <c r="A25" s="8">
        <v>23</v>
      </c>
      <c r="B25" s="1" t="s">
        <v>101</v>
      </c>
      <c r="C25" s="4" t="s">
        <v>102</v>
      </c>
      <c r="D25" s="4" t="s">
        <v>31</v>
      </c>
      <c r="E25" s="4"/>
      <c r="F25" s="20"/>
      <c r="G25" s="20"/>
      <c r="H25" s="20"/>
      <c r="I25" s="4"/>
      <c r="J25" s="20"/>
      <c r="K25" s="94">
        <f t="shared" si="0"/>
        <v>0</v>
      </c>
    </row>
    <row r="26" spans="1:11">
      <c r="A26" s="8">
        <v>24</v>
      </c>
      <c r="B26" s="1" t="s">
        <v>103</v>
      </c>
      <c r="C26" s="4" t="s">
        <v>104</v>
      </c>
      <c r="D26" s="4" t="s">
        <v>31</v>
      </c>
      <c r="E26" s="4"/>
      <c r="F26" s="20"/>
      <c r="G26" s="20"/>
      <c r="H26" s="22"/>
      <c r="I26" s="4"/>
      <c r="J26" s="22">
        <v>1487500</v>
      </c>
      <c r="K26" s="94">
        <f t="shared" si="0"/>
        <v>1487500</v>
      </c>
    </row>
    <row r="27" spans="1:11">
      <c r="A27" s="8">
        <v>25</v>
      </c>
      <c r="B27" s="1" t="s">
        <v>12</v>
      </c>
      <c r="C27" s="4" t="s">
        <v>45</v>
      </c>
      <c r="D27" s="4" t="s">
        <v>31</v>
      </c>
      <c r="E27" s="4"/>
      <c r="F27" s="20"/>
      <c r="G27" s="20"/>
      <c r="H27" s="23"/>
      <c r="I27" s="4"/>
      <c r="J27" s="23">
        <v>1020000</v>
      </c>
      <c r="K27" s="94">
        <f t="shared" si="0"/>
        <v>1020000</v>
      </c>
    </row>
    <row r="28" spans="1:11">
      <c r="A28" s="8">
        <v>26</v>
      </c>
      <c r="B28" s="1" t="s">
        <v>481</v>
      </c>
      <c r="C28" s="4" t="s">
        <v>102</v>
      </c>
      <c r="D28" s="4" t="s">
        <v>31</v>
      </c>
      <c r="E28" s="4"/>
      <c r="F28" s="20"/>
      <c r="G28" s="20"/>
      <c r="H28" s="23"/>
      <c r="I28" s="4"/>
      <c r="J28" s="23"/>
      <c r="K28" s="94">
        <f t="shared" si="0"/>
        <v>0</v>
      </c>
    </row>
    <row r="29" spans="1:11">
      <c r="A29" s="8">
        <v>27</v>
      </c>
      <c r="B29" s="1" t="s">
        <v>110</v>
      </c>
      <c r="C29" s="4" t="s">
        <v>108</v>
      </c>
      <c r="D29" s="4" t="s">
        <v>108</v>
      </c>
      <c r="E29" s="4"/>
      <c r="F29" s="20"/>
      <c r="G29" s="20"/>
      <c r="H29" s="20"/>
      <c r="I29" s="4"/>
      <c r="J29" s="20"/>
      <c r="K29" s="94">
        <f t="shared" si="0"/>
        <v>0</v>
      </c>
    </row>
    <row r="30" spans="1:11" ht="31.5">
      <c r="A30" s="8">
        <v>28</v>
      </c>
      <c r="B30" s="1" t="s">
        <v>513</v>
      </c>
      <c r="C30" s="4" t="s">
        <v>108</v>
      </c>
      <c r="D30" s="4" t="s">
        <v>108</v>
      </c>
      <c r="E30" s="4"/>
      <c r="F30" s="20"/>
      <c r="G30" s="20"/>
      <c r="H30" s="20"/>
      <c r="I30" s="4"/>
      <c r="J30" s="20"/>
      <c r="K30" s="94">
        <f t="shared" si="0"/>
        <v>0</v>
      </c>
    </row>
    <row r="31" spans="1:11">
      <c r="A31" s="8">
        <v>29</v>
      </c>
      <c r="B31" s="40" t="s">
        <v>112</v>
      </c>
      <c r="C31" s="4" t="s">
        <v>108</v>
      </c>
      <c r="D31" s="4" t="s">
        <v>108</v>
      </c>
      <c r="E31" s="4"/>
      <c r="F31" s="20"/>
      <c r="G31" s="20"/>
      <c r="H31" s="20"/>
      <c r="I31" s="4">
        <v>200000</v>
      </c>
      <c r="J31" s="20"/>
      <c r="K31" s="94">
        <f t="shared" si="0"/>
        <v>200000</v>
      </c>
    </row>
    <row r="32" spans="1:11">
      <c r="A32" s="8">
        <v>30</v>
      </c>
      <c r="B32" s="1" t="s">
        <v>113</v>
      </c>
      <c r="C32" s="41" t="s">
        <v>114</v>
      </c>
      <c r="D32" s="4" t="s">
        <v>108</v>
      </c>
      <c r="E32" s="4"/>
      <c r="F32" s="20"/>
      <c r="G32" s="20"/>
      <c r="H32" s="20"/>
      <c r="I32" s="4"/>
      <c r="J32" s="20"/>
      <c r="K32" s="94">
        <f t="shared" si="0"/>
        <v>0</v>
      </c>
    </row>
    <row r="33" spans="1:11">
      <c r="A33" s="8">
        <v>31</v>
      </c>
      <c r="B33" s="1" t="s">
        <v>115</v>
      </c>
      <c r="C33" s="4" t="s">
        <v>116</v>
      </c>
      <c r="D33" s="4" t="s">
        <v>108</v>
      </c>
      <c r="E33" s="4"/>
      <c r="F33" s="20"/>
      <c r="G33" s="175">
        <v>686400</v>
      </c>
      <c r="H33" s="22"/>
      <c r="I33" s="4"/>
      <c r="J33" s="22"/>
      <c r="K33" s="94">
        <f t="shared" si="0"/>
        <v>686400</v>
      </c>
    </row>
    <row r="34" spans="1:11">
      <c r="A34" s="8">
        <v>32</v>
      </c>
      <c r="B34" s="1" t="s">
        <v>115</v>
      </c>
      <c r="C34" s="4" t="s">
        <v>116</v>
      </c>
      <c r="D34" s="4" t="s">
        <v>108</v>
      </c>
      <c r="E34" s="4"/>
      <c r="F34" s="20"/>
      <c r="G34" s="20"/>
      <c r="H34" s="22"/>
      <c r="I34" s="4"/>
      <c r="J34" s="22"/>
      <c r="K34" s="94">
        <f t="shared" si="0"/>
        <v>0</v>
      </c>
    </row>
    <row r="35" spans="1:11" ht="31.5">
      <c r="A35" s="8">
        <v>33</v>
      </c>
      <c r="B35" s="1" t="s">
        <v>117</v>
      </c>
      <c r="C35" s="4" t="s">
        <v>114</v>
      </c>
      <c r="D35" s="4" t="s">
        <v>108</v>
      </c>
      <c r="E35" s="4"/>
      <c r="F35" s="20"/>
      <c r="G35" s="20"/>
      <c r="H35" s="20"/>
      <c r="I35" s="4"/>
      <c r="J35" s="20"/>
      <c r="K35" s="94">
        <f t="shared" si="0"/>
        <v>0</v>
      </c>
    </row>
    <row r="36" spans="1:11">
      <c r="A36" s="8">
        <v>34</v>
      </c>
      <c r="B36" s="1" t="s">
        <v>118</v>
      </c>
      <c r="C36" s="4" t="s">
        <v>108</v>
      </c>
      <c r="D36" s="4" t="s">
        <v>108</v>
      </c>
      <c r="E36" s="94">
        <v>40500</v>
      </c>
      <c r="F36" s="20"/>
      <c r="G36" s="20"/>
      <c r="H36" s="20"/>
      <c r="I36" s="4"/>
      <c r="J36" s="20"/>
      <c r="K36" s="94">
        <f t="shared" si="0"/>
        <v>40500</v>
      </c>
    </row>
    <row r="37" spans="1:11">
      <c r="A37" s="8">
        <v>35</v>
      </c>
      <c r="B37" s="1" t="s">
        <v>121</v>
      </c>
      <c r="C37" s="4" t="s">
        <v>108</v>
      </c>
      <c r="D37" s="4" t="s">
        <v>108</v>
      </c>
      <c r="E37" s="4"/>
      <c r="F37" s="20"/>
      <c r="G37" s="20"/>
      <c r="H37" s="20"/>
      <c r="I37" s="4"/>
      <c r="J37" s="20"/>
      <c r="K37" s="94">
        <f t="shared" si="0"/>
        <v>0</v>
      </c>
    </row>
    <row r="38" spans="1:11" ht="31.5">
      <c r="A38" s="8">
        <v>36</v>
      </c>
      <c r="B38" s="1" t="s">
        <v>123</v>
      </c>
      <c r="C38" s="4" t="s">
        <v>124</v>
      </c>
      <c r="D38" s="4" t="s">
        <v>20</v>
      </c>
      <c r="E38" s="4"/>
      <c r="F38" s="174"/>
      <c r="G38" s="20"/>
      <c r="H38" s="20"/>
      <c r="I38" s="4"/>
      <c r="J38" s="20"/>
      <c r="K38" s="94">
        <f t="shared" si="0"/>
        <v>0</v>
      </c>
    </row>
    <row r="39" spans="1:11" ht="31.5">
      <c r="A39" s="8">
        <v>37</v>
      </c>
      <c r="B39" s="1" t="s">
        <v>125</v>
      </c>
      <c r="C39" s="4" t="s">
        <v>126</v>
      </c>
      <c r="D39" s="4" t="s">
        <v>20</v>
      </c>
      <c r="E39" s="4"/>
      <c r="F39" s="20">
        <v>349200</v>
      </c>
      <c r="G39" s="175">
        <v>873600</v>
      </c>
      <c r="H39" s="20"/>
      <c r="I39" s="4"/>
      <c r="J39" s="20"/>
      <c r="K39" s="94">
        <f t="shared" si="0"/>
        <v>1222800</v>
      </c>
    </row>
    <row r="40" spans="1:11">
      <c r="A40" s="8">
        <v>38</v>
      </c>
      <c r="B40" s="1" t="s">
        <v>127</v>
      </c>
      <c r="C40" s="4" t="s">
        <v>128</v>
      </c>
      <c r="D40" s="4" t="s">
        <v>20</v>
      </c>
      <c r="E40" s="4"/>
      <c r="F40" s="20"/>
      <c r="G40" s="20"/>
      <c r="H40" s="20"/>
      <c r="I40" s="4"/>
      <c r="J40" s="20"/>
      <c r="K40" s="94">
        <f t="shared" si="0"/>
        <v>0</v>
      </c>
    </row>
    <row r="41" spans="1:11">
      <c r="A41" s="8">
        <v>39</v>
      </c>
      <c r="B41" s="1" t="s">
        <v>129</v>
      </c>
      <c r="C41" s="4" t="s">
        <v>130</v>
      </c>
      <c r="D41" s="4" t="s">
        <v>20</v>
      </c>
      <c r="E41" s="4"/>
      <c r="F41" s="20"/>
      <c r="G41" s="20"/>
      <c r="H41" s="20"/>
      <c r="I41" s="4"/>
      <c r="J41" s="20"/>
      <c r="K41" s="94">
        <f t="shared" si="0"/>
        <v>0</v>
      </c>
    </row>
    <row r="42" spans="1:11" ht="31.5">
      <c r="A42" s="8">
        <v>40</v>
      </c>
      <c r="B42" s="1" t="s">
        <v>131</v>
      </c>
      <c r="C42" s="4" t="s">
        <v>132</v>
      </c>
      <c r="D42" s="4" t="s">
        <v>20</v>
      </c>
      <c r="E42" s="4"/>
      <c r="F42" s="20"/>
      <c r="G42" s="175">
        <v>889200</v>
      </c>
      <c r="H42" s="20"/>
      <c r="I42" s="4"/>
      <c r="J42" s="20"/>
      <c r="K42" s="94">
        <f t="shared" si="0"/>
        <v>889200</v>
      </c>
    </row>
    <row r="43" spans="1:11">
      <c r="A43" s="8">
        <v>41</v>
      </c>
      <c r="B43" s="1" t="s">
        <v>52</v>
      </c>
      <c r="C43" s="4" t="s">
        <v>30</v>
      </c>
      <c r="D43" s="4" t="s">
        <v>20</v>
      </c>
      <c r="E43" s="4"/>
      <c r="F43" s="20"/>
      <c r="G43" s="20"/>
      <c r="H43" s="20"/>
      <c r="I43" s="4"/>
      <c r="J43" s="20"/>
      <c r="K43" s="94">
        <f t="shared" si="0"/>
        <v>0</v>
      </c>
    </row>
    <row r="44" spans="1:11" ht="31.5">
      <c r="A44" s="8">
        <v>42</v>
      </c>
      <c r="B44" s="1" t="s">
        <v>133</v>
      </c>
      <c r="C44" s="4" t="s">
        <v>134</v>
      </c>
      <c r="D44" s="4" t="s">
        <v>20</v>
      </c>
      <c r="E44" s="4"/>
      <c r="F44" s="20"/>
      <c r="G44" s="20"/>
      <c r="H44" s="4">
        <v>1092000</v>
      </c>
      <c r="I44" s="4"/>
      <c r="J44" s="4"/>
      <c r="K44" s="94">
        <f t="shared" si="0"/>
        <v>1092000</v>
      </c>
    </row>
    <row r="45" spans="1:11" ht="47.25">
      <c r="A45" s="8">
        <v>43</v>
      </c>
      <c r="B45" s="1" t="s">
        <v>519</v>
      </c>
      <c r="C45" s="4" t="s">
        <v>124</v>
      </c>
      <c r="D45" s="4" t="s">
        <v>20</v>
      </c>
      <c r="E45" s="4"/>
      <c r="F45" s="20"/>
      <c r="G45" s="175">
        <v>936000</v>
      </c>
      <c r="H45" s="20"/>
      <c r="I45" s="4"/>
      <c r="J45" s="20"/>
      <c r="K45" s="94">
        <f t="shared" si="0"/>
        <v>936000</v>
      </c>
    </row>
    <row r="46" spans="1:11">
      <c r="A46" s="8">
        <v>44</v>
      </c>
      <c r="B46" s="1" t="s">
        <v>137</v>
      </c>
      <c r="C46" s="5" t="s">
        <v>409</v>
      </c>
      <c r="D46" s="4" t="s">
        <v>19</v>
      </c>
      <c r="E46" s="4"/>
      <c r="F46" s="174">
        <v>649900</v>
      </c>
      <c r="G46" s="20"/>
      <c r="H46" s="20"/>
      <c r="I46" s="4"/>
      <c r="J46" s="20"/>
      <c r="K46" s="94">
        <f t="shared" si="0"/>
        <v>649900</v>
      </c>
    </row>
    <row r="47" spans="1:11">
      <c r="A47" s="8">
        <v>45</v>
      </c>
      <c r="B47" s="1" t="s">
        <v>394</v>
      </c>
      <c r="C47" s="12" t="s">
        <v>395</v>
      </c>
      <c r="D47" s="4" t="s">
        <v>19</v>
      </c>
      <c r="E47" s="4"/>
      <c r="F47" s="20"/>
      <c r="G47" s="20"/>
      <c r="H47" s="20"/>
      <c r="I47" s="4"/>
      <c r="J47" s="20"/>
      <c r="K47" s="94">
        <f t="shared" si="0"/>
        <v>0</v>
      </c>
    </row>
    <row r="48" spans="1:11">
      <c r="A48" s="8">
        <v>46</v>
      </c>
      <c r="B48" s="1" t="s">
        <v>59</v>
      </c>
      <c r="C48" s="12" t="s">
        <v>27</v>
      </c>
      <c r="D48" s="4" t="s">
        <v>19</v>
      </c>
      <c r="E48" s="4"/>
      <c r="F48" s="20"/>
      <c r="G48" s="20"/>
      <c r="H48" s="20"/>
      <c r="I48" s="4"/>
      <c r="J48" s="20"/>
      <c r="K48" s="94">
        <f t="shared" si="0"/>
        <v>0</v>
      </c>
    </row>
    <row r="49" spans="1:11">
      <c r="A49" s="8">
        <v>47</v>
      </c>
      <c r="B49" s="1" t="s">
        <v>138</v>
      </c>
      <c r="C49" s="12" t="s">
        <v>139</v>
      </c>
      <c r="D49" s="4" t="s">
        <v>19</v>
      </c>
      <c r="E49" s="4"/>
      <c r="F49" s="20"/>
      <c r="G49" s="20"/>
      <c r="H49" s="22"/>
      <c r="I49" s="4"/>
      <c r="J49" s="22"/>
      <c r="K49" s="94">
        <f t="shared" si="0"/>
        <v>0</v>
      </c>
    </row>
    <row r="50" spans="1:11">
      <c r="A50" s="8">
        <v>48</v>
      </c>
      <c r="B50" s="1" t="s">
        <v>140</v>
      </c>
      <c r="C50" s="12" t="s">
        <v>141</v>
      </c>
      <c r="D50" s="4" t="s">
        <v>19</v>
      </c>
      <c r="E50" s="4"/>
      <c r="F50" s="20"/>
      <c r="G50" s="20"/>
      <c r="H50" s="20"/>
      <c r="I50" s="4"/>
      <c r="J50" s="20"/>
      <c r="K50" s="94">
        <f t="shared" si="0"/>
        <v>0</v>
      </c>
    </row>
    <row r="51" spans="1:11">
      <c r="A51" s="8">
        <v>49</v>
      </c>
      <c r="B51" s="1" t="s">
        <v>142</v>
      </c>
      <c r="C51" s="5" t="s">
        <v>410</v>
      </c>
      <c r="D51" s="4" t="s">
        <v>19</v>
      </c>
      <c r="E51" s="4"/>
      <c r="F51" s="174">
        <v>669300</v>
      </c>
      <c r="G51" s="20"/>
      <c r="H51" s="20"/>
      <c r="I51" s="4"/>
      <c r="J51" s="20"/>
      <c r="K51" s="94">
        <f t="shared" si="0"/>
        <v>669300</v>
      </c>
    </row>
    <row r="52" spans="1:11">
      <c r="A52" s="8">
        <v>50</v>
      </c>
      <c r="B52" s="1" t="s">
        <v>143</v>
      </c>
      <c r="C52" s="12" t="s">
        <v>144</v>
      </c>
      <c r="D52" s="4" t="s">
        <v>19</v>
      </c>
      <c r="E52" s="94">
        <v>236500</v>
      </c>
      <c r="F52" s="20"/>
      <c r="G52" s="20"/>
      <c r="H52" s="20"/>
      <c r="I52" s="4"/>
      <c r="J52" s="20"/>
      <c r="K52" s="94">
        <f t="shared" si="0"/>
        <v>236500</v>
      </c>
    </row>
    <row r="53" spans="1:11" ht="47.25">
      <c r="A53" s="8">
        <v>51</v>
      </c>
      <c r="B53" s="1" t="s">
        <v>145</v>
      </c>
      <c r="C53" s="12" t="s">
        <v>146</v>
      </c>
      <c r="D53" s="4" t="s">
        <v>19</v>
      </c>
      <c r="E53" s="4"/>
      <c r="F53" s="20"/>
      <c r="G53" s="20"/>
      <c r="H53" s="23"/>
      <c r="I53" s="4"/>
      <c r="J53" s="23"/>
      <c r="K53" s="94">
        <f t="shared" si="0"/>
        <v>0</v>
      </c>
    </row>
    <row r="54" spans="1:11">
      <c r="A54" s="8">
        <v>52</v>
      </c>
      <c r="B54" s="1" t="s">
        <v>149</v>
      </c>
      <c r="C54" s="4" t="s">
        <v>150</v>
      </c>
      <c r="D54" s="4" t="s">
        <v>148</v>
      </c>
      <c r="E54" s="4"/>
      <c r="F54" s="20"/>
      <c r="G54" s="20"/>
      <c r="H54" s="20"/>
      <c r="I54" s="4"/>
      <c r="J54" s="20"/>
      <c r="K54" s="94">
        <f t="shared" si="0"/>
        <v>0</v>
      </c>
    </row>
    <row r="55" spans="1:11">
      <c r="A55" s="8">
        <v>53</v>
      </c>
      <c r="B55" s="1" t="s">
        <v>151</v>
      </c>
      <c r="C55" s="4" t="s">
        <v>152</v>
      </c>
      <c r="D55" s="4" t="s">
        <v>148</v>
      </c>
      <c r="E55" s="4"/>
      <c r="F55" s="20"/>
      <c r="G55" s="175">
        <v>176800</v>
      </c>
      <c r="H55" s="20"/>
      <c r="I55" s="4"/>
      <c r="J55" s="20"/>
      <c r="K55" s="94">
        <f t="shared" si="0"/>
        <v>176800</v>
      </c>
    </row>
    <row r="56" spans="1:11">
      <c r="A56" s="8">
        <v>54</v>
      </c>
      <c r="B56" s="1" t="s">
        <v>154</v>
      </c>
      <c r="C56" s="4" t="s">
        <v>155</v>
      </c>
      <c r="D56" s="4" t="s">
        <v>148</v>
      </c>
      <c r="E56" s="4"/>
      <c r="F56" s="20"/>
      <c r="G56" s="175">
        <v>436800</v>
      </c>
      <c r="H56" s="20"/>
      <c r="I56" s="4"/>
      <c r="J56" s="20"/>
      <c r="K56" s="94">
        <f t="shared" si="0"/>
        <v>436800</v>
      </c>
    </row>
    <row r="57" spans="1:11" ht="31.5">
      <c r="A57" s="8">
        <v>55</v>
      </c>
      <c r="B57" s="1" t="s">
        <v>156</v>
      </c>
      <c r="C57" s="5" t="s">
        <v>411</v>
      </c>
      <c r="D57" s="4" t="s">
        <v>148</v>
      </c>
      <c r="E57" s="4"/>
      <c r="F57" s="20"/>
      <c r="G57" s="20"/>
      <c r="H57" s="20"/>
      <c r="I57" s="4"/>
      <c r="J57" s="20"/>
      <c r="K57" s="94">
        <f t="shared" si="0"/>
        <v>0</v>
      </c>
    </row>
    <row r="58" spans="1:11">
      <c r="A58" s="8">
        <v>56</v>
      </c>
      <c r="B58" s="1" t="s">
        <v>494</v>
      </c>
      <c r="C58" s="5" t="s">
        <v>510</v>
      </c>
      <c r="D58" s="4" t="s">
        <v>493</v>
      </c>
      <c r="E58" s="4"/>
      <c r="F58" s="174">
        <v>873000</v>
      </c>
      <c r="G58" s="20"/>
      <c r="H58" s="20"/>
      <c r="I58" s="4"/>
      <c r="J58" s="20"/>
      <c r="K58" s="94">
        <f t="shared" si="0"/>
        <v>873000</v>
      </c>
    </row>
    <row r="59" spans="1:11">
      <c r="A59" s="8">
        <v>57</v>
      </c>
      <c r="B59" s="1" t="s">
        <v>509</v>
      </c>
      <c r="C59" s="5" t="s">
        <v>511</v>
      </c>
      <c r="D59" s="4" t="s">
        <v>493</v>
      </c>
      <c r="E59" s="4"/>
      <c r="F59" s="174">
        <v>320100</v>
      </c>
      <c r="G59" s="20"/>
      <c r="H59" s="20"/>
      <c r="I59" s="4"/>
      <c r="J59" s="20"/>
      <c r="K59" s="94">
        <f t="shared" ref="K59:K113" si="1">SUM(E59:J59)</f>
        <v>320100</v>
      </c>
    </row>
    <row r="60" spans="1:11">
      <c r="A60" s="8">
        <v>58</v>
      </c>
      <c r="B60" s="1" t="s">
        <v>3</v>
      </c>
      <c r="C60" s="5" t="s">
        <v>412</v>
      </c>
      <c r="D60" s="4" t="s">
        <v>28</v>
      </c>
      <c r="E60" s="4"/>
      <c r="F60" s="20"/>
      <c r="G60" s="20"/>
      <c r="H60" s="4"/>
      <c r="I60" s="4"/>
      <c r="J60" s="4"/>
      <c r="K60" s="94">
        <f t="shared" si="1"/>
        <v>0</v>
      </c>
    </row>
    <row r="61" spans="1:11" ht="31.5">
      <c r="A61" s="8">
        <v>59</v>
      </c>
      <c r="B61" s="1" t="s">
        <v>160</v>
      </c>
      <c r="C61" s="4" t="s">
        <v>161</v>
      </c>
      <c r="D61" s="4" t="s">
        <v>159</v>
      </c>
      <c r="E61" s="94">
        <v>660000</v>
      </c>
      <c r="F61" s="20"/>
      <c r="G61" s="20"/>
      <c r="H61" s="20"/>
      <c r="I61" s="4"/>
      <c r="J61" s="20"/>
      <c r="K61" s="94">
        <f t="shared" si="1"/>
        <v>660000</v>
      </c>
    </row>
    <row r="62" spans="1:11">
      <c r="A62" s="8">
        <v>60</v>
      </c>
      <c r="B62" s="1" t="s">
        <v>162</v>
      </c>
      <c r="C62" s="4" t="s">
        <v>163</v>
      </c>
      <c r="D62" s="4" t="s">
        <v>159</v>
      </c>
      <c r="E62" s="4"/>
      <c r="F62" s="20"/>
      <c r="G62" s="20"/>
      <c r="H62" s="20"/>
      <c r="I62" s="4"/>
      <c r="J62" s="20"/>
      <c r="K62" s="94">
        <f t="shared" si="1"/>
        <v>0</v>
      </c>
    </row>
    <row r="63" spans="1:11" ht="47.25">
      <c r="A63" s="8">
        <v>61</v>
      </c>
      <c r="B63" s="156" t="s">
        <v>506</v>
      </c>
      <c r="C63" s="156" t="s">
        <v>507</v>
      </c>
      <c r="D63" s="156" t="s">
        <v>159</v>
      </c>
      <c r="E63" s="4"/>
      <c r="F63" s="20"/>
      <c r="G63" s="20"/>
      <c r="H63" s="20"/>
      <c r="I63" s="4"/>
      <c r="J63" s="20"/>
      <c r="K63" s="94">
        <f t="shared" si="1"/>
        <v>0</v>
      </c>
    </row>
    <row r="64" spans="1:11">
      <c r="A64" s="8">
        <v>62</v>
      </c>
      <c r="B64" s="1" t="s">
        <v>164</v>
      </c>
      <c r="C64" s="4" t="s">
        <v>165</v>
      </c>
      <c r="D64" s="4" t="s">
        <v>159</v>
      </c>
      <c r="E64" s="4"/>
      <c r="F64" s="20"/>
      <c r="G64" s="20"/>
      <c r="H64" s="20"/>
      <c r="I64" s="4"/>
      <c r="J64" s="20"/>
      <c r="K64" s="94">
        <f t="shared" si="1"/>
        <v>0</v>
      </c>
    </row>
    <row r="65" spans="1:11">
      <c r="A65" s="8">
        <v>63</v>
      </c>
      <c r="B65" s="1" t="s">
        <v>166</v>
      </c>
      <c r="C65" s="4" t="s">
        <v>167</v>
      </c>
      <c r="D65" s="4" t="s">
        <v>159</v>
      </c>
      <c r="E65" s="94">
        <v>660000</v>
      </c>
      <c r="F65" s="20"/>
      <c r="G65" s="20"/>
      <c r="H65" s="20"/>
      <c r="I65" s="4"/>
      <c r="J65" s="20"/>
      <c r="K65" s="94">
        <f t="shared" si="1"/>
        <v>660000</v>
      </c>
    </row>
    <row r="66" spans="1:11">
      <c r="A66" s="8">
        <v>64</v>
      </c>
      <c r="B66" s="1" t="s">
        <v>168</v>
      </c>
      <c r="C66" s="4" t="s">
        <v>169</v>
      </c>
      <c r="D66" s="4" t="s">
        <v>159</v>
      </c>
      <c r="E66" s="94">
        <v>642500</v>
      </c>
      <c r="F66" s="20"/>
      <c r="G66" s="20"/>
      <c r="H66" s="20"/>
      <c r="I66" s="4"/>
      <c r="J66" s="20"/>
      <c r="K66" s="94">
        <f t="shared" si="1"/>
        <v>642500</v>
      </c>
    </row>
    <row r="67" spans="1:11">
      <c r="A67" s="8">
        <v>65</v>
      </c>
      <c r="B67" s="1" t="s">
        <v>170</v>
      </c>
      <c r="C67" s="4" t="s">
        <v>171</v>
      </c>
      <c r="D67" s="4" t="s">
        <v>159</v>
      </c>
      <c r="E67" s="4"/>
      <c r="F67" s="20"/>
      <c r="G67" s="20"/>
      <c r="H67" s="20"/>
      <c r="I67" s="4"/>
      <c r="J67" s="20"/>
      <c r="K67" s="94">
        <f t="shared" si="1"/>
        <v>0</v>
      </c>
    </row>
    <row r="68" spans="1:11">
      <c r="A68" s="8">
        <v>66</v>
      </c>
      <c r="B68" s="1" t="s">
        <v>172</v>
      </c>
      <c r="C68" s="4" t="s">
        <v>165</v>
      </c>
      <c r="D68" s="4" t="s">
        <v>159</v>
      </c>
      <c r="E68" s="4"/>
      <c r="F68" s="20"/>
      <c r="G68" s="20"/>
      <c r="H68" s="20"/>
      <c r="I68" s="4"/>
      <c r="J68" s="20"/>
      <c r="K68" s="94">
        <f t="shared" si="1"/>
        <v>0</v>
      </c>
    </row>
    <row r="69" spans="1:11" ht="31.5">
      <c r="A69" s="8">
        <v>67</v>
      </c>
      <c r="B69" s="1" t="s">
        <v>173</v>
      </c>
      <c r="C69" s="4" t="s">
        <v>174</v>
      </c>
      <c r="D69" s="4" t="s">
        <v>159</v>
      </c>
      <c r="E69" s="4"/>
      <c r="F69" s="20"/>
      <c r="G69" s="20"/>
      <c r="H69" s="20"/>
      <c r="I69" s="4"/>
      <c r="J69" s="20"/>
      <c r="K69" s="94">
        <f t="shared" si="1"/>
        <v>0</v>
      </c>
    </row>
    <row r="70" spans="1:11">
      <c r="A70" s="8">
        <v>68</v>
      </c>
      <c r="B70" s="1" t="s">
        <v>175</v>
      </c>
      <c r="C70" s="4" t="s">
        <v>163</v>
      </c>
      <c r="D70" s="4" t="s">
        <v>159</v>
      </c>
      <c r="E70" s="4"/>
      <c r="F70" s="20"/>
      <c r="G70" s="20"/>
      <c r="H70" s="20"/>
      <c r="I70" s="4"/>
      <c r="J70" s="20"/>
      <c r="K70" s="94">
        <f t="shared" si="1"/>
        <v>0</v>
      </c>
    </row>
    <row r="71" spans="1:11" ht="31.5">
      <c r="A71" s="8">
        <v>69</v>
      </c>
      <c r="B71" s="1" t="s">
        <v>60</v>
      </c>
      <c r="C71" s="4" t="s">
        <v>33</v>
      </c>
      <c r="D71" s="4" t="s">
        <v>34</v>
      </c>
      <c r="E71" s="94">
        <v>517000</v>
      </c>
      <c r="F71" s="20"/>
      <c r="G71" s="20"/>
      <c r="H71" s="20"/>
      <c r="I71" s="4"/>
      <c r="J71" s="20"/>
      <c r="K71" s="94">
        <f t="shared" si="1"/>
        <v>517000</v>
      </c>
    </row>
    <row r="72" spans="1:11">
      <c r="A72" s="8">
        <v>70</v>
      </c>
      <c r="B72" s="1" t="s">
        <v>178</v>
      </c>
      <c r="C72" s="4" t="s">
        <v>179</v>
      </c>
      <c r="D72" s="4" t="s">
        <v>17</v>
      </c>
      <c r="E72" s="4"/>
      <c r="F72" s="20"/>
      <c r="G72" s="20"/>
      <c r="H72" s="23"/>
      <c r="I72" s="4"/>
      <c r="J72" s="23">
        <v>1530000</v>
      </c>
      <c r="K72" s="94">
        <f t="shared" si="1"/>
        <v>1530000</v>
      </c>
    </row>
    <row r="73" spans="1:11">
      <c r="A73" s="8">
        <v>71</v>
      </c>
      <c r="B73" s="1" t="s">
        <v>180</v>
      </c>
      <c r="C73" s="4" t="s">
        <v>181</v>
      </c>
      <c r="D73" s="4" t="s">
        <v>17</v>
      </c>
      <c r="E73" s="4"/>
      <c r="F73" s="20"/>
      <c r="G73" s="20"/>
      <c r="H73" s="20"/>
      <c r="I73" s="4"/>
      <c r="J73" s="20"/>
      <c r="K73" s="94">
        <f t="shared" si="1"/>
        <v>0</v>
      </c>
    </row>
    <row r="74" spans="1:11">
      <c r="A74" s="8">
        <v>72</v>
      </c>
      <c r="B74" s="1" t="s">
        <v>182</v>
      </c>
      <c r="C74" s="4" t="s">
        <v>183</v>
      </c>
      <c r="D74" s="4" t="s">
        <v>17</v>
      </c>
      <c r="E74" s="4"/>
      <c r="F74" s="20"/>
      <c r="G74" s="20"/>
      <c r="H74" s="20"/>
      <c r="I74" s="4"/>
      <c r="J74" s="20"/>
      <c r="K74" s="94">
        <f t="shared" si="1"/>
        <v>0</v>
      </c>
    </row>
    <row r="75" spans="1:11">
      <c r="A75" s="8">
        <v>73</v>
      </c>
      <c r="B75" s="1" t="s">
        <v>184</v>
      </c>
      <c r="C75" s="4" t="s">
        <v>185</v>
      </c>
      <c r="D75" s="4" t="s">
        <v>17</v>
      </c>
      <c r="E75" s="94">
        <v>297000</v>
      </c>
      <c r="F75" s="20"/>
      <c r="G75" s="20"/>
      <c r="H75" s="20"/>
      <c r="I75" s="4"/>
      <c r="J75" s="20"/>
      <c r="K75" s="94">
        <f t="shared" si="1"/>
        <v>297000</v>
      </c>
    </row>
    <row r="76" spans="1:11">
      <c r="A76" s="8">
        <v>74</v>
      </c>
      <c r="B76" s="42" t="s">
        <v>186</v>
      </c>
      <c r="C76" s="43" t="s">
        <v>187</v>
      </c>
      <c r="D76" s="4" t="s">
        <v>17</v>
      </c>
      <c r="E76" s="4"/>
      <c r="F76" s="20"/>
      <c r="G76" s="20"/>
      <c r="H76" s="20"/>
      <c r="I76" s="4"/>
      <c r="J76" s="20"/>
      <c r="K76" s="94">
        <f t="shared" si="1"/>
        <v>0</v>
      </c>
    </row>
    <row r="77" spans="1:11">
      <c r="A77" s="8">
        <v>75</v>
      </c>
      <c r="B77" s="1" t="s">
        <v>188</v>
      </c>
      <c r="C77" s="4" t="s">
        <v>413</v>
      </c>
      <c r="D77" s="4" t="s">
        <v>17</v>
      </c>
      <c r="E77" s="4"/>
      <c r="F77" s="174">
        <v>766300</v>
      </c>
      <c r="G77" s="20"/>
      <c r="H77" s="20"/>
      <c r="I77" s="4"/>
      <c r="J77" s="20"/>
      <c r="K77" s="94">
        <f t="shared" si="1"/>
        <v>766300</v>
      </c>
    </row>
    <row r="78" spans="1:11" ht="47.25">
      <c r="A78" s="8">
        <v>76</v>
      </c>
      <c r="B78" s="1" t="s">
        <v>189</v>
      </c>
      <c r="C78" s="4" t="s">
        <v>190</v>
      </c>
      <c r="D78" s="4" t="s">
        <v>17</v>
      </c>
      <c r="E78" s="4"/>
      <c r="F78" s="174">
        <v>586850</v>
      </c>
      <c r="G78" s="20"/>
      <c r="H78" s="20"/>
      <c r="I78" s="4"/>
      <c r="J78" s="20"/>
      <c r="K78" s="94">
        <f t="shared" si="1"/>
        <v>586850</v>
      </c>
    </row>
    <row r="79" spans="1:11" ht="31.5">
      <c r="A79" s="8">
        <v>77</v>
      </c>
      <c r="B79" s="1" t="s">
        <v>191</v>
      </c>
      <c r="C79" s="4" t="s">
        <v>185</v>
      </c>
      <c r="D79" s="4" t="s">
        <v>17</v>
      </c>
      <c r="E79" s="4"/>
      <c r="F79" s="20"/>
      <c r="G79" s="175">
        <v>611600</v>
      </c>
      <c r="H79" s="20"/>
      <c r="I79" s="4"/>
      <c r="J79" s="20"/>
      <c r="K79" s="94">
        <f t="shared" si="1"/>
        <v>611600</v>
      </c>
    </row>
    <row r="80" spans="1:11">
      <c r="A80" s="8">
        <v>78</v>
      </c>
      <c r="B80" s="1" t="s">
        <v>192</v>
      </c>
      <c r="C80" s="4" t="s">
        <v>193</v>
      </c>
      <c r="D80" s="4" t="s">
        <v>17</v>
      </c>
      <c r="E80" s="4"/>
      <c r="F80" s="20"/>
      <c r="G80" s="20"/>
      <c r="H80" s="20"/>
      <c r="I80" s="4">
        <v>950000</v>
      </c>
      <c r="J80" s="20"/>
      <c r="K80" s="94">
        <f t="shared" si="1"/>
        <v>950000</v>
      </c>
    </row>
    <row r="81" spans="1:11" ht="31.5">
      <c r="A81" s="8">
        <v>79</v>
      </c>
      <c r="B81" s="1" t="s">
        <v>194</v>
      </c>
      <c r="C81" s="4" t="s">
        <v>187</v>
      </c>
      <c r="D81" s="4" t="s">
        <v>17</v>
      </c>
      <c r="E81" s="4"/>
      <c r="F81" s="20"/>
      <c r="G81" s="20"/>
      <c r="H81" s="20"/>
      <c r="I81" s="4"/>
      <c r="J81" s="20"/>
      <c r="K81" s="94">
        <f t="shared" si="1"/>
        <v>0</v>
      </c>
    </row>
    <row r="82" spans="1:11">
      <c r="A82" s="8">
        <v>80</v>
      </c>
      <c r="B82" s="1" t="s">
        <v>195</v>
      </c>
      <c r="C82" s="4" t="s">
        <v>196</v>
      </c>
      <c r="D82" s="4" t="s">
        <v>17</v>
      </c>
      <c r="E82" s="4"/>
      <c r="F82" s="20"/>
      <c r="G82" s="20"/>
      <c r="H82" s="20"/>
      <c r="I82" s="4">
        <v>800000</v>
      </c>
      <c r="J82" s="20"/>
      <c r="K82" s="94">
        <f t="shared" si="1"/>
        <v>800000</v>
      </c>
    </row>
    <row r="83" spans="1:11">
      <c r="A83" s="8">
        <v>81</v>
      </c>
      <c r="B83" s="1" t="s">
        <v>197</v>
      </c>
      <c r="C83" s="4" t="s">
        <v>187</v>
      </c>
      <c r="D83" s="4" t="s">
        <v>17</v>
      </c>
      <c r="E83" s="4"/>
      <c r="F83" s="20"/>
      <c r="G83" s="20"/>
      <c r="H83" s="22"/>
      <c r="I83" s="4"/>
      <c r="J83" s="22">
        <v>1530000</v>
      </c>
      <c r="K83" s="94">
        <f t="shared" si="1"/>
        <v>1530000</v>
      </c>
    </row>
    <row r="84" spans="1:11">
      <c r="A84" s="8">
        <v>82</v>
      </c>
      <c r="B84" s="1" t="s">
        <v>198</v>
      </c>
      <c r="C84" s="4" t="s">
        <v>193</v>
      </c>
      <c r="D84" s="4" t="s">
        <v>17</v>
      </c>
      <c r="E84" s="4"/>
      <c r="F84" s="20"/>
      <c r="G84" s="20"/>
      <c r="H84" s="20"/>
      <c r="I84" s="4">
        <v>1160000</v>
      </c>
      <c r="J84" s="20"/>
      <c r="K84" s="94">
        <f t="shared" si="1"/>
        <v>1160000</v>
      </c>
    </row>
    <row r="85" spans="1:11" ht="31.5">
      <c r="A85" s="8">
        <v>83</v>
      </c>
      <c r="B85" s="1" t="s">
        <v>199</v>
      </c>
      <c r="C85" s="4" t="s">
        <v>185</v>
      </c>
      <c r="D85" s="4" t="s">
        <v>17</v>
      </c>
      <c r="E85" s="4"/>
      <c r="F85" s="174">
        <v>829350</v>
      </c>
      <c r="G85" s="20"/>
      <c r="H85" s="20"/>
      <c r="I85" s="4"/>
      <c r="J85" s="20"/>
      <c r="K85" s="94">
        <f t="shared" si="1"/>
        <v>829350</v>
      </c>
    </row>
    <row r="86" spans="1:11">
      <c r="A86" s="8">
        <v>84</v>
      </c>
      <c r="B86" s="1" t="s">
        <v>200</v>
      </c>
      <c r="C86" s="4" t="s">
        <v>201</v>
      </c>
      <c r="D86" s="4" t="s">
        <v>17</v>
      </c>
      <c r="E86" s="4"/>
      <c r="F86" s="20"/>
      <c r="G86" s="175">
        <v>751800</v>
      </c>
      <c r="H86" s="20"/>
      <c r="I86" s="4"/>
      <c r="J86" s="20"/>
      <c r="K86" s="94">
        <f t="shared" si="1"/>
        <v>751800</v>
      </c>
    </row>
    <row r="87" spans="1:11">
      <c r="A87" s="8">
        <v>85</v>
      </c>
      <c r="B87" s="1" t="s">
        <v>202</v>
      </c>
      <c r="C87" s="4" t="s">
        <v>203</v>
      </c>
      <c r="D87" s="4" t="s">
        <v>17</v>
      </c>
      <c r="E87" s="4"/>
      <c r="F87" s="20"/>
      <c r="G87" s="175">
        <v>468000</v>
      </c>
      <c r="H87" s="20"/>
      <c r="I87" s="4"/>
      <c r="J87" s="20"/>
      <c r="K87" s="94">
        <f t="shared" si="1"/>
        <v>468000</v>
      </c>
    </row>
    <row r="88" spans="1:11">
      <c r="A88" s="8">
        <v>86</v>
      </c>
      <c r="B88" s="1" t="s">
        <v>204</v>
      </c>
      <c r="C88" s="4" t="s">
        <v>205</v>
      </c>
      <c r="D88" s="4" t="s">
        <v>17</v>
      </c>
      <c r="E88" s="4"/>
      <c r="F88" s="20"/>
      <c r="G88" s="175">
        <v>774800</v>
      </c>
      <c r="H88" s="20"/>
      <c r="I88" s="4"/>
      <c r="J88" s="20"/>
      <c r="K88" s="94">
        <f t="shared" si="1"/>
        <v>774800</v>
      </c>
    </row>
    <row r="89" spans="1:11">
      <c r="A89" s="8">
        <v>87</v>
      </c>
      <c r="B89" s="1" t="s">
        <v>5</v>
      </c>
      <c r="C89" s="4" t="s">
        <v>36</v>
      </c>
      <c r="D89" s="4" t="s">
        <v>17</v>
      </c>
      <c r="E89" s="4"/>
      <c r="F89" s="20"/>
      <c r="G89" s="175">
        <v>936000</v>
      </c>
      <c r="H89" s="20"/>
      <c r="I89" s="4"/>
      <c r="J89" s="20"/>
      <c r="K89" s="94">
        <f t="shared" si="1"/>
        <v>936000</v>
      </c>
    </row>
    <row r="90" spans="1:11" ht="31.5">
      <c r="A90" s="8">
        <v>88</v>
      </c>
      <c r="B90" s="1" t="s">
        <v>206</v>
      </c>
      <c r="C90" s="4" t="s">
        <v>193</v>
      </c>
      <c r="D90" s="4" t="s">
        <v>17</v>
      </c>
      <c r="E90" s="4"/>
      <c r="F90" s="20"/>
      <c r="G90" s="20"/>
      <c r="H90" s="22"/>
      <c r="I90" s="4"/>
      <c r="J90" s="22">
        <v>1504500</v>
      </c>
      <c r="K90" s="94">
        <f t="shared" si="1"/>
        <v>1504500</v>
      </c>
    </row>
    <row r="91" spans="1:11" ht="31.5">
      <c r="A91" s="8">
        <v>89</v>
      </c>
      <c r="B91" s="1" t="s">
        <v>207</v>
      </c>
      <c r="C91" s="5" t="s">
        <v>36</v>
      </c>
      <c r="D91" s="4" t="s">
        <v>17</v>
      </c>
      <c r="E91" s="4"/>
      <c r="F91" s="20"/>
      <c r="G91" s="20"/>
      <c r="H91" s="20"/>
      <c r="I91" s="4"/>
      <c r="J91" s="20"/>
      <c r="K91" s="94">
        <f t="shared" si="1"/>
        <v>0</v>
      </c>
    </row>
    <row r="92" spans="1:11">
      <c r="A92" s="8">
        <v>90</v>
      </c>
      <c r="B92" s="44" t="s">
        <v>208</v>
      </c>
      <c r="C92" s="45" t="s">
        <v>209</v>
      </c>
      <c r="D92" s="4" t="s">
        <v>17</v>
      </c>
      <c r="E92" s="4"/>
      <c r="F92" s="20"/>
      <c r="G92" s="20"/>
      <c r="H92" s="20"/>
      <c r="I92" s="4">
        <v>1200000</v>
      </c>
      <c r="J92" s="20"/>
      <c r="K92" s="94">
        <f t="shared" si="1"/>
        <v>1200000</v>
      </c>
    </row>
    <row r="93" spans="1:11" ht="31.5">
      <c r="A93" s="8">
        <v>91</v>
      </c>
      <c r="B93" s="1" t="s">
        <v>210</v>
      </c>
      <c r="C93" s="4" t="s">
        <v>211</v>
      </c>
      <c r="D93" s="4" t="s">
        <v>17</v>
      </c>
      <c r="E93" s="4"/>
      <c r="F93" s="20"/>
      <c r="G93" s="175">
        <v>920400</v>
      </c>
      <c r="H93" s="20"/>
      <c r="I93" s="4"/>
      <c r="J93" s="20"/>
      <c r="K93" s="94">
        <f t="shared" si="1"/>
        <v>920400</v>
      </c>
    </row>
    <row r="94" spans="1:11" ht="31.5">
      <c r="A94" s="8">
        <v>92</v>
      </c>
      <c r="B94" s="1" t="s">
        <v>212</v>
      </c>
      <c r="C94" s="4" t="s">
        <v>213</v>
      </c>
      <c r="D94" s="4" t="s">
        <v>17</v>
      </c>
      <c r="E94" s="4"/>
      <c r="F94" s="20"/>
      <c r="G94" s="175">
        <v>743600</v>
      </c>
      <c r="H94" s="20"/>
      <c r="I94" s="4"/>
      <c r="J94" s="20"/>
      <c r="K94" s="94">
        <f t="shared" si="1"/>
        <v>743600</v>
      </c>
    </row>
    <row r="95" spans="1:11" ht="31.5">
      <c r="A95" s="8">
        <v>93</v>
      </c>
      <c r="B95" s="1" t="s">
        <v>214</v>
      </c>
      <c r="C95" s="4" t="s">
        <v>187</v>
      </c>
      <c r="D95" s="4" t="s">
        <v>17</v>
      </c>
      <c r="E95" s="4"/>
      <c r="F95" s="174">
        <v>698400</v>
      </c>
      <c r="G95" s="20"/>
      <c r="H95" s="23"/>
      <c r="I95" s="4"/>
      <c r="J95" s="23"/>
      <c r="K95" s="94">
        <f t="shared" si="1"/>
        <v>698400</v>
      </c>
    </row>
    <row r="96" spans="1:11">
      <c r="A96" s="8">
        <v>94</v>
      </c>
      <c r="B96" s="1" t="s">
        <v>215</v>
      </c>
      <c r="C96" s="4" t="s">
        <v>209</v>
      </c>
      <c r="D96" s="4" t="s">
        <v>17</v>
      </c>
      <c r="E96" s="4"/>
      <c r="F96" s="20"/>
      <c r="G96" s="20"/>
      <c r="H96" s="4">
        <v>399000</v>
      </c>
      <c r="I96" s="4"/>
      <c r="J96" s="4"/>
      <c r="K96" s="94">
        <f t="shared" si="1"/>
        <v>399000</v>
      </c>
    </row>
    <row r="97" spans="1:11" ht="47.25">
      <c r="A97" s="8">
        <v>95</v>
      </c>
      <c r="B97" s="1" t="s">
        <v>217</v>
      </c>
      <c r="C97" s="4" t="s">
        <v>211</v>
      </c>
      <c r="D97" s="4" t="s">
        <v>17</v>
      </c>
      <c r="E97" s="94">
        <v>368500</v>
      </c>
      <c r="F97" s="20"/>
      <c r="G97" s="20"/>
      <c r="H97" s="20"/>
      <c r="I97" s="4"/>
      <c r="J97" s="20"/>
      <c r="K97" s="94">
        <f t="shared" si="1"/>
        <v>368500</v>
      </c>
    </row>
    <row r="98" spans="1:11">
      <c r="A98" s="8">
        <v>96</v>
      </c>
      <c r="B98" s="1" t="s">
        <v>218</v>
      </c>
      <c r="C98" s="4" t="s">
        <v>193</v>
      </c>
      <c r="D98" s="4" t="s">
        <v>17</v>
      </c>
      <c r="E98" s="4"/>
      <c r="F98" s="20"/>
      <c r="G98" s="20"/>
      <c r="H98" s="20"/>
      <c r="I98" s="4"/>
      <c r="J98" s="20"/>
      <c r="K98" s="94">
        <f t="shared" si="1"/>
        <v>0</v>
      </c>
    </row>
    <row r="99" spans="1:11">
      <c r="A99" s="8">
        <v>97</v>
      </c>
      <c r="B99" s="1" t="s">
        <v>219</v>
      </c>
      <c r="C99" s="4" t="s">
        <v>185</v>
      </c>
      <c r="D99" s="4" t="s">
        <v>17</v>
      </c>
      <c r="E99" s="4"/>
      <c r="F99" s="20"/>
      <c r="G99" s="20"/>
      <c r="H99" s="20"/>
      <c r="I99" s="4"/>
      <c r="J99" s="20"/>
      <c r="K99" s="94">
        <f t="shared" si="1"/>
        <v>0</v>
      </c>
    </row>
    <row r="100" spans="1:11">
      <c r="A100" s="8">
        <v>98</v>
      </c>
      <c r="B100" s="1" t="s">
        <v>428</v>
      </c>
      <c r="C100" s="4" t="s">
        <v>187</v>
      </c>
      <c r="D100" s="4" t="s">
        <v>17</v>
      </c>
      <c r="E100" s="4"/>
      <c r="F100" s="20"/>
      <c r="G100" s="175"/>
      <c r="H100" s="20"/>
      <c r="I100" s="4"/>
      <c r="J100" s="20"/>
      <c r="K100" s="94">
        <f t="shared" si="1"/>
        <v>0</v>
      </c>
    </row>
    <row r="101" spans="1:11">
      <c r="A101" s="8">
        <v>99</v>
      </c>
      <c r="B101" s="1" t="s">
        <v>221</v>
      </c>
      <c r="C101" s="4" t="s">
        <v>222</v>
      </c>
      <c r="D101" s="4" t="s">
        <v>17</v>
      </c>
      <c r="E101" s="4"/>
      <c r="F101" s="20"/>
      <c r="G101" s="175">
        <v>936000</v>
      </c>
      <c r="H101" s="20"/>
      <c r="I101" s="4"/>
      <c r="J101" s="20"/>
      <c r="K101" s="94">
        <f t="shared" si="1"/>
        <v>936000</v>
      </c>
    </row>
    <row r="102" spans="1:11" ht="31.5">
      <c r="A102" s="8">
        <v>100</v>
      </c>
      <c r="B102" s="1" t="s">
        <v>223</v>
      </c>
      <c r="C102" s="4" t="s">
        <v>224</v>
      </c>
      <c r="D102" s="4" t="s">
        <v>17</v>
      </c>
      <c r="E102" s="4"/>
      <c r="F102" s="20"/>
      <c r="G102" s="20"/>
      <c r="H102" s="20"/>
      <c r="I102" s="4"/>
      <c r="J102" s="20"/>
      <c r="K102" s="94">
        <f t="shared" si="1"/>
        <v>0</v>
      </c>
    </row>
    <row r="103" spans="1:11" ht="31.5">
      <c r="A103" s="8">
        <v>101</v>
      </c>
      <c r="B103" s="1" t="s">
        <v>227</v>
      </c>
      <c r="C103" s="5" t="s">
        <v>228</v>
      </c>
      <c r="D103" s="4" t="s">
        <v>226</v>
      </c>
      <c r="E103" s="4"/>
      <c r="F103" s="20"/>
      <c r="G103" s="20"/>
      <c r="H103" s="22"/>
      <c r="I103" s="4"/>
      <c r="J103" s="22"/>
      <c r="K103" s="94">
        <f t="shared" si="1"/>
        <v>0</v>
      </c>
    </row>
    <row r="104" spans="1:11" ht="47.25">
      <c r="A104" s="8">
        <v>102</v>
      </c>
      <c r="B104" s="1" t="s">
        <v>229</v>
      </c>
      <c r="C104" s="4" t="s">
        <v>230</v>
      </c>
      <c r="D104" s="4" t="s">
        <v>226</v>
      </c>
      <c r="E104" s="4"/>
      <c r="F104" s="20"/>
      <c r="G104" s="20"/>
      <c r="H104" s="20"/>
      <c r="I104" s="4">
        <v>270000</v>
      </c>
      <c r="J104" s="20"/>
      <c r="K104" s="94">
        <f t="shared" si="1"/>
        <v>270000</v>
      </c>
    </row>
    <row r="105" spans="1:11" ht="31.5">
      <c r="A105" s="8">
        <v>103</v>
      </c>
      <c r="B105" s="1" t="s">
        <v>231</v>
      </c>
      <c r="C105" s="5" t="s">
        <v>414</v>
      </c>
      <c r="D105" s="4" t="s">
        <v>226</v>
      </c>
      <c r="E105" s="4"/>
      <c r="F105" s="174">
        <v>252200</v>
      </c>
      <c r="G105" s="20"/>
      <c r="H105" s="20"/>
      <c r="I105" s="4"/>
      <c r="J105" s="20"/>
      <c r="K105" s="94">
        <f t="shared" si="1"/>
        <v>252200</v>
      </c>
    </row>
    <row r="106" spans="1:11" ht="31.5">
      <c r="A106" s="8">
        <v>104</v>
      </c>
      <c r="B106" s="1" t="s">
        <v>232</v>
      </c>
      <c r="C106" s="4" t="s">
        <v>233</v>
      </c>
      <c r="D106" s="4" t="s">
        <v>226</v>
      </c>
      <c r="E106" s="4"/>
      <c r="F106" s="20"/>
      <c r="G106" s="20"/>
      <c r="H106" s="20"/>
      <c r="I106" s="4"/>
      <c r="J106" s="20"/>
      <c r="K106" s="94">
        <f t="shared" si="1"/>
        <v>0</v>
      </c>
    </row>
    <row r="107" spans="1:11">
      <c r="A107" s="8">
        <v>105</v>
      </c>
      <c r="B107" s="1" t="s">
        <v>236</v>
      </c>
      <c r="C107" s="4" t="s">
        <v>237</v>
      </c>
      <c r="D107" s="4" t="s">
        <v>235</v>
      </c>
      <c r="E107" s="4"/>
      <c r="F107" s="20"/>
      <c r="G107" s="20"/>
      <c r="H107" s="20"/>
      <c r="I107" s="4"/>
      <c r="J107" s="20"/>
      <c r="K107" s="94">
        <f t="shared" si="1"/>
        <v>0</v>
      </c>
    </row>
    <row r="108" spans="1:11">
      <c r="A108" s="8">
        <v>106</v>
      </c>
      <c r="B108" s="1" t="s">
        <v>470</v>
      </c>
      <c r="C108" s="4" t="s">
        <v>239</v>
      </c>
      <c r="D108" s="4" t="s">
        <v>235</v>
      </c>
      <c r="E108" s="94">
        <v>407000</v>
      </c>
      <c r="F108" s="20"/>
      <c r="G108" s="20"/>
      <c r="H108" s="20"/>
      <c r="I108" s="4"/>
      <c r="J108" s="20"/>
      <c r="K108" s="94">
        <f t="shared" si="1"/>
        <v>407000</v>
      </c>
    </row>
    <row r="109" spans="1:11" ht="31.5">
      <c r="A109" s="8">
        <v>107</v>
      </c>
      <c r="B109" s="40" t="s">
        <v>459</v>
      </c>
      <c r="C109" s="40" t="s">
        <v>460</v>
      </c>
      <c r="D109" s="118" t="s">
        <v>235</v>
      </c>
      <c r="E109" s="94">
        <v>594000</v>
      </c>
      <c r="F109" s="20"/>
      <c r="G109" s="20"/>
      <c r="H109" s="20"/>
      <c r="I109" s="4"/>
      <c r="J109" s="20"/>
      <c r="K109" s="94">
        <f t="shared" si="1"/>
        <v>594000</v>
      </c>
    </row>
    <row r="110" spans="1:11">
      <c r="A110" s="8">
        <v>108</v>
      </c>
      <c r="B110" s="100" t="s">
        <v>444</v>
      </c>
      <c r="C110" s="101" t="s">
        <v>445</v>
      </c>
      <c r="D110" s="101" t="s">
        <v>442</v>
      </c>
      <c r="E110" s="94">
        <v>413000</v>
      </c>
      <c r="F110" s="20"/>
      <c r="G110" s="20"/>
      <c r="H110" s="20"/>
      <c r="I110" s="4"/>
      <c r="J110" s="20"/>
      <c r="K110" s="94">
        <f t="shared" si="1"/>
        <v>413000</v>
      </c>
    </row>
    <row r="111" spans="1:11">
      <c r="A111" s="8">
        <v>109</v>
      </c>
      <c r="B111" s="1" t="s">
        <v>10</v>
      </c>
      <c r="C111" s="4" t="s">
        <v>43</v>
      </c>
      <c r="D111" s="4" t="s">
        <v>44</v>
      </c>
      <c r="E111" s="4"/>
      <c r="F111" s="20"/>
      <c r="G111" s="20"/>
      <c r="H111" s="20"/>
      <c r="I111" s="4"/>
      <c r="J111" s="20"/>
      <c r="K111" s="94">
        <f t="shared" si="1"/>
        <v>0</v>
      </c>
    </row>
    <row r="112" spans="1:11" ht="47.25">
      <c r="A112" s="8">
        <v>110</v>
      </c>
      <c r="B112" s="1" t="s">
        <v>242</v>
      </c>
      <c r="C112" s="4" t="s">
        <v>243</v>
      </c>
      <c r="D112" s="4" t="s">
        <v>61</v>
      </c>
      <c r="E112" s="4"/>
      <c r="F112" s="20"/>
      <c r="G112" s="20"/>
      <c r="H112" s="20"/>
      <c r="I112" s="4"/>
      <c r="J112" s="20"/>
      <c r="K112" s="94">
        <f t="shared" si="1"/>
        <v>0</v>
      </c>
    </row>
    <row r="113" spans="1:11">
      <c r="A113" s="8">
        <v>111</v>
      </c>
      <c r="B113" s="1" t="s">
        <v>245</v>
      </c>
      <c r="C113" s="4" t="s">
        <v>246</v>
      </c>
      <c r="D113" s="4" t="s">
        <v>61</v>
      </c>
      <c r="E113" s="4"/>
      <c r="F113" s="20"/>
      <c r="G113" s="20"/>
      <c r="H113" s="22"/>
      <c r="I113" s="4"/>
      <c r="J113" s="22">
        <v>1530000</v>
      </c>
      <c r="K113" s="94">
        <f t="shared" si="1"/>
        <v>1530000</v>
      </c>
    </row>
    <row r="114" spans="1:11">
      <c r="A114" s="8">
        <v>112</v>
      </c>
      <c r="B114" s="1" t="s">
        <v>247</v>
      </c>
      <c r="C114" s="5" t="s">
        <v>262</v>
      </c>
      <c r="D114" s="4" t="s">
        <v>61</v>
      </c>
      <c r="E114" s="4"/>
      <c r="F114" s="174">
        <v>853600</v>
      </c>
      <c r="G114" s="20"/>
      <c r="H114" s="20"/>
      <c r="I114" s="4"/>
      <c r="J114" s="20"/>
      <c r="K114" s="94">
        <f t="shared" ref="K114:K171" si="2">SUM(E114:J114)</f>
        <v>853600</v>
      </c>
    </row>
    <row r="115" spans="1:11" ht="31.5">
      <c r="A115" s="8">
        <v>113</v>
      </c>
      <c r="B115" s="1" t="s">
        <v>248</v>
      </c>
      <c r="C115" s="46" t="s">
        <v>249</v>
      </c>
      <c r="D115" s="4" t="s">
        <v>61</v>
      </c>
      <c r="E115" s="4"/>
      <c r="F115" s="20"/>
      <c r="G115" s="20"/>
      <c r="H115" s="22"/>
      <c r="I115" s="4"/>
      <c r="J115" s="22">
        <v>1275000</v>
      </c>
      <c r="K115" s="94">
        <f t="shared" si="2"/>
        <v>1275000</v>
      </c>
    </row>
    <row r="116" spans="1:11" ht="31.5">
      <c r="A116" s="8">
        <v>114</v>
      </c>
      <c r="B116" s="1" t="s">
        <v>250</v>
      </c>
      <c r="C116" s="4" t="s">
        <v>251</v>
      </c>
      <c r="D116" s="4" t="s">
        <v>61</v>
      </c>
      <c r="E116" s="4"/>
      <c r="F116" s="20"/>
      <c r="G116" s="20"/>
      <c r="H116" s="20"/>
      <c r="I116" s="4">
        <v>1000000</v>
      </c>
      <c r="J116" s="20"/>
      <c r="K116" s="94">
        <f t="shared" si="2"/>
        <v>1000000</v>
      </c>
    </row>
    <row r="117" spans="1:11" ht="47.25">
      <c r="A117" s="8">
        <v>115</v>
      </c>
      <c r="B117" s="1" t="s">
        <v>252</v>
      </c>
      <c r="C117" s="4" t="s">
        <v>253</v>
      </c>
      <c r="D117" s="4" t="s">
        <v>61</v>
      </c>
      <c r="E117" s="4"/>
      <c r="F117" s="20"/>
      <c r="G117" s="20"/>
      <c r="H117" s="20"/>
      <c r="I117" s="4"/>
      <c r="J117" s="20"/>
      <c r="K117" s="94">
        <f t="shared" si="2"/>
        <v>0</v>
      </c>
    </row>
    <row r="118" spans="1:11" ht="31.5">
      <c r="A118" s="8">
        <v>116</v>
      </c>
      <c r="B118" s="1" t="s">
        <v>2</v>
      </c>
      <c r="C118" s="43" t="s">
        <v>243</v>
      </c>
      <c r="D118" s="4" t="s">
        <v>61</v>
      </c>
      <c r="E118" s="4"/>
      <c r="F118" s="20"/>
      <c r="G118" s="20"/>
      <c r="H118" s="20"/>
      <c r="I118" s="4"/>
      <c r="J118" s="20"/>
      <c r="K118" s="94">
        <f t="shared" si="2"/>
        <v>0</v>
      </c>
    </row>
    <row r="119" spans="1:11">
      <c r="A119" s="8">
        <v>117</v>
      </c>
      <c r="B119" s="1" t="s">
        <v>254</v>
      </c>
      <c r="C119" s="41" t="s">
        <v>255</v>
      </c>
      <c r="D119" s="4" t="s">
        <v>61</v>
      </c>
      <c r="E119" s="4"/>
      <c r="F119" s="20"/>
      <c r="G119" s="20"/>
      <c r="H119" s="22"/>
      <c r="I119" s="4"/>
      <c r="J119" s="22">
        <v>765000</v>
      </c>
      <c r="K119" s="94">
        <f t="shared" si="2"/>
        <v>765000</v>
      </c>
    </row>
    <row r="120" spans="1:11">
      <c r="A120" s="8">
        <v>118</v>
      </c>
      <c r="B120" s="1" t="s">
        <v>474</v>
      </c>
      <c r="C120" s="41"/>
      <c r="D120" s="4" t="s">
        <v>61</v>
      </c>
      <c r="E120" s="4"/>
      <c r="F120" s="20"/>
      <c r="G120" s="20"/>
      <c r="H120" s="22"/>
      <c r="I120" s="4"/>
      <c r="J120" s="22"/>
      <c r="K120" s="94">
        <f t="shared" si="2"/>
        <v>0</v>
      </c>
    </row>
    <row r="121" spans="1:11" ht="31.5">
      <c r="A121" s="8">
        <v>119</v>
      </c>
      <c r="B121" s="1" t="s">
        <v>256</v>
      </c>
      <c r="C121" s="4" t="s">
        <v>257</v>
      </c>
      <c r="D121" s="4" t="s">
        <v>61</v>
      </c>
      <c r="E121" s="4"/>
      <c r="F121" s="20"/>
      <c r="G121" s="20"/>
      <c r="H121" s="20"/>
      <c r="I121" s="4"/>
      <c r="J121" s="20"/>
      <c r="K121" s="94">
        <f t="shared" si="2"/>
        <v>0</v>
      </c>
    </row>
    <row r="122" spans="1:11" ht="31.5">
      <c r="A122" s="8">
        <v>120</v>
      </c>
      <c r="B122" s="1" t="s">
        <v>259</v>
      </c>
      <c r="C122" s="4" t="s">
        <v>260</v>
      </c>
      <c r="D122" s="4" t="s">
        <v>61</v>
      </c>
      <c r="E122" s="4"/>
      <c r="F122" s="20"/>
      <c r="G122" s="175">
        <v>936000</v>
      </c>
      <c r="H122" s="20"/>
      <c r="I122" s="4"/>
      <c r="J122" s="20"/>
      <c r="K122" s="94">
        <f t="shared" si="2"/>
        <v>936000</v>
      </c>
    </row>
    <row r="123" spans="1:11" ht="31.5">
      <c r="A123" s="8">
        <v>121</v>
      </c>
      <c r="B123" s="1" t="s">
        <v>259</v>
      </c>
      <c r="C123" s="4" t="s">
        <v>246</v>
      </c>
      <c r="D123" s="4" t="s">
        <v>61</v>
      </c>
      <c r="E123" s="4"/>
      <c r="F123" s="20"/>
      <c r="G123" s="20"/>
      <c r="H123" s="20"/>
      <c r="I123" s="4"/>
      <c r="J123" s="20"/>
      <c r="K123" s="94">
        <f t="shared" si="2"/>
        <v>0</v>
      </c>
    </row>
    <row r="124" spans="1:11">
      <c r="A124" s="8">
        <v>122</v>
      </c>
      <c r="B124" s="42" t="s">
        <v>261</v>
      </c>
      <c r="C124" s="43" t="s">
        <v>262</v>
      </c>
      <c r="D124" s="4" t="s">
        <v>61</v>
      </c>
      <c r="E124" s="4"/>
      <c r="F124" s="20"/>
      <c r="G124" s="20"/>
      <c r="H124" s="4">
        <v>840000</v>
      </c>
      <c r="I124" s="4"/>
      <c r="J124" s="4"/>
      <c r="K124" s="94">
        <f t="shared" si="2"/>
        <v>840000</v>
      </c>
    </row>
    <row r="125" spans="1:11">
      <c r="A125" s="8">
        <v>123</v>
      </c>
      <c r="B125" s="44" t="s">
        <v>263</v>
      </c>
      <c r="C125" s="45" t="s">
        <v>264</v>
      </c>
      <c r="D125" s="4" t="s">
        <v>61</v>
      </c>
      <c r="E125" s="4"/>
      <c r="F125" s="20"/>
      <c r="G125" s="20"/>
      <c r="H125" s="20"/>
      <c r="I125" s="4">
        <v>800000</v>
      </c>
      <c r="J125" s="20"/>
      <c r="K125" s="94">
        <f t="shared" si="2"/>
        <v>800000</v>
      </c>
    </row>
    <row r="126" spans="1:11">
      <c r="A126" s="8">
        <v>124</v>
      </c>
      <c r="B126" s="40" t="s">
        <v>265</v>
      </c>
      <c r="C126" s="47" t="s">
        <v>266</v>
      </c>
      <c r="D126" s="4" t="s">
        <v>61</v>
      </c>
      <c r="E126" s="4"/>
      <c r="F126" s="20"/>
      <c r="G126" s="20"/>
      <c r="H126" s="20"/>
      <c r="I126" s="4">
        <v>800000</v>
      </c>
      <c r="J126" s="20"/>
      <c r="K126" s="94">
        <f t="shared" si="2"/>
        <v>800000</v>
      </c>
    </row>
    <row r="127" spans="1:11" ht="31.5">
      <c r="A127" s="8">
        <v>125</v>
      </c>
      <c r="B127" s="1" t="s">
        <v>267</v>
      </c>
      <c r="C127" s="4" t="s">
        <v>268</v>
      </c>
      <c r="D127" s="4" t="s">
        <v>61</v>
      </c>
      <c r="E127" s="4"/>
      <c r="F127" s="20"/>
      <c r="G127" s="20"/>
      <c r="H127" s="20"/>
      <c r="I127" s="4"/>
      <c r="J127" s="20"/>
      <c r="K127" s="94">
        <f t="shared" si="2"/>
        <v>0</v>
      </c>
    </row>
    <row r="128" spans="1:11">
      <c r="A128" s="8">
        <v>126</v>
      </c>
      <c r="B128" s="1" t="s">
        <v>1</v>
      </c>
      <c r="C128" s="5" t="s">
        <v>415</v>
      </c>
      <c r="D128" s="4" t="s">
        <v>38</v>
      </c>
      <c r="E128" s="4"/>
      <c r="F128" s="174">
        <v>463600</v>
      </c>
      <c r="G128" s="20"/>
      <c r="H128" s="20"/>
      <c r="I128" s="4"/>
      <c r="J128" s="20"/>
      <c r="K128" s="94">
        <f t="shared" si="2"/>
        <v>463600</v>
      </c>
    </row>
    <row r="129" spans="1:11">
      <c r="A129" s="8">
        <v>127</v>
      </c>
      <c r="B129" s="1" t="s">
        <v>6</v>
      </c>
      <c r="C129" s="4" t="s">
        <v>37</v>
      </c>
      <c r="D129" s="4" t="s">
        <v>38</v>
      </c>
      <c r="E129" s="4"/>
      <c r="F129" s="20"/>
      <c r="G129" s="20"/>
      <c r="H129" s="20"/>
      <c r="I129" s="4"/>
      <c r="J129" s="20"/>
      <c r="K129" s="94">
        <f t="shared" si="2"/>
        <v>0</v>
      </c>
    </row>
    <row r="130" spans="1:11" ht="31.5">
      <c r="A130" s="8">
        <v>128</v>
      </c>
      <c r="B130" s="44" t="s">
        <v>272</v>
      </c>
      <c r="C130" s="45" t="s">
        <v>271</v>
      </c>
      <c r="D130" s="45" t="s">
        <v>273</v>
      </c>
      <c r="E130" s="4"/>
      <c r="F130" s="20"/>
      <c r="G130" s="20"/>
      <c r="H130" s="20"/>
      <c r="I130" s="4">
        <v>1080000</v>
      </c>
      <c r="J130" s="20"/>
      <c r="K130" s="94">
        <f t="shared" si="2"/>
        <v>1080000</v>
      </c>
    </row>
    <row r="131" spans="1:11">
      <c r="A131" s="8">
        <v>129</v>
      </c>
      <c r="B131" s="1" t="s">
        <v>276</v>
      </c>
      <c r="C131" s="4" t="s">
        <v>277</v>
      </c>
      <c r="D131" s="4" t="s">
        <v>275</v>
      </c>
      <c r="E131" s="4"/>
      <c r="F131" s="20"/>
      <c r="G131" s="20"/>
      <c r="H131" s="32">
        <v>210000</v>
      </c>
      <c r="I131" s="4"/>
      <c r="J131" s="32"/>
      <c r="K131" s="94">
        <f t="shared" si="2"/>
        <v>210000</v>
      </c>
    </row>
    <row r="132" spans="1:11" ht="31.5">
      <c r="A132" s="8">
        <v>130</v>
      </c>
      <c r="B132" s="40" t="s">
        <v>278</v>
      </c>
      <c r="C132" s="41" t="s">
        <v>279</v>
      </c>
      <c r="D132" s="4" t="s">
        <v>275</v>
      </c>
      <c r="E132" s="4"/>
      <c r="F132" s="20"/>
      <c r="G132" s="20"/>
      <c r="H132" s="20"/>
      <c r="I132" s="4">
        <v>550000</v>
      </c>
      <c r="J132" s="20"/>
      <c r="K132" s="94">
        <f t="shared" si="2"/>
        <v>550000</v>
      </c>
    </row>
    <row r="133" spans="1:11">
      <c r="A133" s="8">
        <v>131</v>
      </c>
      <c r="B133" s="1" t="s">
        <v>280</v>
      </c>
      <c r="C133" s="41" t="s">
        <v>416</v>
      </c>
      <c r="D133" s="4" t="s">
        <v>275</v>
      </c>
      <c r="E133" s="4"/>
      <c r="F133" s="20"/>
      <c r="G133" s="20"/>
      <c r="H133" s="20"/>
      <c r="I133" s="4"/>
      <c r="J133" s="20"/>
      <c r="K133" s="94">
        <f t="shared" si="2"/>
        <v>0</v>
      </c>
    </row>
    <row r="134" spans="1:11">
      <c r="A134" s="8">
        <v>132</v>
      </c>
      <c r="B134" s="1" t="s">
        <v>281</v>
      </c>
      <c r="C134" s="4" t="s">
        <v>282</v>
      </c>
      <c r="D134" s="4" t="s">
        <v>275</v>
      </c>
      <c r="E134" s="4"/>
      <c r="F134" s="20"/>
      <c r="G134" s="20"/>
      <c r="H134" s="20"/>
      <c r="I134" s="4"/>
      <c r="J134" s="20"/>
      <c r="K134" s="94">
        <f t="shared" si="2"/>
        <v>0</v>
      </c>
    </row>
    <row r="135" spans="1:11" ht="31.5">
      <c r="A135" s="8">
        <v>133</v>
      </c>
      <c r="B135" s="1" t="s">
        <v>283</v>
      </c>
      <c r="C135" s="4" t="s">
        <v>284</v>
      </c>
      <c r="D135" s="4" t="s">
        <v>275</v>
      </c>
      <c r="E135" s="94">
        <v>401500</v>
      </c>
      <c r="F135" s="20"/>
      <c r="G135" s="20"/>
      <c r="H135" s="20"/>
      <c r="I135" s="4"/>
      <c r="J135" s="20"/>
      <c r="K135" s="94">
        <f t="shared" si="2"/>
        <v>401500</v>
      </c>
    </row>
    <row r="136" spans="1:11" ht="31.5">
      <c r="A136" s="8">
        <v>134</v>
      </c>
      <c r="B136" s="55" t="s">
        <v>288</v>
      </c>
      <c r="C136" s="56" t="s">
        <v>289</v>
      </c>
      <c r="D136" s="56" t="s">
        <v>21</v>
      </c>
      <c r="E136" s="94">
        <v>511500</v>
      </c>
      <c r="F136" s="20"/>
      <c r="G136" s="20"/>
      <c r="H136" s="57"/>
      <c r="I136" s="4"/>
      <c r="J136" s="57"/>
      <c r="K136" s="94">
        <f t="shared" si="2"/>
        <v>511500</v>
      </c>
    </row>
    <row r="137" spans="1:11" ht="31.5">
      <c r="A137" s="8">
        <v>135</v>
      </c>
      <c r="B137" s="1" t="s">
        <v>290</v>
      </c>
      <c r="C137" s="91" t="s">
        <v>417</v>
      </c>
      <c r="D137" s="4" t="s">
        <v>21</v>
      </c>
      <c r="E137" s="4"/>
      <c r="F137" s="174">
        <v>773700</v>
      </c>
      <c r="G137" s="20"/>
      <c r="H137" s="20"/>
      <c r="I137" s="4"/>
      <c r="J137" s="20"/>
      <c r="K137" s="94">
        <f t="shared" si="2"/>
        <v>773700</v>
      </c>
    </row>
    <row r="138" spans="1:11" ht="47.25">
      <c r="A138" s="8">
        <v>136</v>
      </c>
      <c r="B138" s="42" t="s">
        <v>291</v>
      </c>
      <c r="C138" s="43" t="s">
        <v>292</v>
      </c>
      <c r="D138" s="4" t="s">
        <v>21</v>
      </c>
      <c r="E138" s="4"/>
      <c r="F138" s="20"/>
      <c r="G138" s="20"/>
      <c r="H138" s="4">
        <v>1421000</v>
      </c>
      <c r="I138" s="4"/>
      <c r="J138" s="4"/>
      <c r="K138" s="94">
        <f t="shared" si="2"/>
        <v>1421000</v>
      </c>
    </row>
    <row r="139" spans="1:11" ht="30">
      <c r="A139" s="8">
        <v>137</v>
      </c>
      <c r="B139" s="2" t="s">
        <v>15</v>
      </c>
      <c r="C139" s="13" t="s">
        <v>41</v>
      </c>
      <c r="D139" s="4" t="s">
        <v>21</v>
      </c>
      <c r="E139" s="4"/>
      <c r="F139" s="20"/>
      <c r="G139" s="20"/>
      <c r="H139" s="20"/>
      <c r="I139" s="4"/>
      <c r="J139" s="20"/>
      <c r="K139" s="94">
        <f t="shared" si="2"/>
        <v>0</v>
      </c>
    </row>
    <row r="140" spans="1:11" ht="31.5">
      <c r="A140" s="8">
        <v>138</v>
      </c>
      <c r="B140" s="1" t="s">
        <v>294</v>
      </c>
      <c r="C140" s="91" t="s">
        <v>419</v>
      </c>
      <c r="D140" s="4" t="s">
        <v>21</v>
      </c>
      <c r="E140" s="4"/>
      <c r="F140" s="174">
        <v>722650</v>
      </c>
      <c r="G140" s="20"/>
      <c r="H140" s="20"/>
      <c r="I140" s="4"/>
      <c r="J140" s="20"/>
      <c r="K140" s="94">
        <f t="shared" si="2"/>
        <v>722650</v>
      </c>
    </row>
    <row r="141" spans="1:11" ht="31.5">
      <c r="A141" s="8">
        <v>139</v>
      </c>
      <c r="B141" s="40" t="s">
        <v>295</v>
      </c>
      <c r="C141" s="41" t="s">
        <v>296</v>
      </c>
      <c r="D141" s="4" t="s">
        <v>21</v>
      </c>
      <c r="E141" s="4"/>
      <c r="F141" s="20"/>
      <c r="G141" s="20"/>
      <c r="H141" s="32"/>
      <c r="I141" s="4"/>
      <c r="J141" s="32">
        <v>1513000</v>
      </c>
      <c r="K141" s="94">
        <f t="shared" si="2"/>
        <v>1513000</v>
      </c>
    </row>
    <row r="142" spans="1:11" ht="37.5">
      <c r="A142" s="8">
        <v>140</v>
      </c>
      <c r="B142" s="1" t="s">
        <v>297</v>
      </c>
      <c r="C142" s="91" t="s">
        <v>418</v>
      </c>
      <c r="D142" s="4" t="s">
        <v>21</v>
      </c>
      <c r="E142" s="4"/>
      <c r="F142" s="20"/>
      <c r="G142" s="20"/>
      <c r="H142" s="20"/>
      <c r="I142" s="4"/>
      <c r="J142" s="20"/>
      <c r="K142" s="94">
        <f t="shared" si="2"/>
        <v>0</v>
      </c>
    </row>
    <row r="143" spans="1:11" ht="31.5">
      <c r="A143" s="8">
        <v>141</v>
      </c>
      <c r="B143" s="42" t="s">
        <v>298</v>
      </c>
      <c r="C143" s="43" t="s">
        <v>299</v>
      </c>
      <c r="D143" s="4" t="s">
        <v>21</v>
      </c>
      <c r="E143" s="4"/>
      <c r="F143" s="20"/>
      <c r="G143" s="20"/>
      <c r="H143" s="4">
        <v>581000</v>
      </c>
      <c r="I143" s="4"/>
      <c r="J143" s="4"/>
      <c r="K143" s="94">
        <f t="shared" si="2"/>
        <v>581000</v>
      </c>
    </row>
    <row r="144" spans="1:11">
      <c r="A144" s="8">
        <v>142</v>
      </c>
      <c r="B144" s="40" t="s">
        <v>4</v>
      </c>
      <c r="C144" s="41" t="s">
        <v>420</v>
      </c>
      <c r="D144" s="4" t="s">
        <v>32</v>
      </c>
      <c r="E144" s="4"/>
      <c r="F144" s="20"/>
      <c r="G144" s="20"/>
      <c r="H144" s="20"/>
      <c r="I144" s="4"/>
      <c r="J144" s="20"/>
      <c r="K144" s="94">
        <f t="shared" si="2"/>
        <v>0</v>
      </c>
    </row>
    <row r="145" spans="1:11" ht="31.5">
      <c r="A145" s="8">
        <v>143</v>
      </c>
      <c r="B145" s="173" t="s">
        <v>518</v>
      </c>
      <c r="C145" s="41" t="s">
        <v>491</v>
      </c>
      <c r="D145" s="4" t="s">
        <v>32</v>
      </c>
      <c r="E145" s="4"/>
      <c r="F145" s="174">
        <v>785700</v>
      </c>
      <c r="G145" s="20"/>
      <c r="H145" s="20"/>
      <c r="I145" s="4"/>
      <c r="J145" s="20"/>
      <c r="K145" s="94">
        <f t="shared" si="2"/>
        <v>785700</v>
      </c>
    </row>
    <row r="146" spans="1:11" ht="31.5">
      <c r="A146" s="8">
        <v>144</v>
      </c>
      <c r="B146" s="40" t="s">
        <v>303</v>
      </c>
      <c r="C146" s="41" t="s">
        <v>304</v>
      </c>
      <c r="D146" s="4" t="s">
        <v>32</v>
      </c>
      <c r="E146" s="4"/>
      <c r="F146" s="174">
        <v>597200</v>
      </c>
      <c r="G146" s="20"/>
      <c r="H146" s="20"/>
      <c r="I146" s="4"/>
      <c r="J146" s="20"/>
      <c r="K146" s="94">
        <f t="shared" si="2"/>
        <v>597200</v>
      </c>
    </row>
    <row r="147" spans="1:11">
      <c r="A147" s="8">
        <v>145</v>
      </c>
      <c r="B147" s="40" t="s">
        <v>305</v>
      </c>
      <c r="C147" s="41" t="s">
        <v>304</v>
      </c>
      <c r="D147" s="4" t="s">
        <v>32</v>
      </c>
      <c r="E147" s="4"/>
      <c r="F147" s="20"/>
      <c r="G147" s="20"/>
      <c r="H147" s="20"/>
      <c r="I147" s="4"/>
      <c r="J147" s="20"/>
      <c r="K147" s="94">
        <f t="shared" si="2"/>
        <v>0</v>
      </c>
    </row>
    <row r="148" spans="1:11">
      <c r="A148" s="8">
        <v>146</v>
      </c>
      <c r="B148" s="40" t="s">
        <v>306</v>
      </c>
      <c r="C148" s="41" t="s">
        <v>304</v>
      </c>
      <c r="D148" s="4" t="s">
        <v>32</v>
      </c>
      <c r="E148" s="4"/>
      <c r="F148" s="20"/>
      <c r="G148" s="20"/>
      <c r="H148" s="20"/>
      <c r="I148" s="4">
        <v>1200000</v>
      </c>
      <c r="J148" s="20"/>
      <c r="K148" s="94">
        <f t="shared" si="2"/>
        <v>1200000</v>
      </c>
    </row>
    <row r="149" spans="1:11">
      <c r="A149" s="8">
        <v>147</v>
      </c>
      <c r="B149" s="1" t="s">
        <v>308</v>
      </c>
      <c r="C149" s="61" t="s">
        <v>309</v>
      </c>
      <c r="D149" s="4" t="s">
        <v>24</v>
      </c>
      <c r="E149" s="4"/>
      <c r="F149" s="174">
        <v>291000</v>
      </c>
      <c r="G149" s="20"/>
      <c r="H149" s="20"/>
      <c r="I149" s="4"/>
      <c r="J149" s="20"/>
      <c r="K149" s="94">
        <f t="shared" si="2"/>
        <v>291000</v>
      </c>
    </row>
    <row r="150" spans="1:11">
      <c r="A150" s="8">
        <v>148</v>
      </c>
      <c r="B150" s="1" t="s">
        <v>310</v>
      </c>
      <c r="C150" s="12" t="s">
        <v>448</v>
      </c>
      <c r="D150" s="4" t="s">
        <v>24</v>
      </c>
      <c r="E150" s="4"/>
      <c r="F150" s="20"/>
      <c r="G150" s="175">
        <v>936000</v>
      </c>
      <c r="H150" s="20"/>
      <c r="I150" s="4"/>
      <c r="J150" s="20"/>
      <c r="K150" s="94">
        <f t="shared" si="2"/>
        <v>936000</v>
      </c>
    </row>
    <row r="151" spans="1:11" ht="30">
      <c r="A151" s="8">
        <v>149</v>
      </c>
      <c r="B151" s="2" t="s">
        <v>312</v>
      </c>
      <c r="C151" s="13" t="s">
        <v>313</v>
      </c>
      <c r="D151" s="4" t="s">
        <v>24</v>
      </c>
      <c r="E151" s="4"/>
      <c r="F151" s="20"/>
      <c r="G151" s="20"/>
      <c r="H151" s="20"/>
      <c r="I151" s="4"/>
      <c r="J151" s="20"/>
      <c r="K151" s="94">
        <f t="shared" si="2"/>
        <v>0</v>
      </c>
    </row>
    <row r="152" spans="1:11">
      <c r="A152" s="8">
        <v>150</v>
      </c>
      <c r="B152" s="1" t="s">
        <v>314</v>
      </c>
      <c r="C152" s="12" t="s">
        <v>26</v>
      </c>
      <c r="D152" s="4" t="s">
        <v>24</v>
      </c>
      <c r="E152" s="4"/>
      <c r="F152" s="20"/>
      <c r="G152" s="175">
        <v>910000</v>
      </c>
      <c r="H152" s="20"/>
      <c r="I152" s="4"/>
      <c r="J152" s="20"/>
      <c r="K152" s="94">
        <f t="shared" si="2"/>
        <v>910000</v>
      </c>
    </row>
    <row r="153" spans="1:11">
      <c r="A153" s="8">
        <v>151</v>
      </c>
      <c r="B153" s="1" t="s">
        <v>315</v>
      </c>
      <c r="C153" s="12" t="s">
        <v>316</v>
      </c>
      <c r="D153" s="4" t="s">
        <v>24</v>
      </c>
      <c r="E153" s="4"/>
      <c r="F153" s="20"/>
      <c r="G153" s="175">
        <v>478400</v>
      </c>
      <c r="H153" s="20"/>
      <c r="I153" s="4"/>
      <c r="J153" s="20"/>
      <c r="K153" s="94">
        <f t="shared" si="2"/>
        <v>478400</v>
      </c>
    </row>
    <row r="154" spans="1:11" ht="47.25">
      <c r="A154" s="8">
        <v>152</v>
      </c>
      <c r="B154" s="44" t="s">
        <v>317</v>
      </c>
      <c r="C154" s="62" t="s">
        <v>318</v>
      </c>
      <c r="D154" s="4" t="s">
        <v>24</v>
      </c>
      <c r="E154" s="4"/>
      <c r="F154" s="20"/>
      <c r="G154" s="20"/>
      <c r="H154" s="20"/>
      <c r="I154" s="4">
        <v>1200000</v>
      </c>
      <c r="J154" s="20"/>
      <c r="K154" s="94">
        <f t="shared" si="2"/>
        <v>1200000</v>
      </c>
    </row>
    <row r="155" spans="1:11">
      <c r="A155" s="8">
        <v>153</v>
      </c>
      <c r="B155" s="1" t="s">
        <v>319</v>
      </c>
      <c r="C155" s="12" t="s">
        <v>320</v>
      </c>
      <c r="D155" s="4" t="s">
        <v>24</v>
      </c>
      <c r="E155" s="4"/>
      <c r="F155" s="20"/>
      <c r="G155" s="175">
        <v>936000</v>
      </c>
      <c r="H155" s="20"/>
      <c r="I155" s="4"/>
      <c r="J155" s="20"/>
      <c r="K155" s="94">
        <f t="shared" si="2"/>
        <v>936000</v>
      </c>
    </row>
    <row r="156" spans="1:11">
      <c r="A156" s="8">
        <v>154</v>
      </c>
      <c r="B156" s="1" t="s">
        <v>321</v>
      </c>
      <c r="C156" s="12" t="s">
        <v>313</v>
      </c>
      <c r="D156" s="4" t="s">
        <v>24</v>
      </c>
      <c r="E156" s="4"/>
      <c r="F156" s="20"/>
      <c r="G156" s="175">
        <v>936000</v>
      </c>
      <c r="H156" s="20"/>
      <c r="I156" s="4"/>
      <c r="J156" s="20"/>
      <c r="K156" s="94">
        <f t="shared" si="2"/>
        <v>936000</v>
      </c>
    </row>
    <row r="157" spans="1:11" ht="47.25">
      <c r="A157" s="8">
        <v>155</v>
      </c>
      <c r="B157" s="1" t="s">
        <v>322</v>
      </c>
      <c r="C157" s="12" t="s">
        <v>323</v>
      </c>
      <c r="D157" s="4" t="s">
        <v>24</v>
      </c>
      <c r="E157" s="4"/>
      <c r="F157" s="20"/>
      <c r="G157" s="20"/>
      <c r="H157" s="4">
        <v>1260000</v>
      </c>
      <c r="I157" s="4"/>
      <c r="J157" s="4"/>
      <c r="K157" s="94">
        <f t="shared" si="2"/>
        <v>1260000</v>
      </c>
    </row>
    <row r="158" spans="1:11">
      <c r="A158" s="8">
        <v>156</v>
      </c>
      <c r="B158" s="1" t="s">
        <v>324</v>
      </c>
      <c r="C158" s="12" t="s">
        <v>26</v>
      </c>
      <c r="D158" s="4" t="s">
        <v>24</v>
      </c>
      <c r="E158" s="4"/>
      <c r="F158" s="20"/>
      <c r="G158" s="20"/>
      <c r="H158" s="4"/>
      <c r="I158" s="4"/>
      <c r="J158" s="4"/>
      <c r="K158" s="94">
        <f t="shared" si="2"/>
        <v>0</v>
      </c>
    </row>
    <row r="159" spans="1:11">
      <c r="A159" s="8">
        <v>157</v>
      </c>
      <c r="B159" s="1" t="s">
        <v>325</v>
      </c>
      <c r="C159" s="61" t="s">
        <v>326</v>
      </c>
      <c r="D159" s="4" t="s">
        <v>24</v>
      </c>
      <c r="E159" s="4"/>
      <c r="F159" s="20"/>
      <c r="G159" s="20"/>
      <c r="H159" s="4">
        <v>763000</v>
      </c>
      <c r="I159" s="4"/>
      <c r="J159" s="4"/>
      <c r="K159" s="94">
        <f t="shared" si="2"/>
        <v>763000</v>
      </c>
    </row>
    <row r="160" spans="1:11">
      <c r="A160" s="8">
        <v>158</v>
      </c>
      <c r="B160" s="1" t="s">
        <v>327</v>
      </c>
      <c r="C160" s="12" t="s">
        <v>313</v>
      </c>
      <c r="D160" s="4" t="s">
        <v>24</v>
      </c>
      <c r="E160" s="4"/>
      <c r="F160" s="20"/>
      <c r="G160" s="175">
        <v>936000</v>
      </c>
      <c r="H160" s="20"/>
      <c r="I160" s="4"/>
      <c r="J160" s="20"/>
      <c r="K160" s="94">
        <f t="shared" si="2"/>
        <v>936000</v>
      </c>
    </row>
    <row r="161" spans="1:11">
      <c r="A161" s="8">
        <v>159</v>
      </c>
      <c r="B161" s="1" t="s">
        <v>329</v>
      </c>
      <c r="C161" s="12" t="s">
        <v>330</v>
      </c>
      <c r="D161" s="4" t="s">
        <v>24</v>
      </c>
      <c r="E161" s="4"/>
      <c r="F161" s="20"/>
      <c r="G161" s="20"/>
      <c r="H161" s="32"/>
      <c r="I161" s="4"/>
      <c r="J161" s="32">
        <v>1530000</v>
      </c>
      <c r="K161" s="94">
        <f t="shared" si="2"/>
        <v>1530000</v>
      </c>
    </row>
    <row r="162" spans="1:11" ht="31.5">
      <c r="A162" s="8">
        <v>160</v>
      </c>
      <c r="B162" s="1" t="s">
        <v>331</v>
      </c>
      <c r="C162" s="5" t="s">
        <v>421</v>
      </c>
      <c r="D162" s="4" t="s">
        <v>24</v>
      </c>
      <c r="E162" s="4"/>
      <c r="F162" s="174">
        <v>853600</v>
      </c>
      <c r="G162" s="20"/>
      <c r="H162" s="20"/>
      <c r="I162" s="4"/>
      <c r="J162" s="20"/>
      <c r="K162" s="94">
        <f t="shared" si="2"/>
        <v>853600</v>
      </c>
    </row>
    <row r="163" spans="1:11">
      <c r="A163" s="8">
        <v>161</v>
      </c>
      <c r="B163" s="1" t="s">
        <v>332</v>
      </c>
      <c r="C163" s="4" t="s">
        <v>333</v>
      </c>
      <c r="D163" s="4" t="s">
        <v>24</v>
      </c>
      <c r="E163" s="4"/>
      <c r="F163" s="20"/>
      <c r="G163" s="20"/>
      <c r="H163" s="32"/>
      <c r="I163" s="4"/>
      <c r="J163" s="32"/>
      <c r="K163" s="94">
        <f t="shared" si="2"/>
        <v>0</v>
      </c>
    </row>
    <row r="164" spans="1:11">
      <c r="A164" s="8">
        <v>162</v>
      </c>
      <c r="B164" s="1" t="s">
        <v>334</v>
      </c>
      <c r="C164" s="4" t="s">
        <v>335</v>
      </c>
      <c r="D164" s="4" t="s">
        <v>24</v>
      </c>
      <c r="E164" s="4"/>
      <c r="F164" s="20"/>
      <c r="G164" s="20"/>
      <c r="H164" s="20"/>
      <c r="I164" s="4"/>
      <c r="J164" s="20"/>
      <c r="K164" s="94">
        <f t="shared" si="2"/>
        <v>0</v>
      </c>
    </row>
    <row r="165" spans="1:11">
      <c r="A165" s="8">
        <v>163</v>
      </c>
      <c r="B165" s="1" t="s">
        <v>336</v>
      </c>
      <c r="C165" s="4" t="s">
        <v>26</v>
      </c>
      <c r="D165" s="4" t="s">
        <v>24</v>
      </c>
      <c r="E165" s="4"/>
      <c r="F165" s="20"/>
      <c r="G165" s="175">
        <v>873600</v>
      </c>
      <c r="H165" s="20"/>
      <c r="I165" s="4"/>
      <c r="J165" s="20"/>
      <c r="K165" s="94">
        <f t="shared" si="2"/>
        <v>873600</v>
      </c>
    </row>
    <row r="166" spans="1:11">
      <c r="A166" s="8">
        <v>164</v>
      </c>
      <c r="B166" s="1" t="s">
        <v>337</v>
      </c>
      <c r="C166" s="5" t="s">
        <v>335</v>
      </c>
      <c r="D166" s="4" t="s">
        <v>24</v>
      </c>
      <c r="E166" s="4"/>
      <c r="F166" s="20"/>
      <c r="G166" s="20"/>
      <c r="H166" s="20"/>
      <c r="I166" s="4"/>
      <c r="J166" s="20"/>
      <c r="K166" s="94">
        <f t="shared" si="2"/>
        <v>0</v>
      </c>
    </row>
    <row r="167" spans="1:11" ht="31.5">
      <c r="A167" s="8">
        <v>165</v>
      </c>
      <c r="B167" s="1" t="s">
        <v>471</v>
      </c>
      <c r="C167" s="4" t="s">
        <v>26</v>
      </c>
      <c r="D167" s="4" t="s">
        <v>24</v>
      </c>
      <c r="E167" s="4"/>
      <c r="F167" s="20"/>
      <c r="G167" s="175">
        <v>936000</v>
      </c>
      <c r="H167" s="20"/>
      <c r="I167" s="4"/>
      <c r="J167" s="20"/>
      <c r="K167" s="94">
        <f t="shared" si="2"/>
        <v>936000</v>
      </c>
    </row>
    <row r="168" spans="1:11">
      <c r="A168" s="8">
        <v>166</v>
      </c>
      <c r="B168" s="1" t="s">
        <v>339</v>
      </c>
      <c r="C168" s="4" t="s">
        <v>335</v>
      </c>
      <c r="D168" s="4" t="s">
        <v>24</v>
      </c>
      <c r="E168" s="94">
        <v>643500</v>
      </c>
      <c r="F168" s="20"/>
      <c r="G168" s="20"/>
      <c r="H168" s="20"/>
      <c r="I168" s="4"/>
      <c r="J168" s="20"/>
      <c r="K168" s="94">
        <f t="shared" si="2"/>
        <v>643500</v>
      </c>
    </row>
    <row r="169" spans="1:11">
      <c r="A169" s="8">
        <v>167</v>
      </c>
      <c r="B169" s="1" t="s">
        <v>340</v>
      </c>
      <c r="C169" s="4" t="s">
        <v>341</v>
      </c>
      <c r="D169" s="4" t="s">
        <v>24</v>
      </c>
      <c r="E169" s="4"/>
      <c r="F169" s="20"/>
      <c r="G169" s="20"/>
      <c r="H169" s="20"/>
      <c r="I169" s="4">
        <v>1200000</v>
      </c>
      <c r="J169" s="20"/>
      <c r="K169" s="94">
        <f t="shared" si="2"/>
        <v>1200000</v>
      </c>
    </row>
    <row r="170" spans="1:11" ht="31.5">
      <c r="A170" s="8">
        <v>168</v>
      </c>
      <c r="B170" s="1" t="s">
        <v>342</v>
      </c>
      <c r="C170" s="4" t="s">
        <v>343</v>
      </c>
      <c r="D170" s="4" t="s">
        <v>24</v>
      </c>
      <c r="E170" s="4"/>
      <c r="F170" s="20"/>
      <c r="G170" s="20"/>
      <c r="H170" s="20"/>
      <c r="I170" s="4">
        <v>1200000</v>
      </c>
      <c r="J170" s="20"/>
      <c r="K170" s="94">
        <f t="shared" si="2"/>
        <v>1200000</v>
      </c>
    </row>
    <row r="171" spans="1:11" ht="47.25">
      <c r="A171" s="8">
        <v>169</v>
      </c>
      <c r="B171" s="1" t="s">
        <v>344</v>
      </c>
      <c r="C171" s="4" t="s">
        <v>345</v>
      </c>
      <c r="D171" s="4" t="s">
        <v>24</v>
      </c>
      <c r="E171" s="4"/>
      <c r="F171" s="20"/>
      <c r="G171" s="20"/>
      <c r="H171" s="20"/>
      <c r="I171" s="4"/>
      <c r="J171" s="20"/>
      <c r="K171" s="94">
        <f t="shared" si="2"/>
        <v>0</v>
      </c>
    </row>
    <row r="172" spans="1:11">
      <c r="A172" s="8">
        <v>170</v>
      </c>
      <c r="B172" s="1" t="s">
        <v>346</v>
      </c>
      <c r="C172" s="4" t="s">
        <v>347</v>
      </c>
      <c r="D172" s="4" t="s">
        <v>24</v>
      </c>
      <c r="E172" s="4"/>
      <c r="F172" s="20"/>
      <c r="G172" s="20"/>
      <c r="H172" s="32"/>
      <c r="I172" s="4"/>
      <c r="J172" s="32">
        <v>1445000</v>
      </c>
      <c r="K172" s="94">
        <f t="shared" ref="K172:K199" si="3">SUM(E172:J172)</f>
        <v>1445000</v>
      </c>
    </row>
    <row r="173" spans="1:11">
      <c r="A173" s="8">
        <v>171</v>
      </c>
      <c r="B173" s="1" t="s">
        <v>348</v>
      </c>
      <c r="C173" s="5" t="s">
        <v>422</v>
      </c>
      <c r="D173" s="4" t="s">
        <v>24</v>
      </c>
      <c r="E173" s="4"/>
      <c r="F173" s="20"/>
      <c r="G173" s="20"/>
      <c r="H173" s="20"/>
      <c r="I173" s="4"/>
      <c r="J173" s="20"/>
      <c r="K173" s="94">
        <f t="shared" si="3"/>
        <v>0</v>
      </c>
    </row>
    <row r="174" spans="1:11">
      <c r="A174" s="8">
        <v>172</v>
      </c>
      <c r="B174" s="63" t="s">
        <v>349</v>
      </c>
      <c r="C174" s="5" t="s">
        <v>423</v>
      </c>
      <c r="D174" s="4" t="s">
        <v>24</v>
      </c>
      <c r="E174" s="4"/>
      <c r="F174" s="174">
        <v>349200</v>
      </c>
      <c r="G174" s="20"/>
      <c r="H174" s="20"/>
      <c r="I174" s="4"/>
      <c r="J174" s="20"/>
      <c r="K174" s="94">
        <f t="shared" si="3"/>
        <v>349200</v>
      </c>
    </row>
    <row r="175" spans="1:11">
      <c r="A175" s="8">
        <v>173</v>
      </c>
      <c r="B175" s="2" t="s">
        <v>350</v>
      </c>
      <c r="C175" s="4" t="s">
        <v>347</v>
      </c>
      <c r="D175" s="4" t="s">
        <v>24</v>
      </c>
      <c r="E175" s="4"/>
      <c r="F175" s="20"/>
      <c r="G175" s="20"/>
      <c r="H175" s="20"/>
      <c r="I175" s="4"/>
      <c r="J175" s="20"/>
      <c r="K175" s="94">
        <f t="shared" si="3"/>
        <v>0</v>
      </c>
    </row>
    <row r="176" spans="1:11" ht="31.5">
      <c r="A176" s="8">
        <v>174</v>
      </c>
      <c r="B176" s="1" t="s">
        <v>351</v>
      </c>
      <c r="C176" s="5" t="s">
        <v>424</v>
      </c>
      <c r="D176" s="4" t="s">
        <v>24</v>
      </c>
      <c r="E176" s="4"/>
      <c r="F176" s="174">
        <v>873000</v>
      </c>
      <c r="G176" s="20"/>
      <c r="H176" s="20"/>
      <c r="I176" s="4"/>
      <c r="J176" s="20"/>
      <c r="K176" s="94">
        <f t="shared" si="3"/>
        <v>873000</v>
      </c>
    </row>
    <row r="177" spans="1:11" ht="31.5">
      <c r="A177" s="8">
        <v>175</v>
      </c>
      <c r="B177" s="1" t="s">
        <v>352</v>
      </c>
      <c r="C177" s="4" t="s">
        <v>309</v>
      </c>
      <c r="D177" s="4" t="s">
        <v>24</v>
      </c>
      <c r="E177" s="4"/>
      <c r="F177" s="20"/>
      <c r="G177" s="20"/>
      <c r="H177" s="20"/>
      <c r="I177" s="4"/>
      <c r="J177" s="20"/>
      <c r="K177" s="94">
        <f t="shared" si="3"/>
        <v>0</v>
      </c>
    </row>
    <row r="178" spans="1:11" ht="31.5">
      <c r="A178" s="8">
        <v>176</v>
      </c>
      <c r="B178" s="1" t="s">
        <v>353</v>
      </c>
      <c r="C178" s="46" t="s">
        <v>354</v>
      </c>
      <c r="D178" s="4" t="s">
        <v>24</v>
      </c>
      <c r="E178" s="4"/>
      <c r="F178" s="174">
        <v>873000</v>
      </c>
      <c r="G178" s="20"/>
      <c r="H178" s="32"/>
      <c r="I178" s="4"/>
      <c r="J178" s="32"/>
      <c r="K178" s="94">
        <f t="shared" si="3"/>
        <v>873000</v>
      </c>
    </row>
    <row r="179" spans="1:11" ht="31.5">
      <c r="A179" s="8">
        <v>177</v>
      </c>
      <c r="B179" s="1" t="s">
        <v>355</v>
      </c>
      <c r="C179" s="4" t="s">
        <v>335</v>
      </c>
      <c r="D179" s="4" t="s">
        <v>24</v>
      </c>
      <c r="E179" s="4"/>
      <c r="F179" s="20"/>
      <c r="G179" s="20"/>
      <c r="H179" s="20"/>
      <c r="I179" s="4"/>
      <c r="J179" s="20"/>
      <c r="K179" s="94">
        <f t="shared" si="3"/>
        <v>0</v>
      </c>
    </row>
    <row r="180" spans="1:11">
      <c r="A180" s="8">
        <v>178</v>
      </c>
      <c r="B180" s="1" t="s">
        <v>356</v>
      </c>
      <c r="C180" s="4" t="s">
        <v>313</v>
      </c>
      <c r="D180" s="4" t="s">
        <v>24</v>
      </c>
      <c r="E180" s="4"/>
      <c r="F180" s="20"/>
      <c r="G180" s="20"/>
      <c r="H180" s="20"/>
      <c r="I180" s="4"/>
      <c r="J180" s="20"/>
      <c r="K180" s="94">
        <f t="shared" si="3"/>
        <v>0</v>
      </c>
    </row>
    <row r="181" spans="1:11">
      <c r="A181" s="8">
        <v>179</v>
      </c>
      <c r="B181" s="1" t="s">
        <v>119</v>
      </c>
      <c r="C181" s="4" t="s">
        <v>309</v>
      </c>
      <c r="D181" s="4" t="s">
        <v>24</v>
      </c>
      <c r="E181" s="4"/>
      <c r="F181" s="20"/>
      <c r="G181" s="20"/>
      <c r="H181" s="20"/>
      <c r="I181" s="4"/>
      <c r="J181" s="20"/>
      <c r="K181" s="94">
        <f t="shared" si="3"/>
        <v>0</v>
      </c>
    </row>
    <row r="182" spans="1:11" ht="31.5">
      <c r="A182" s="8">
        <v>180</v>
      </c>
      <c r="B182" s="1" t="s">
        <v>357</v>
      </c>
      <c r="C182" s="12" t="s">
        <v>358</v>
      </c>
      <c r="D182" s="4" t="s">
        <v>24</v>
      </c>
      <c r="E182" s="4"/>
      <c r="F182" s="20"/>
      <c r="G182" s="20"/>
      <c r="H182" s="20"/>
      <c r="I182" s="4">
        <v>1180000</v>
      </c>
      <c r="J182" s="20"/>
      <c r="K182" s="94">
        <f t="shared" si="3"/>
        <v>1180000</v>
      </c>
    </row>
    <row r="183" spans="1:11" ht="31.5">
      <c r="A183" s="8">
        <v>181</v>
      </c>
      <c r="B183" s="42" t="s">
        <v>492</v>
      </c>
      <c r="C183" s="64" t="s">
        <v>360</v>
      </c>
      <c r="D183" s="4" t="s">
        <v>24</v>
      </c>
      <c r="E183" s="4"/>
      <c r="F183" s="20"/>
      <c r="G183" s="20"/>
      <c r="H183" s="4">
        <v>1092000</v>
      </c>
      <c r="I183" s="4"/>
      <c r="J183" s="4"/>
      <c r="K183" s="94">
        <f t="shared" si="3"/>
        <v>1092000</v>
      </c>
    </row>
    <row r="184" spans="1:11">
      <c r="A184" s="8">
        <v>182</v>
      </c>
      <c r="B184" s="2" t="s">
        <v>14</v>
      </c>
      <c r="C184" s="13" t="s">
        <v>26</v>
      </c>
      <c r="D184" s="4" t="s">
        <v>24</v>
      </c>
      <c r="E184" s="4"/>
      <c r="F184" s="20"/>
      <c r="G184" s="20"/>
      <c r="H184" s="32"/>
      <c r="I184" s="4"/>
      <c r="J184" s="32"/>
      <c r="K184" s="94">
        <f t="shared" si="3"/>
        <v>0</v>
      </c>
    </row>
    <row r="185" spans="1:11" ht="18.75">
      <c r="A185" s="8">
        <v>183</v>
      </c>
      <c r="B185" s="1" t="s">
        <v>361</v>
      </c>
      <c r="C185" s="91" t="s">
        <v>425</v>
      </c>
      <c r="D185" s="4" t="s">
        <v>24</v>
      </c>
      <c r="E185" s="4"/>
      <c r="F185" s="174">
        <v>497550</v>
      </c>
      <c r="G185" s="20"/>
      <c r="H185" s="20"/>
      <c r="I185" s="4"/>
      <c r="J185" s="20"/>
      <c r="K185" s="94">
        <f t="shared" si="3"/>
        <v>497550</v>
      </c>
    </row>
    <row r="186" spans="1:11" ht="31.5">
      <c r="A186" s="8">
        <v>184</v>
      </c>
      <c r="B186" s="1" t="s">
        <v>8</v>
      </c>
      <c r="C186" s="5" t="s">
        <v>426</v>
      </c>
      <c r="D186" s="4" t="s">
        <v>62</v>
      </c>
      <c r="E186" s="4"/>
      <c r="F186" s="20"/>
      <c r="G186" s="20"/>
      <c r="H186" s="20"/>
      <c r="I186" s="4">
        <v>620000</v>
      </c>
      <c r="J186" s="20"/>
      <c r="K186" s="94">
        <f t="shared" si="3"/>
        <v>620000</v>
      </c>
    </row>
    <row r="187" spans="1:11">
      <c r="A187" s="8">
        <v>185</v>
      </c>
      <c r="B187" s="1" t="s">
        <v>0</v>
      </c>
      <c r="C187" s="4" t="s">
        <v>22</v>
      </c>
      <c r="D187" s="4" t="s">
        <v>23</v>
      </c>
      <c r="E187" s="94">
        <v>639000</v>
      </c>
      <c r="F187" s="20"/>
      <c r="G187" s="20"/>
      <c r="H187" s="20"/>
      <c r="I187" s="4"/>
      <c r="J187" s="20"/>
      <c r="K187" s="94">
        <f t="shared" si="3"/>
        <v>639000</v>
      </c>
    </row>
    <row r="188" spans="1:11" ht="31.5">
      <c r="A188" s="8">
        <v>186</v>
      </c>
      <c r="B188" s="1" t="s">
        <v>364</v>
      </c>
      <c r="C188" s="4" t="s">
        <v>365</v>
      </c>
      <c r="D188" s="4" t="s">
        <v>23</v>
      </c>
      <c r="E188" s="4"/>
      <c r="F188" s="20"/>
      <c r="G188" s="175">
        <v>936000</v>
      </c>
      <c r="H188" s="20"/>
      <c r="I188" s="4"/>
      <c r="J188" s="20"/>
      <c r="K188" s="94">
        <f t="shared" si="3"/>
        <v>936000</v>
      </c>
    </row>
    <row r="189" spans="1:11">
      <c r="A189" s="8">
        <v>187</v>
      </c>
      <c r="B189" s="1" t="s">
        <v>473</v>
      </c>
      <c r="C189" s="4" t="s">
        <v>367</v>
      </c>
      <c r="D189" s="4" t="s">
        <v>23</v>
      </c>
      <c r="E189" s="4"/>
      <c r="F189" s="20"/>
      <c r="G189" s="20"/>
      <c r="H189" s="20"/>
      <c r="I189" s="4"/>
      <c r="J189" s="20"/>
      <c r="K189" s="94">
        <f t="shared" si="3"/>
        <v>0</v>
      </c>
    </row>
    <row r="190" spans="1:11">
      <c r="A190" s="8">
        <v>188</v>
      </c>
      <c r="B190" s="1" t="s">
        <v>368</v>
      </c>
      <c r="C190" s="4" t="s">
        <v>369</v>
      </c>
      <c r="D190" s="4" t="s">
        <v>23</v>
      </c>
      <c r="E190" s="4"/>
      <c r="F190" s="20"/>
      <c r="G190" s="175">
        <v>936000</v>
      </c>
      <c r="H190" s="20"/>
      <c r="I190" s="4"/>
      <c r="J190" s="20"/>
      <c r="K190" s="94">
        <f t="shared" si="3"/>
        <v>936000</v>
      </c>
    </row>
    <row r="191" spans="1:11">
      <c r="A191" s="8">
        <v>189</v>
      </c>
      <c r="B191" s="1" t="s">
        <v>370</v>
      </c>
      <c r="C191" s="4" t="s">
        <v>371</v>
      </c>
      <c r="D191" s="4" t="s">
        <v>23</v>
      </c>
      <c r="E191" s="4"/>
      <c r="F191" s="20"/>
      <c r="G191" s="175">
        <v>936000</v>
      </c>
      <c r="H191" s="20"/>
      <c r="I191" s="4"/>
      <c r="J191" s="20"/>
      <c r="K191" s="94">
        <f t="shared" si="3"/>
        <v>936000</v>
      </c>
    </row>
    <row r="192" spans="1:11">
      <c r="A192" s="8">
        <v>190</v>
      </c>
      <c r="B192" s="1" t="s">
        <v>372</v>
      </c>
      <c r="C192" s="4" t="s">
        <v>371</v>
      </c>
      <c r="D192" s="4" t="s">
        <v>23</v>
      </c>
      <c r="E192" s="4"/>
      <c r="F192" s="20"/>
      <c r="G192" s="20"/>
      <c r="H192" s="20"/>
      <c r="I192" s="4"/>
      <c r="J192" s="20"/>
      <c r="K192" s="94">
        <f t="shared" si="3"/>
        <v>0</v>
      </c>
    </row>
    <row r="193" spans="1:11">
      <c r="A193" s="8">
        <v>191</v>
      </c>
      <c r="B193" s="1" t="s">
        <v>373</v>
      </c>
      <c r="C193" s="4" t="s">
        <v>374</v>
      </c>
      <c r="D193" s="4" t="s">
        <v>23</v>
      </c>
      <c r="E193" s="94">
        <v>576000</v>
      </c>
      <c r="F193" s="20"/>
      <c r="G193" s="20"/>
      <c r="H193" s="20"/>
      <c r="I193" s="4"/>
      <c r="J193" s="20"/>
      <c r="K193" s="94">
        <f t="shared" si="3"/>
        <v>576000</v>
      </c>
    </row>
    <row r="194" spans="1:11">
      <c r="A194" s="8">
        <v>192</v>
      </c>
      <c r="B194" s="1" t="s">
        <v>375</v>
      </c>
      <c r="C194" s="4" t="s">
        <v>376</v>
      </c>
      <c r="D194" s="4" t="s">
        <v>23</v>
      </c>
      <c r="E194" s="4"/>
      <c r="F194" s="20"/>
      <c r="G194" s="175">
        <v>930800</v>
      </c>
      <c r="H194" s="20"/>
      <c r="I194" s="4"/>
      <c r="J194" s="20"/>
      <c r="K194" s="94">
        <f t="shared" si="3"/>
        <v>930800</v>
      </c>
    </row>
    <row r="195" spans="1:11" ht="31.5">
      <c r="A195" s="8">
        <v>193</v>
      </c>
      <c r="B195" s="1" t="s">
        <v>472</v>
      </c>
      <c r="C195" s="4" t="s">
        <v>378</v>
      </c>
      <c r="D195" s="4" t="s">
        <v>23</v>
      </c>
      <c r="E195" s="4"/>
      <c r="F195" s="20"/>
      <c r="G195" s="175">
        <v>936000</v>
      </c>
      <c r="H195" s="23"/>
      <c r="I195" s="4"/>
      <c r="J195" s="23"/>
      <c r="K195" s="94">
        <f t="shared" si="3"/>
        <v>936000</v>
      </c>
    </row>
    <row r="196" spans="1:11">
      <c r="A196" s="8">
        <v>194</v>
      </c>
      <c r="B196" s="40" t="s">
        <v>379</v>
      </c>
      <c r="C196" s="41" t="s">
        <v>380</v>
      </c>
      <c r="D196" s="4" t="s">
        <v>23</v>
      </c>
      <c r="E196" s="4"/>
      <c r="F196" s="20"/>
      <c r="G196" s="20"/>
      <c r="H196" s="20"/>
      <c r="I196" s="4">
        <v>740000</v>
      </c>
      <c r="J196" s="20"/>
      <c r="K196" s="94">
        <f t="shared" si="3"/>
        <v>740000</v>
      </c>
    </row>
    <row r="197" spans="1:11" ht="31.5">
      <c r="A197" s="8">
        <v>195</v>
      </c>
      <c r="B197" s="1" t="s">
        <v>383</v>
      </c>
      <c r="C197" s="4" t="s">
        <v>380</v>
      </c>
      <c r="D197" s="4" t="s">
        <v>23</v>
      </c>
      <c r="E197" s="94">
        <v>660000</v>
      </c>
      <c r="F197" s="20"/>
      <c r="G197" s="20"/>
      <c r="H197" s="20"/>
      <c r="I197" s="4"/>
      <c r="J197" s="20"/>
      <c r="K197" s="94">
        <f t="shared" si="3"/>
        <v>660000</v>
      </c>
    </row>
    <row r="198" spans="1:11" ht="18.75">
      <c r="A198" s="8">
        <v>196</v>
      </c>
      <c r="B198" s="1" t="s">
        <v>384</v>
      </c>
      <c r="C198" s="91" t="s">
        <v>427</v>
      </c>
      <c r="D198" s="4" t="s">
        <v>23</v>
      </c>
      <c r="E198" s="4"/>
      <c r="F198" s="174">
        <v>848750</v>
      </c>
      <c r="G198" s="20"/>
      <c r="H198" s="20"/>
      <c r="I198" s="4"/>
      <c r="J198" s="20"/>
      <c r="K198" s="94">
        <f t="shared" si="3"/>
        <v>848750</v>
      </c>
    </row>
    <row r="199" spans="1:11">
      <c r="A199" s="8">
        <v>13</v>
      </c>
      <c r="B199" s="1" t="s">
        <v>385</v>
      </c>
      <c r="C199" s="4" t="s">
        <v>386</v>
      </c>
      <c r="D199" s="4" t="s">
        <v>23</v>
      </c>
      <c r="E199" s="4"/>
      <c r="F199" s="20"/>
      <c r="G199" s="20"/>
      <c r="H199" s="20"/>
      <c r="I199" s="4"/>
      <c r="J199" s="20"/>
      <c r="K199" s="94">
        <f t="shared" si="3"/>
        <v>0</v>
      </c>
    </row>
    <row r="200" spans="1:11" s="14" customFormat="1">
      <c r="A200" s="86"/>
      <c r="B200" s="66"/>
      <c r="C200" s="67"/>
      <c r="D200" s="67"/>
      <c r="E200" s="67"/>
      <c r="F200" s="178"/>
      <c r="G200" s="178"/>
      <c r="H200" s="178"/>
      <c r="I200" s="67"/>
      <c r="J200" s="178"/>
      <c r="K200" s="95"/>
    </row>
    <row r="201" spans="1:11" s="16" customFormat="1" ht="16.5" thickBot="1">
      <c r="A201" s="87"/>
      <c r="B201" s="19" t="s">
        <v>63</v>
      </c>
      <c r="C201" s="15"/>
      <c r="D201" s="15"/>
      <c r="E201" s="15" t="e">
        <f>#REF!+#REF!+#REF!+#REF!+#REF!+#REF!+#REF!+#REF!+#REF!+#REF!+#REF!+#REF!+#REF!+#REF!+#REF!+#REF!+#REF!+#REF!+#REF!+#REF!+#REF!+#REF!+#REF!+#REF!+#REF!+#REF!+#REF!</f>
        <v>#REF!</v>
      </c>
      <c r="F201" s="15" t="e">
        <f>#REF!+#REF!+#REF!+#REF!+#REF!+#REF!+#REF!+#REF!+#REF!+#REF!+#REF!+#REF!+#REF!+#REF!+#REF!+#REF!+#REF!+#REF!+#REF!+#REF!+#REF!+#REF!+#REF!+#REF!+#REF!+#REF!+#REF!</f>
        <v>#REF!</v>
      </c>
      <c r="G201" s="15" t="e">
        <f>#REF!+#REF!+#REF!+#REF!+#REF!+#REF!+#REF!+#REF!+#REF!+#REF!+#REF!+#REF!+#REF!+#REF!+#REF!+#REF!+#REF!+#REF!+#REF!+#REF!+#REF!+#REF!+#REF!+#REF!+#REF!+#REF!+#REF!</f>
        <v>#REF!</v>
      </c>
      <c r="H201" s="15" t="e">
        <f>#REF!+#REF!+#REF!+#REF!+#REF!+#REF!+#REF!+#REF!+#REF!+#REF!+#REF!+#REF!+#REF!+#REF!+#REF!+#REF!+#REF!+#REF!+#REF!+#REF!+#REF!+#REF!+#REF!+#REF!+#REF!+#REF!+#REF!</f>
        <v>#REF!</v>
      </c>
      <c r="I201" s="15" t="e">
        <f>#REF!+#REF!+#REF!+#REF!+#REF!+#REF!+#REF!+#REF!+#REF!+#REF!+#REF!+#REF!+#REF!+#REF!+#REF!+#REF!+#REF!+#REF!+#REF!+#REF!+#REF!+#REF!+#REF!+#REF!+#REF!+#REF!+#REF!</f>
        <v>#REF!</v>
      </c>
      <c r="J201" s="15" t="e">
        <f>#REF!+#REF!+#REF!+#REF!+#REF!+#REF!+#REF!+#REF!+#REF!+#REF!+#REF!+#REF!+#REF!+#REF!+#REF!+#REF!+#REF!+#REF!+#REF!+#REF!+#REF!+#REF!+#REF!+#REF!+#REF!+#REF!+#REF!</f>
        <v>#REF!</v>
      </c>
      <c r="K201" s="15" t="e">
        <f>#REF!+#REF!+#REF!+#REF!+#REF!+#REF!+#REF!+#REF!+#REF!+#REF!+#REF!+#REF!+#REF!+#REF!+#REF!+#REF!+#REF!+#REF!+#REF!+#REF!+#REF!+#REF!+#REF!+#REF!+#REF!+#REF!+#REF!</f>
        <v>#REF!</v>
      </c>
    </row>
    <row r="202" spans="1:11" s="136" customFormat="1" ht="16.5" thickTop="1">
      <c r="A202" s="138"/>
      <c r="B202" s="135" t="s">
        <v>479</v>
      </c>
      <c r="C202" s="137"/>
      <c r="D202" s="137"/>
      <c r="E202" s="137">
        <v>0</v>
      </c>
      <c r="F202" s="137">
        <v>0</v>
      </c>
      <c r="G202" s="137">
        <v>0</v>
      </c>
      <c r="H202" s="137">
        <v>0</v>
      </c>
      <c r="I202" s="137">
        <v>0</v>
      </c>
      <c r="J202" s="137">
        <v>0</v>
      </c>
      <c r="K202" s="137" t="e">
        <f>E202+F202+G202+H202+I202+J202+#REF!</f>
        <v>#REF!</v>
      </c>
    </row>
    <row r="203" spans="1:11" s="16" customFormat="1" ht="16.5" thickBot="1">
      <c r="A203" s="133"/>
      <c r="B203" s="134"/>
      <c r="C203" s="132"/>
      <c r="D203" s="132"/>
      <c r="E203" s="132" t="e">
        <f>E201+E202</f>
        <v>#REF!</v>
      </c>
      <c r="F203" s="132" t="e">
        <f t="shared" ref="F203:J203" si="4">F201+F202</f>
        <v>#REF!</v>
      </c>
      <c r="G203" s="132" t="e">
        <f t="shared" ref="G203:H203" si="5">G201+G202</f>
        <v>#REF!</v>
      </c>
      <c r="H203" s="132" t="e">
        <f t="shared" si="5"/>
        <v>#REF!</v>
      </c>
      <c r="I203" s="132" t="e">
        <f t="shared" si="4"/>
        <v>#REF!</v>
      </c>
      <c r="J203" s="132" t="e">
        <f t="shared" si="4"/>
        <v>#REF!</v>
      </c>
      <c r="K203" s="132" t="e">
        <f t="shared" ref="K203" si="6">K201+K202</f>
        <v>#REF!</v>
      </c>
    </row>
    <row r="204" spans="1:11" ht="16.5" thickTop="1">
      <c r="C204" s="183" t="s">
        <v>392</v>
      </c>
      <c r="D204" s="183"/>
      <c r="E204" s="3">
        <v>9815500</v>
      </c>
      <c r="F204" s="3">
        <v>16760800</v>
      </c>
      <c r="G204" s="3">
        <v>29355000</v>
      </c>
      <c r="H204" s="3">
        <v>8218000</v>
      </c>
      <c r="I204" s="3">
        <v>17990000</v>
      </c>
      <c r="J204" s="3">
        <v>16065000</v>
      </c>
    </row>
    <row r="205" spans="1:11" ht="31.5">
      <c r="D205" s="74" t="s">
        <v>393</v>
      </c>
      <c r="E205" s="3" t="e">
        <f t="shared" ref="E205" si="7">E203-E204</f>
        <v>#REF!</v>
      </c>
      <c r="F205" s="3" t="e">
        <f t="shared" ref="F205" si="8">F203-F204</f>
        <v>#REF!</v>
      </c>
      <c r="G205" s="3" t="e">
        <f t="shared" ref="G205" si="9">G203-G204</f>
        <v>#REF!</v>
      </c>
      <c r="H205" s="3" t="e">
        <f>H203-H204</f>
        <v>#REF!</v>
      </c>
      <c r="I205" s="3" t="e">
        <f>I203-I204</f>
        <v>#REF!</v>
      </c>
      <c r="J205" s="3" t="e">
        <f t="shared" ref="J205" si="10">J203-J204</f>
        <v>#REF!</v>
      </c>
      <c r="K205" s="97"/>
    </row>
    <row r="206" spans="1:11" ht="31.5">
      <c r="A206" s="3"/>
      <c r="B206" s="182" t="s">
        <v>505</v>
      </c>
      <c r="C206" s="182"/>
      <c r="D206" s="88" t="s">
        <v>520</v>
      </c>
      <c r="E206" s="88" t="s">
        <v>520</v>
      </c>
      <c r="F206" s="88" t="s">
        <v>520</v>
      </c>
      <c r="G206" s="88" t="s">
        <v>520</v>
      </c>
      <c r="H206" s="88" t="s">
        <v>520</v>
      </c>
      <c r="I206" s="88" t="s">
        <v>520</v>
      </c>
      <c r="J206" s="88" t="s">
        <v>520</v>
      </c>
      <c r="K206" s="88"/>
    </row>
    <row r="207" spans="1:11" ht="23.25">
      <c r="A207" s="3"/>
      <c r="B207" s="71" t="s">
        <v>390</v>
      </c>
      <c r="H207" s="75"/>
      <c r="I207" s="3"/>
    </row>
    <row r="208" spans="1:11">
      <c r="A208" s="3"/>
      <c r="H208" s="75"/>
      <c r="I208" s="75"/>
    </row>
    <row r="210" spans="1:1">
      <c r="A210" s="3"/>
    </row>
  </sheetData>
  <autoFilter ref="A2:K2"/>
  <mergeCells count="3">
    <mergeCell ref="B206:C206"/>
    <mergeCell ref="C204:D204"/>
    <mergeCell ref="A1:K1"/>
  </mergeCells>
  <conditionalFormatting sqref="A32">
    <cfRule type="duplicateValues" dxfId="107" priority="63"/>
  </conditionalFormatting>
  <conditionalFormatting sqref="A2:C2">
    <cfRule type="duplicateValues" dxfId="106" priority="33"/>
  </conditionalFormatting>
  <conditionalFormatting sqref="A75:C1048576 B74:C74 A2:C2 A3:A198">
    <cfRule type="duplicateValues" dxfId="105" priority="110"/>
  </conditionalFormatting>
  <conditionalFormatting sqref="A74:C1048576">
    <cfRule type="duplicateValues" dxfId="104" priority="128"/>
  </conditionalFormatting>
  <conditionalFormatting sqref="B74:C74">
    <cfRule type="duplicateValues" dxfId="103" priority="138"/>
  </conditionalFormatting>
  <conditionalFormatting sqref="A74:C74">
    <cfRule type="duplicateValues" dxfId="102" priority="139"/>
  </conditionalFormatting>
  <conditionalFormatting sqref="B71">
    <cfRule type="duplicateValues" dxfId="101" priority="31"/>
  </conditionalFormatting>
  <conditionalFormatting sqref="B207:D1048576 C201:D205 B176:B183 B114:B115 B3:B10 B72 B152:B174 B127:B138 B25:B32 B117:B121 B185:B205 B12:B23 B75:B108 B110:B112 B140:B150 B36:B70">
    <cfRule type="duplicateValues" dxfId="100" priority="30"/>
  </conditionalFormatting>
  <conditionalFormatting sqref="B207:D1048576 B201:D205">
    <cfRule type="duplicateValues" dxfId="99" priority="29"/>
  </conditionalFormatting>
  <conditionalFormatting sqref="C201:D205">
    <cfRule type="duplicateValues" dxfId="98" priority="27"/>
  </conditionalFormatting>
  <conditionalFormatting sqref="B201:D205">
    <cfRule type="duplicateValues" dxfId="97" priority="26"/>
  </conditionalFormatting>
  <conditionalFormatting sqref="B202:D203">
    <cfRule type="duplicateValues" dxfId="96" priority="25"/>
  </conditionalFormatting>
  <conditionalFormatting sqref="C202:D203">
    <cfRule type="duplicateValues" dxfId="95" priority="24"/>
  </conditionalFormatting>
  <conditionalFormatting sqref="B145">
    <cfRule type="duplicateValues" dxfId="94" priority="23"/>
  </conditionalFormatting>
  <conditionalFormatting sqref="B63">
    <cfRule type="duplicateValues" dxfId="93" priority="22"/>
  </conditionalFormatting>
  <conditionalFormatting sqref="B145">
    <cfRule type="duplicateValues" priority="20"/>
    <cfRule type="duplicateValues" priority="21"/>
  </conditionalFormatting>
  <conditionalFormatting sqref="B145">
    <cfRule type="duplicateValues" priority="17"/>
  </conditionalFormatting>
  <conditionalFormatting sqref="A2">
    <cfRule type="duplicateValues" dxfId="92" priority="2"/>
  </conditionalFormatting>
  <conditionalFormatting sqref="B2:D2">
    <cfRule type="duplicateValues" dxfId="9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Only 2015-16</vt:lpstr>
      <vt:lpstr>Only 2016-17</vt:lpstr>
      <vt:lpstr>Only 2017-18</vt:lpstr>
      <vt:lpstr>Only 2018-19</vt:lpstr>
      <vt:lpstr>Only 2019-20</vt:lpstr>
      <vt:lpstr>Only 2020-21</vt:lpstr>
      <vt:lpstr>Only 2021-22</vt:lpstr>
      <vt:lpstr>only 2022-23</vt:lpstr>
      <vt:lpstr>only 2023-24</vt:lpstr>
      <vt:lpstr>2015-16 to 2017-18</vt:lpstr>
      <vt:lpstr>2015-16 to 2018-19 (till 12.04)</vt:lpstr>
      <vt:lpstr>2015-16 to 2019-20</vt:lpstr>
      <vt:lpstr>2015-16 to 2020-21</vt:lpstr>
      <vt:lpstr>2015-16 to 2021-22</vt:lpstr>
      <vt:lpstr>2015-16 to 2022-23</vt:lpstr>
      <vt:lpstr>2015-16 to 2023-24</vt:lpstr>
      <vt:lpstr>'Only 2021-22'!Print_Titles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HP</cp:lastModifiedBy>
  <cp:lastPrinted>2022-07-11T06:52:08Z</cp:lastPrinted>
  <dcterms:created xsi:type="dcterms:W3CDTF">2017-09-05T11:31:01Z</dcterms:created>
  <dcterms:modified xsi:type="dcterms:W3CDTF">2023-12-12T06:24:53Z</dcterms:modified>
</cp:coreProperties>
</file>